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Democratizing Business Valuation\Democratizing BV\"/>
    </mc:Choice>
  </mc:AlternateContent>
  <xr:revisionPtr revIDLastSave="0" documentId="13_ncr:1_{DC9CA58D-BB34-4164-B4AE-817BC8B990BC}" xr6:coauthVersionLast="47" xr6:coauthVersionMax="47" xr10:uidLastSave="{00000000-0000-0000-0000-000000000000}"/>
  <bookViews>
    <workbookView xWindow="-108" yWindow="-108" windowWidth="23256" windowHeight="12456" firstSheet="5" activeTab="6" xr2:uid="{2627840A-3978-426C-835A-D9F29C4AB5CA}"/>
  </bookViews>
  <sheets>
    <sheet name="00_Ref" sheetId="16" r:id="rId1"/>
    <sheet name="00_Dashboard" sheetId="28" r:id="rId2"/>
    <sheet name="000_Steps in screenshot" sheetId="31" r:id="rId3"/>
    <sheet name="01_Inputs" sheetId="15" r:id="rId4"/>
    <sheet name="02_Normalization" sheetId="17" r:id="rId5"/>
    <sheet name="03_Beta_Calculation" sheetId="1" r:id="rId6"/>
    <sheet name="03i_Beta_Calculation" sheetId="37" r:id="rId7"/>
    <sheet name="03b_Size Premium Method 15Y" sheetId="30" r:id="rId8"/>
    <sheet name="03c_Size Premium Method 10Y" sheetId="33" r:id="rId9"/>
    <sheet name=" 04_CAPM" sheetId="6" r:id="rId10"/>
    <sheet name="05_WACC" sheetId="2" r:id="rId11"/>
    <sheet name="06_Income_Based DCF" sheetId="9" r:id="rId12"/>
    <sheet name="06b_Sustainable Growth Rate" sheetId="10" r:id="rId13"/>
    <sheet name="07_Income_Based_Capitalization" sheetId="21" r:id="rId14"/>
    <sheet name="08_Market_Multiple" sheetId="3" r:id="rId15"/>
    <sheet name="09_Asset_Based" sheetId="20" r:id="rId16"/>
    <sheet name="10_CSRP_Scoring" sheetId="12" r:id="rId17"/>
    <sheet name="11a_DLOC" sheetId="35" r:id="rId18"/>
    <sheet name="11b_DLOM" sheetId="36" r:id="rId19"/>
    <sheet name="12_Valuation Summary" sheetId="24" r:id="rId20"/>
    <sheet name="13_Report_Template" sheetId="25" r:id="rId21"/>
    <sheet name="14_Case Study_Gamma" sheetId="7" r:id="rId22"/>
    <sheet name="15_DB_SGX_Industry" sheetId="4" r:id="rId23"/>
    <sheet name="16_DB-SGX_Loading" sheetId="19" r:id="rId24"/>
    <sheet name="16b_Loading by main or catalyst" sheetId="29" r:id="rId25"/>
    <sheet name="17_Toolkit_Overview" sheetId="22" r:id="rId26"/>
    <sheet name="18_Sensitivity_table" sheetId="27" r:id="rId27"/>
    <sheet name="19_Checklist" sheetId="13" r:id="rId28"/>
  </sheets>
  <definedNames>
    <definedName name="_xlnm._FilterDatabase" localSheetId="5" hidden="1">'03_Beta_Calculation'!$A$2:$B$942</definedName>
    <definedName name="_xlnm._FilterDatabase" localSheetId="16" hidden="1">'10_CSRP_Scoring'!$A$6:$F$14</definedName>
    <definedName name="_xlnm._FilterDatabase" localSheetId="22" hidden="1">'15_DB_SGX_Industry'!$A$1:$J$566</definedName>
    <definedName name="RichCapital">'15_DB_SGX_Industry'!$A$406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7" i="37" l="1"/>
  <c r="X8" i="37"/>
  <c r="X9" i="37"/>
  <c r="X10" i="37"/>
  <c r="X12" i="37"/>
  <c r="X13" i="37"/>
  <c r="X14" i="37"/>
  <c r="B14" i="19"/>
  <c r="B17" i="1" s="1"/>
  <c r="B13" i="19"/>
  <c r="B9" i="37" s="1"/>
  <c r="B12" i="19"/>
  <c r="B15" i="1" s="1"/>
  <c r="B11" i="19"/>
  <c r="B14" i="1" s="1"/>
  <c r="B82" i="10"/>
  <c r="D18" i="6" s="1"/>
  <c r="G25" i="9" s="1"/>
  <c r="D50" i="37"/>
  <c r="S35" i="37"/>
  <c r="R35" i="37"/>
  <c r="Q35" i="37"/>
  <c r="P35" i="37"/>
  <c r="N35" i="37"/>
  <c r="M35" i="37"/>
  <c r="L35" i="37"/>
  <c r="K35" i="37"/>
  <c r="I35" i="37"/>
  <c r="H35" i="37"/>
  <c r="D35" i="37"/>
  <c r="C35" i="37"/>
  <c r="S34" i="37"/>
  <c r="R34" i="37"/>
  <c r="Q34" i="37"/>
  <c r="P34" i="37"/>
  <c r="N34" i="37"/>
  <c r="M34" i="37"/>
  <c r="L34" i="37"/>
  <c r="K34" i="37"/>
  <c r="I34" i="37"/>
  <c r="H34" i="37"/>
  <c r="D34" i="37"/>
  <c r="C34" i="37"/>
  <c r="S33" i="37"/>
  <c r="R33" i="37"/>
  <c r="Q33" i="37"/>
  <c r="P33" i="37"/>
  <c r="N33" i="37"/>
  <c r="M33" i="37"/>
  <c r="L33" i="37"/>
  <c r="K33" i="37"/>
  <c r="I33" i="37"/>
  <c r="H33" i="37"/>
  <c r="D33" i="37"/>
  <c r="C33" i="37"/>
  <c r="S32" i="37"/>
  <c r="R32" i="37"/>
  <c r="Q32" i="37"/>
  <c r="P32" i="37"/>
  <c r="N32" i="37"/>
  <c r="M32" i="37"/>
  <c r="L32" i="37"/>
  <c r="K32" i="37"/>
  <c r="I32" i="37"/>
  <c r="H32" i="37"/>
  <c r="D32" i="37"/>
  <c r="C32" i="37"/>
  <c r="S31" i="37"/>
  <c r="R31" i="37"/>
  <c r="Q31" i="37"/>
  <c r="P31" i="37"/>
  <c r="N31" i="37"/>
  <c r="M31" i="37"/>
  <c r="L31" i="37"/>
  <c r="K31" i="37"/>
  <c r="I31" i="37"/>
  <c r="J31" i="37" s="1"/>
  <c r="D31" i="37"/>
  <c r="C31" i="37"/>
  <c r="S30" i="37"/>
  <c r="R30" i="37"/>
  <c r="Q30" i="37"/>
  <c r="P30" i="37"/>
  <c r="N30" i="37"/>
  <c r="M30" i="37"/>
  <c r="L30" i="37"/>
  <c r="K30" i="37"/>
  <c r="I30" i="37"/>
  <c r="H30" i="37"/>
  <c r="D30" i="37"/>
  <c r="C30" i="37"/>
  <c r="S29" i="37"/>
  <c r="R29" i="37"/>
  <c r="Q29" i="37"/>
  <c r="P29" i="37"/>
  <c r="N29" i="37"/>
  <c r="M29" i="37"/>
  <c r="L29" i="37"/>
  <c r="K29" i="37"/>
  <c r="I29" i="37"/>
  <c r="H29" i="37"/>
  <c r="D29" i="37"/>
  <c r="C29" i="37"/>
  <c r="S28" i="37"/>
  <c r="R28" i="37"/>
  <c r="Q28" i="37"/>
  <c r="P28" i="37"/>
  <c r="N28" i="37"/>
  <c r="M28" i="37"/>
  <c r="L28" i="37"/>
  <c r="K28" i="37"/>
  <c r="I28" i="37"/>
  <c r="H28" i="37"/>
  <c r="D28" i="37"/>
  <c r="C28" i="37"/>
  <c r="S27" i="37"/>
  <c r="R27" i="37"/>
  <c r="Q27" i="37"/>
  <c r="P27" i="37"/>
  <c r="N27" i="37"/>
  <c r="M27" i="37"/>
  <c r="L27" i="37"/>
  <c r="K27" i="37"/>
  <c r="I27" i="37"/>
  <c r="H27" i="37"/>
  <c r="D27" i="37"/>
  <c r="C27" i="37"/>
  <c r="S26" i="37"/>
  <c r="R26" i="37"/>
  <c r="Q26" i="37"/>
  <c r="P26" i="37"/>
  <c r="N26" i="37"/>
  <c r="M26" i="37"/>
  <c r="L26" i="37"/>
  <c r="K26" i="37"/>
  <c r="I26" i="37"/>
  <c r="H26" i="37"/>
  <c r="D26" i="37"/>
  <c r="C26" i="37"/>
  <c r="S25" i="37"/>
  <c r="R25" i="37"/>
  <c r="Q25" i="37"/>
  <c r="P25" i="37"/>
  <c r="N25" i="37"/>
  <c r="M25" i="37"/>
  <c r="L25" i="37"/>
  <c r="K25" i="37"/>
  <c r="I25" i="37"/>
  <c r="H25" i="37"/>
  <c r="D25" i="37"/>
  <c r="C25" i="37"/>
  <c r="S24" i="37"/>
  <c r="R24" i="37"/>
  <c r="Q24" i="37"/>
  <c r="P24" i="37"/>
  <c r="N24" i="37"/>
  <c r="M24" i="37"/>
  <c r="L24" i="37"/>
  <c r="K24" i="37"/>
  <c r="I24" i="37"/>
  <c r="H24" i="37"/>
  <c r="D24" i="37"/>
  <c r="C24" i="37"/>
  <c r="S23" i="37"/>
  <c r="R23" i="37"/>
  <c r="Q23" i="37"/>
  <c r="P23" i="37"/>
  <c r="N23" i="37"/>
  <c r="M23" i="37"/>
  <c r="L23" i="37"/>
  <c r="K23" i="37"/>
  <c r="I23" i="37"/>
  <c r="H23" i="37"/>
  <c r="D23" i="37"/>
  <c r="C23" i="37"/>
  <c r="C56" i="37"/>
  <c r="G57" i="37" s="1"/>
  <c r="S14" i="37"/>
  <c r="R14" i="37"/>
  <c r="Q14" i="37"/>
  <c r="P14" i="37"/>
  <c r="N14" i="37"/>
  <c r="M14" i="37"/>
  <c r="L14" i="37"/>
  <c r="K14" i="37"/>
  <c r="I14" i="37"/>
  <c r="H14" i="37"/>
  <c r="D14" i="37"/>
  <c r="C14" i="37"/>
  <c r="S13" i="37"/>
  <c r="R13" i="37"/>
  <c r="Q13" i="37"/>
  <c r="P13" i="37"/>
  <c r="N13" i="37"/>
  <c r="M13" i="37"/>
  <c r="L13" i="37"/>
  <c r="K13" i="37"/>
  <c r="I13" i="37"/>
  <c r="H13" i="37"/>
  <c r="D13" i="37"/>
  <c r="C13" i="37"/>
  <c r="S12" i="37"/>
  <c r="R12" i="37"/>
  <c r="Q12" i="37"/>
  <c r="P12" i="37"/>
  <c r="N12" i="37"/>
  <c r="M12" i="37"/>
  <c r="L12" i="37"/>
  <c r="K12" i="37"/>
  <c r="I12" i="37"/>
  <c r="H12" i="37"/>
  <c r="D12" i="37"/>
  <c r="C12" i="37"/>
  <c r="S11" i="37"/>
  <c r="R11" i="37"/>
  <c r="Q11" i="37"/>
  <c r="P11" i="37"/>
  <c r="N11" i="37"/>
  <c r="M11" i="37"/>
  <c r="L11" i="37"/>
  <c r="K11" i="37"/>
  <c r="I11" i="37"/>
  <c r="H11" i="37"/>
  <c r="D11" i="37"/>
  <c r="C11" i="37"/>
  <c r="S10" i="37"/>
  <c r="R10" i="37"/>
  <c r="Q10" i="37"/>
  <c r="P10" i="37"/>
  <c r="N10" i="37"/>
  <c r="M10" i="37"/>
  <c r="L10" i="37"/>
  <c r="K10" i="37"/>
  <c r="I10" i="37"/>
  <c r="H10" i="37"/>
  <c r="D10" i="37"/>
  <c r="C10" i="37"/>
  <c r="S9" i="37"/>
  <c r="R9" i="37"/>
  <c r="Q9" i="37"/>
  <c r="P9" i="37"/>
  <c r="N9" i="37"/>
  <c r="M9" i="37"/>
  <c r="L9" i="37"/>
  <c r="K9" i="37"/>
  <c r="I9" i="37"/>
  <c r="H9" i="37"/>
  <c r="D9" i="37"/>
  <c r="C9" i="37"/>
  <c r="S8" i="37"/>
  <c r="R8" i="37"/>
  <c r="Q8" i="37"/>
  <c r="P8" i="37"/>
  <c r="N8" i="37"/>
  <c r="M8" i="37"/>
  <c r="L8" i="37"/>
  <c r="K8" i="37"/>
  <c r="I8" i="37"/>
  <c r="H8" i="37"/>
  <c r="D8" i="37"/>
  <c r="C8" i="37"/>
  <c r="S7" i="37"/>
  <c r="R7" i="37"/>
  <c r="Q7" i="37"/>
  <c r="P7" i="37"/>
  <c r="N7" i="37"/>
  <c r="M7" i="37"/>
  <c r="L7" i="37"/>
  <c r="K7" i="37"/>
  <c r="I7" i="37"/>
  <c r="H7" i="37"/>
  <c r="D7" i="37"/>
  <c r="C7" i="37"/>
  <c r="S6" i="37"/>
  <c r="R6" i="37"/>
  <c r="Q6" i="37"/>
  <c r="P6" i="37"/>
  <c r="N6" i="37"/>
  <c r="M6" i="37"/>
  <c r="L6" i="37"/>
  <c r="K6" i="37"/>
  <c r="I6" i="37"/>
  <c r="H6" i="37"/>
  <c r="D6" i="37"/>
  <c r="C6" i="37"/>
  <c r="A70" i="10"/>
  <c r="A71" i="10"/>
  <c r="A72" i="10"/>
  <c r="A73" i="10"/>
  <c r="A74" i="10"/>
  <c r="A75" i="10"/>
  <c r="H75" i="10"/>
  <c r="A76" i="10"/>
  <c r="C73" i="17"/>
  <c r="C71" i="10" s="1"/>
  <c r="D73" i="17"/>
  <c r="D71" i="10" s="1"/>
  <c r="E73" i="17"/>
  <c r="E71" i="10" s="1"/>
  <c r="F73" i="17"/>
  <c r="F71" i="10" s="1"/>
  <c r="B73" i="17"/>
  <c r="B71" i="10" s="1"/>
  <c r="C134" i="17"/>
  <c r="D134" i="17"/>
  <c r="E134" i="17"/>
  <c r="F134" i="17"/>
  <c r="B134" i="17"/>
  <c r="C132" i="17"/>
  <c r="D132" i="17"/>
  <c r="E132" i="17"/>
  <c r="F132" i="17"/>
  <c r="B132" i="17"/>
  <c r="J29" i="6"/>
  <c r="A61" i="10"/>
  <c r="B16" i="28"/>
  <c r="C10" i="3"/>
  <c r="D10" i="3"/>
  <c r="E10" i="3"/>
  <c r="F10" i="3"/>
  <c r="H10" i="3"/>
  <c r="I10" i="3"/>
  <c r="J10" i="3"/>
  <c r="K10" i="3"/>
  <c r="M10" i="3"/>
  <c r="N10" i="3"/>
  <c r="O10" i="3"/>
  <c r="P10" i="3"/>
  <c r="C11" i="3"/>
  <c r="D11" i="3"/>
  <c r="E11" i="3"/>
  <c r="F11" i="3"/>
  <c r="H11" i="3"/>
  <c r="I11" i="3"/>
  <c r="J11" i="3"/>
  <c r="K11" i="3"/>
  <c r="M11" i="3"/>
  <c r="N11" i="3"/>
  <c r="O11" i="3"/>
  <c r="P11" i="3"/>
  <c r="C12" i="3"/>
  <c r="D12" i="3"/>
  <c r="E12" i="3"/>
  <c r="F12" i="3"/>
  <c r="H12" i="3"/>
  <c r="I12" i="3"/>
  <c r="J12" i="3"/>
  <c r="K12" i="3"/>
  <c r="M12" i="3"/>
  <c r="N12" i="3"/>
  <c r="O12" i="3"/>
  <c r="P12" i="3"/>
  <c r="C13" i="3"/>
  <c r="D13" i="3"/>
  <c r="E13" i="3"/>
  <c r="F13" i="3"/>
  <c r="H13" i="3"/>
  <c r="I13" i="3"/>
  <c r="J13" i="3"/>
  <c r="K13" i="3"/>
  <c r="M13" i="3"/>
  <c r="N13" i="3"/>
  <c r="O13" i="3"/>
  <c r="P13" i="3"/>
  <c r="C14" i="3"/>
  <c r="D14" i="3"/>
  <c r="E14" i="3"/>
  <c r="F14" i="3"/>
  <c r="H14" i="3"/>
  <c r="I14" i="3"/>
  <c r="J14" i="3"/>
  <c r="K14" i="3"/>
  <c r="M14" i="3"/>
  <c r="N14" i="3"/>
  <c r="O14" i="3"/>
  <c r="P14" i="3"/>
  <c r="D57" i="36"/>
  <c r="D58" i="36"/>
  <c r="D59" i="36"/>
  <c r="D56" i="36"/>
  <c r="C29" i="36"/>
  <c r="D49" i="36" s="1"/>
  <c r="E19" i="15" s="1"/>
  <c r="B22" i="28" s="1"/>
  <c r="F21" i="35"/>
  <c r="D32" i="35" s="1"/>
  <c r="E20" i="15" s="1"/>
  <c r="B21" i="28" s="1"/>
  <c r="E12" i="15"/>
  <c r="B15" i="28" s="1"/>
  <c r="R92" i="30"/>
  <c r="R81" i="30"/>
  <c r="R80" i="30"/>
  <c r="R77" i="30"/>
  <c r="R76" i="30"/>
  <c r="R75" i="30"/>
  <c r="R74" i="30"/>
  <c r="R73" i="30"/>
  <c r="R72" i="30"/>
  <c r="S72" i="30" s="1"/>
  <c r="M4" i="30" s="1"/>
  <c r="K138" i="30"/>
  <c r="K117" i="30"/>
  <c r="K116" i="30"/>
  <c r="K115" i="30"/>
  <c r="K114" i="30"/>
  <c r="K113" i="30"/>
  <c r="K112" i="30"/>
  <c r="K111" i="30"/>
  <c r="K110" i="30"/>
  <c r="L110" i="30" s="1"/>
  <c r="J4" i="30" s="1"/>
  <c r="B111" i="30"/>
  <c r="E111" i="30" s="1"/>
  <c r="E5" i="30" s="1"/>
  <c r="B92" i="30"/>
  <c r="B93" i="30"/>
  <c r="B94" i="30"/>
  <c r="E94" i="30" s="1"/>
  <c r="D7" i="30" s="1"/>
  <c r="B68" i="30"/>
  <c r="E68" i="30" s="1"/>
  <c r="B19" i="30" s="1"/>
  <c r="D13" i="1"/>
  <c r="Q23" i="19"/>
  <c r="Q6" i="3" s="1"/>
  <c r="R23" i="19"/>
  <c r="U24" i="37" s="1"/>
  <c r="S23" i="19"/>
  <c r="V24" i="37" s="1"/>
  <c r="T23" i="19"/>
  <c r="W24" i="37" s="1"/>
  <c r="Q24" i="19"/>
  <c r="T47" i="1" s="1"/>
  <c r="R24" i="19"/>
  <c r="U47" i="1" s="1"/>
  <c r="S24" i="19"/>
  <c r="V47" i="1" s="1"/>
  <c r="T24" i="19"/>
  <c r="W47" i="1" s="1"/>
  <c r="Q25" i="19"/>
  <c r="T26" i="37" s="1"/>
  <c r="R25" i="19"/>
  <c r="U26" i="37" s="1"/>
  <c r="S25" i="19"/>
  <c r="V26" i="37" s="1"/>
  <c r="T25" i="19"/>
  <c r="W26" i="37" s="1"/>
  <c r="Q26" i="19"/>
  <c r="T27" i="37" s="1"/>
  <c r="R26" i="19"/>
  <c r="U49" i="1" s="1"/>
  <c r="S26" i="19"/>
  <c r="S9" i="3" s="1"/>
  <c r="T26" i="19"/>
  <c r="W27" i="37" s="1"/>
  <c r="Q27" i="19"/>
  <c r="T50" i="1" s="1"/>
  <c r="R27" i="19"/>
  <c r="U50" i="1" s="1"/>
  <c r="S27" i="19"/>
  <c r="V50" i="1" s="1"/>
  <c r="T27" i="19"/>
  <c r="W50" i="1" s="1"/>
  <c r="Q28" i="19"/>
  <c r="T51" i="1" s="1"/>
  <c r="R28" i="19"/>
  <c r="R11" i="3" s="1"/>
  <c r="S28" i="19"/>
  <c r="S11" i="3" s="1"/>
  <c r="T28" i="19"/>
  <c r="T11" i="3" s="1"/>
  <c r="Q29" i="19"/>
  <c r="T52" i="1" s="1"/>
  <c r="R29" i="19"/>
  <c r="U52" i="1" s="1"/>
  <c r="S29" i="19"/>
  <c r="V52" i="1" s="1"/>
  <c r="T29" i="19"/>
  <c r="W52" i="1" s="1"/>
  <c r="Q30" i="19"/>
  <c r="T53" i="1" s="1"/>
  <c r="R30" i="19"/>
  <c r="U53" i="1" s="1"/>
  <c r="S30" i="19"/>
  <c r="V53" i="1" s="1"/>
  <c r="T30" i="19"/>
  <c r="W53" i="1" s="1"/>
  <c r="Q31" i="19"/>
  <c r="R31" i="19"/>
  <c r="S31" i="19"/>
  <c r="T31" i="19"/>
  <c r="Q32" i="19"/>
  <c r="Q14" i="3" s="1"/>
  <c r="R32" i="19"/>
  <c r="U54" i="1" s="1"/>
  <c r="S32" i="19"/>
  <c r="V54" i="1" s="1"/>
  <c r="T32" i="19"/>
  <c r="W54" i="1" s="1"/>
  <c r="Q33" i="19"/>
  <c r="T55" i="1" s="1"/>
  <c r="R33" i="19"/>
  <c r="U55" i="1" s="1"/>
  <c r="S33" i="19"/>
  <c r="V55" i="1" s="1"/>
  <c r="T33" i="19"/>
  <c r="W55" i="1" s="1"/>
  <c r="Q34" i="19"/>
  <c r="T56" i="1" s="1"/>
  <c r="R34" i="19"/>
  <c r="U56" i="1" s="1"/>
  <c r="S34" i="19"/>
  <c r="V56" i="1" s="1"/>
  <c r="T34" i="19"/>
  <c r="W56" i="1" s="1"/>
  <c r="Q11" i="19"/>
  <c r="R11" i="19"/>
  <c r="S11" i="19"/>
  <c r="T11" i="19"/>
  <c r="Q12" i="19"/>
  <c r="R12" i="19"/>
  <c r="S12" i="19"/>
  <c r="T12" i="19"/>
  <c r="Q13" i="19"/>
  <c r="R13" i="19"/>
  <c r="S13" i="19"/>
  <c r="T13" i="19"/>
  <c r="Q14" i="19"/>
  <c r="R14" i="19"/>
  <c r="S14" i="19"/>
  <c r="T14" i="19"/>
  <c r="Q15" i="19"/>
  <c r="R15" i="19"/>
  <c r="S15" i="19"/>
  <c r="T15" i="19"/>
  <c r="Q16" i="19"/>
  <c r="R16" i="19"/>
  <c r="S16" i="19"/>
  <c r="T16" i="19"/>
  <c r="Q17" i="19"/>
  <c r="R17" i="19"/>
  <c r="S17" i="19"/>
  <c r="T17" i="19"/>
  <c r="Q18" i="19"/>
  <c r="R18" i="19"/>
  <c r="S18" i="19"/>
  <c r="T18" i="19"/>
  <c r="Q19" i="19"/>
  <c r="R19" i="19"/>
  <c r="S19" i="19"/>
  <c r="T19" i="19"/>
  <c r="T49" i="1"/>
  <c r="P46" i="1"/>
  <c r="Q46" i="1"/>
  <c r="R46" i="1"/>
  <c r="S46" i="1"/>
  <c r="P47" i="1"/>
  <c r="Q47" i="1"/>
  <c r="R47" i="1"/>
  <c r="S47" i="1"/>
  <c r="P48" i="1"/>
  <c r="Q48" i="1"/>
  <c r="R48" i="1"/>
  <c r="S48" i="1"/>
  <c r="P49" i="1"/>
  <c r="Q49" i="1"/>
  <c r="R49" i="1"/>
  <c r="S49" i="1"/>
  <c r="P50" i="1"/>
  <c r="Q50" i="1"/>
  <c r="R50" i="1"/>
  <c r="S50" i="1"/>
  <c r="P51" i="1"/>
  <c r="Q51" i="1"/>
  <c r="R51" i="1"/>
  <c r="S51" i="1"/>
  <c r="P52" i="1"/>
  <c r="Q52" i="1"/>
  <c r="R52" i="1"/>
  <c r="S52" i="1"/>
  <c r="P53" i="1"/>
  <c r="Q53" i="1"/>
  <c r="R53" i="1"/>
  <c r="S53" i="1"/>
  <c r="P54" i="1"/>
  <c r="Q54" i="1"/>
  <c r="R54" i="1"/>
  <c r="S54" i="1"/>
  <c r="P55" i="1"/>
  <c r="Q55" i="1"/>
  <c r="R55" i="1"/>
  <c r="S55" i="1"/>
  <c r="P56" i="1"/>
  <c r="Q56" i="1"/>
  <c r="R56" i="1"/>
  <c r="S56" i="1"/>
  <c r="K46" i="1"/>
  <c r="L46" i="1"/>
  <c r="M46" i="1"/>
  <c r="N46" i="1"/>
  <c r="K47" i="1"/>
  <c r="L47" i="1"/>
  <c r="M47" i="1"/>
  <c r="N47" i="1"/>
  <c r="K48" i="1"/>
  <c r="L48" i="1"/>
  <c r="M48" i="1"/>
  <c r="N48" i="1"/>
  <c r="K49" i="1"/>
  <c r="L49" i="1"/>
  <c r="M49" i="1"/>
  <c r="N49" i="1"/>
  <c r="K50" i="1"/>
  <c r="L50" i="1"/>
  <c r="M50" i="1"/>
  <c r="N50" i="1"/>
  <c r="K51" i="1"/>
  <c r="L51" i="1"/>
  <c r="M51" i="1"/>
  <c r="N51" i="1"/>
  <c r="K52" i="1"/>
  <c r="L52" i="1"/>
  <c r="M52" i="1"/>
  <c r="N52" i="1"/>
  <c r="K53" i="1"/>
  <c r="L53" i="1"/>
  <c r="M53" i="1"/>
  <c r="N53" i="1"/>
  <c r="K54" i="1"/>
  <c r="L54" i="1"/>
  <c r="M54" i="1"/>
  <c r="N54" i="1"/>
  <c r="K55" i="1"/>
  <c r="L55" i="1"/>
  <c r="M55" i="1"/>
  <c r="N55" i="1"/>
  <c r="K56" i="1"/>
  <c r="L56" i="1"/>
  <c r="M56" i="1"/>
  <c r="N56" i="1"/>
  <c r="H46" i="1"/>
  <c r="I46" i="1"/>
  <c r="H47" i="1"/>
  <c r="I47" i="1"/>
  <c r="H48" i="1"/>
  <c r="I48" i="1"/>
  <c r="H49" i="1"/>
  <c r="I49" i="1"/>
  <c r="H50" i="1"/>
  <c r="I50" i="1"/>
  <c r="H51" i="1"/>
  <c r="I51" i="1"/>
  <c r="H52" i="1"/>
  <c r="I52" i="1"/>
  <c r="I53" i="1"/>
  <c r="H54" i="1"/>
  <c r="I54" i="1"/>
  <c r="H55" i="1"/>
  <c r="I55" i="1"/>
  <c r="H56" i="1"/>
  <c r="I56" i="1"/>
  <c r="C46" i="1"/>
  <c r="D46" i="1"/>
  <c r="C47" i="1"/>
  <c r="D47" i="1"/>
  <c r="C48" i="1"/>
  <c r="D48" i="1"/>
  <c r="C49" i="1"/>
  <c r="D49" i="1"/>
  <c r="C50" i="1"/>
  <c r="D50" i="1"/>
  <c r="C51" i="1"/>
  <c r="D51" i="1"/>
  <c r="C52" i="1"/>
  <c r="D52" i="1"/>
  <c r="C53" i="1"/>
  <c r="D53" i="1"/>
  <c r="C54" i="1"/>
  <c r="D54" i="1"/>
  <c r="C55" i="1"/>
  <c r="D55" i="1"/>
  <c r="C56" i="1"/>
  <c r="D56" i="1"/>
  <c r="Q45" i="1"/>
  <c r="R45" i="1"/>
  <c r="S45" i="1"/>
  <c r="P45" i="1"/>
  <c r="L45" i="1"/>
  <c r="M45" i="1"/>
  <c r="N45" i="1"/>
  <c r="K45" i="1"/>
  <c r="I45" i="1"/>
  <c r="H45" i="1"/>
  <c r="D45" i="1"/>
  <c r="C45" i="1"/>
  <c r="P14" i="1"/>
  <c r="Q14" i="1"/>
  <c r="R14" i="1"/>
  <c r="S14" i="1"/>
  <c r="P15" i="1"/>
  <c r="Q15" i="1"/>
  <c r="R15" i="1"/>
  <c r="S15" i="1"/>
  <c r="P16" i="1"/>
  <c r="Q16" i="1"/>
  <c r="R16" i="1"/>
  <c r="S16" i="1"/>
  <c r="P17" i="1"/>
  <c r="Q17" i="1"/>
  <c r="R17" i="1"/>
  <c r="S17" i="1"/>
  <c r="P18" i="1"/>
  <c r="Q18" i="1"/>
  <c r="R18" i="1"/>
  <c r="S18" i="1"/>
  <c r="P19" i="1"/>
  <c r="Q19" i="1"/>
  <c r="R19" i="1"/>
  <c r="S19" i="1"/>
  <c r="P20" i="1"/>
  <c r="Q20" i="1"/>
  <c r="R20" i="1"/>
  <c r="S20" i="1"/>
  <c r="P21" i="1"/>
  <c r="Q21" i="1"/>
  <c r="R21" i="1"/>
  <c r="S21" i="1"/>
  <c r="P57" i="1"/>
  <c r="Q57" i="1"/>
  <c r="R57" i="1"/>
  <c r="S57" i="1"/>
  <c r="K14" i="1"/>
  <c r="L14" i="1"/>
  <c r="M14" i="1"/>
  <c r="N14" i="1"/>
  <c r="K15" i="1"/>
  <c r="L15" i="1"/>
  <c r="M15" i="1"/>
  <c r="N15" i="1"/>
  <c r="K16" i="1"/>
  <c r="L16" i="1"/>
  <c r="M16" i="1"/>
  <c r="N16" i="1"/>
  <c r="K17" i="1"/>
  <c r="L17" i="1"/>
  <c r="M17" i="1"/>
  <c r="N17" i="1"/>
  <c r="K18" i="1"/>
  <c r="L18" i="1"/>
  <c r="M18" i="1"/>
  <c r="N18" i="1"/>
  <c r="K19" i="1"/>
  <c r="L19" i="1"/>
  <c r="M19" i="1"/>
  <c r="N19" i="1"/>
  <c r="K20" i="1"/>
  <c r="L20" i="1"/>
  <c r="M20" i="1"/>
  <c r="N20" i="1"/>
  <c r="K21" i="1"/>
  <c r="L21" i="1"/>
  <c r="M21" i="1"/>
  <c r="N21" i="1"/>
  <c r="K57" i="1"/>
  <c r="L57" i="1"/>
  <c r="M57" i="1"/>
  <c r="N57" i="1"/>
  <c r="H14" i="1"/>
  <c r="I14" i="1"/>
  <c r="H15" i="1"/>
  <c r="I15" i="1"/>
  <c r="H16" i="1"/>
  <c r="I16" i="1"/>
  <c r="H17" i="1"/>
  <c r="I17" i="1"/>
  <c r="H18" i="1"/>
  <c r="I18" i="1"/>
  <c r="H19" i="1"/>
  <c r="I19" i="1"/>
  <c r="H20" i="1"/>
  <c r="I20" i="1"/>
  <c r="H21" i="1"/>
  <c r="I21" i="1"/>
  <c r="H57" i="1"/>
  <c r="I57" i="1"/>
  <c r="C14" i="1"/>
  <c r="D14" i="1"/>
  <c r="C15" i="1"/>
  <c r="D15" i="1"/>
  <c r="C16" i="1"/>
  <c r="D16" i="1"/>
  <c r="C17" i="1"/>
  <c r="T17" i="1" s="1"/>
  <c r="D17" i="1"/>
  <c r="C18" i="1"/>
  <c r="D18" i="1"/>
  <c r="C19" i="1"/>
  <c r="D19" i="1"/>
  <c r="C20" i="1"/>
  <c r="D20" i="1"/>
  <c r="C21" i="1"/>
  <c r="D21" i="1"/>
  <c r="C57" i="1"/>
  <c r="D57" i="1"/>
  <c r="Q13" i="1"/>
  <c r="R13" i="1"/>
  <c r="S13" i="1"/>
  <c r="P13" i="1"/>
  <c r="L13" i="1"/>
  <c r="M13" i="1"/>
  <c r="N13" i="1"/>
  <c r="K13" i="1"/>
  <c r="I13" i="1"/>
  <c r="H13" i="1"/>
  <c r="C13" i="1"/>
  <c r="G19" i="19"/>
  <c r="L19" i="19"/>
  <c r="L18" i="19"/>
  <c r="G18" i="19"/>
  <c r="G17" i="19"/>
  <c r="L17" i="19"/>
  <c r="L16" i="19"/>
  <c r="G16" i="19"/>
  <c r="G29" i="19"/>
  <c r="G12" i="3" s="1"/>
  <c r="L29" i="19"/>
  <c r="L12" i="3" s="1"/>
  <c r="B15" i="19"/>
  <c r="B18" i="1" s="1"/>
  <c r="B29" i="19"/>
  <c r="B52" i="1" s="1"/>
  <c r="B19" i="19"/>
  <c r="B57" i="1" s="1"/>
  <c r="P89" i="30" s="1"/>
  <c r="B18" i="19"/>
  <c r="B21" i="1" s="1"/>
  <c r="B123" i="33" s="1"/>
  <c r="Q7" i="33" s="1"/>
  <c r="B17" i="19"/>
  <c r="B20" i="1" s="1"/>
  <c r="B16" i="19"/>
  <c r="B19" i="1" s="1"/>
  <c r="G15" i="19"/>
  <c r="L15" i="19"/>
  <c r="W28" i="19"/>
  <c r="W27" i="19"/>
  <c r="W26" i="19"/>
  <c r="W25" i="19"/>
  <c r="W24" i="19"/>
  <c r="W23" i="19"/>
  <c r="W22" i="19"/>
  <c r="B28" i="19"/>
  <c r="B11" i="3" s="1"/>
  <c r="B27" i="19"/>
  <c r="B10" i="3" s="1"/>
  <c r="B25" i="19"/>
  <c r="B8" i="3" s="1"/>
  <c r="B26" i="19"/>
  <c r="B9" i="3" s="1"/>
  <c r="B24" i="19"/>
  <c r="B7" i="3" s="1"/>
  <c r="B23" i="19"/>
  <c r="B6" i="3" s="1"/>
  <c r="B22" i="19"/>
  <c r="B5" i="3" s="1"/>
  <c r="W15" i="19"/>
  <c r="X11" i="37" s="1"/>
  <c r="W34" i="19"/>
  <c r="W33" i="19"/>
  <c r="W10" i="19"/>
  <c r="X6" i="37" s="1"/>
  <c r="W32" i="19"/>
  <c r="W31" i="19"/>
  <c r="W30" i="19"/>
  <c r="B34" i="19"/>
  <c r="B56" i="1" s="1"/>
  <c r="P70" i="30" s="1"/>
  <c r="B33" i="19"/>
  <c r="B55" i="1" s="1"/>
  <c r="P51" i="30" s="1"/>
  <c r="B10" i="19"/>
  <c r="B13" i="1" s="1"/>
  <c r="B32" i="19"/>
  <c r="B54" i="1" s="1"/>
  <c r="I127" i="30" s="1"/>
  <c r="K3" i="30" s="1"/>
  <c r="B31" i="19"/>
  <c r="B30" i="19"/>
  <c r="B53" i="1" s="1"/>
  <c r="B110" i="33" s="1"/>
  <c r="P7" i="33" s="1"/>
  <c r="R9" i="3"/>
  <c r="Q10" i="19"/>
  <c r="R10" i="19"/>
  <c r="S10" i="19"/>
  <c r="T10" i="19"/>
  <c r="C28" i="3"/>
  <c r="C5" i="3"/>
  <c r="D5" i="3"/>
  <c r="H5" i="3"/>
  <c r="I5" i="3"/>
  <c r="J5" i="3"/>
  <c r="K5" i="3"/>
  <c r="C6" i="3"/>
  <c r="D6" i="3"/>
  <c r="H6" i="3"/>
  <c r="I6" i="3"/>
  <c r="J6" i="3"/>
  <c r="K6" i="3"/>
  <c r="C7" i="3"/>
  <c r="D7" i="3"/>
  <c r="E7" i="3"/>
  <c r="F7" i="3"/>
  <c r="H7" i="3"/>
  <c r="I7" i="3"/>
  <c r="J7" i="3"/>
  <c r="K7" i="3"/>
  <c r="M7" i="3"/>
  <c r="N7" i="3"/>
  <c r="O7" i="3"/>
  <c r="P7" i="3"/>
  <c r="C8" i="3"/>
  <c r="D8" i="3"/>
  <c r="H8" i="3"/>
  <c r="I8" i="3"/>
  <c r="J8" i="3"/>
  <c r="K8" i="3"/>
  <c r="C9" i="3"/>
  <c r="D9" i="3"/>
  <c r="E9" i="3"/>
  <c r="F9" i="3"/>
  <c r="H9" i="3"/>
  <c r="I9" i="3"/>
  <c r="J9" i="3"/>
  <c r="K9" i="3"/>
  <c r="M9" i="3"/>
  <c r="N9" i="3"/>
  <c r="O9" i="3"/>
  <c r="P9" i="3"/>
  <c r="D34" i="30"/>
  <c r="D33" i="30"/>
  <c r="C26" i="2"/>
  <c r="C30" i="2"/>
  <c r="S91" i="30"/>
  <c r="N4" i="30" s="1"/>
  <c r="P92" i="30"/>
  <c r="P93" i="30"/>
  <c r="S93" i="30" s="1"/>
  <c r="N6" i="30" s="1"/>
  <c r="P94" i="30"/>
  <c r="S94" i="30" s="1"/>
  <c r="N7" i="30" s="1"/>
  <c r="P95" i="30"/>
  <c r="S95" i="30" s="1"/>
  <c r="N8" i="30" s="1"/>
  <c r="P96" i="30"/>
  <c r="S96" i="30" s="1"/>
  <c r="N9" i="30" s="1"/>
  <c r="P97" i="30"/>
  <c r="S97" i="30" s="1"/>
  <c r="N10" i="30" s="1"/>
  <c r="P73" i="30"/>
  <c r="P74" i="30"/>
  <c r="P75" i="30"/>
  <c r="P76" i="30"/>
  <c r="S76" i="30" s="1"/>
  <c r="M8" i="30" s="1"/>
  <c r="P77" i="30"/>
  <c r="P78" i="30"/>
  <c r="S78" i="30" s="1"/>
  <c r="M10" i="30" s="1"/>
  <c r="S53" i="30"/>
  <c r="L4" i="30" s="1"/>
  <c r="P54" i="30"/>
  <c r="S54" i="30" s="1"/>
  <c r="L5" i="30" s="1"/>
  <c r="P55" i="30"/>
  <c r="S55" i="30" s="1"/>
  <c r="L6" i="30" s="1"/>
  <c r="P56" i="30"/>
  <c r="P57" i="30"/>
  <c r="S57" i="30" s="1"/>
  <c r="L8" i="30" s="1"/>
  <c r="P58" i="30"/>
  <c r="S58" i="30" s="1"/>
  <c r="L9" i="30" s="1"/>
  <c r="P59" i="30"/>
  <c r="S59" i="30" s="1"/>
  <c r="L10" i="30" s="1"/>
  <c r="I130" i="30"/>
  <c r="L130" i="30" s="1"/>
  <c r="K5" i="30" s="1"/>
  <c r="I131" i="30"/>
  <c r="L131" i="30" s="1"/>
  <c r="K6" i="30" s="1"/>
  <c r="I132" i="30"/>
  <c r="L132" i="30" s="1"/>
  <c r="K7" i="30" s="1"/>
  <c r="I133" i="30"/>
  <c r="L133" i="30" s="1"/>
  <c r="K8" i="30" s="1"/>
  <c r="I134" i="30"/>
  <c r="L134" i="30" s="1"/>
  <c r="K9" i="30" s="1"/>
  <c r="I135" i="30"/>
  <c r="L135" i="30" s="1"/>
  <c r="K10" i="30" s="1"/>
  <c r="L129" i="30"/>
  <c r="K4" i="30" s="1"/>
  <c r="I111" i="30"/>
  <c r="I112" i="30"/>
  <c r="I113" i="30"/>
  <c r="I114" i="30"/>
  <c r="I115" i="30"/>
  <c r="I116" i="30"/>
  <c r="L75" i="30"/>
  <c r="H7" i="30" s="1"/>
  <c r="I76" i="30"/>
  <c r="I77" i="30"/>
  <c r="I78" i="30"/>
  <c r="L53" i="30"/>
  <c r="G4" i="30" s="1"/>
  <c r="L54" i="30"/>
  <c r="G5" i="30" s="1"/>
  <c r="L55" i="30"/>
  <c r="G6" i="30" s="1"/>
  <c r="L56" i="30"/>
  <c r="G7" i="30" s="1"/>
  <c r="L57" i="30"/>
  <c r="G8" i="30" s="1"/>
  <c r="L58" i="30"/>
  <c r="G9" i="30" s="1"/>
  <c r="I59" i="30"/>
  <c r="L59" i="30" s="1"/>
  <c r="G10" i="30" s="1"/>
  <c r="E129" i="30"/>
  <c r="F4" i="30" s="1"/>
  <c r="E130" i="30"/>
  <c r="F5" i="30" s="1"/>
  <c r="E131" i="30"/>
  <c r="F6" i="30" s="1"/>
  <c r="E132" i="30"/>
  <c r="F7" i="30" s="1"/>
  <c r="E133" i="30"/>
  <c r="F8" i="30" s="1"/>
  <c r="E134" i="30"/>
  <c r="F9" i="30" s="1"/>
  <c r="E135" i="30"/>
  <c r="F10" i="30" s="1"/>
  <c r="D5" i="30"/>
  <c r="H5" i="30"/>
  <c r="I5" i="30"/>
  <c r="D6" i="30"/>
  <c r="H6" i="30"/>
  <c r="I6" i="30"/>
  <c r="I7" i="30"/>
  <c r="I8" i="30"/>
  <c r="I9" i="30"/>
  <c r="I10" i="30"/>
  <c r="B112" i="30"/>
  <c r="B113" i="30"/>
  <c r="B114" i="30"/>
  <c r="B115" i="30"/>
  <c r="B116" i="30"/>
  <c r="B95" i="30"/>
  <c r="E95" i="30" s="1"/>
  <c r="D8" i="30" s="1"/>
  <c r="B96" i="30"/>
  <c r="E96" i="30" s="1"/>
  <c r="D9" i="30" s="1"/>
  <c r="B97" i="30"/>
  <c r="E97" i="30" s="1"/>
  <c r="D10" i="30" s="1"/>
  <c r="I4" i="30"/>
  <c r="H4" i="30"/>
  <c r="E4" i="30"/>
  <c r="D4" i="30"/>
  <c r="C5" i="30"/>
  <c r="C6" i="30"/>
  <c r="C7" i="30"/>
  <c r="C4" i="30"/>
  <c r="E76" i="30"/>
  <c r="C8" i="30" s="1"/>
  <c r="E77" i="30"/>
  <c r="C9" i="30" s="1"/>
  <c r="E78" i="30"/>
  <c r="C10" i="30" s="1"/>
  <c r="E53" i="30"/>
  <c r="B4" i="30" s="1"/>
  <c r="E54" i="30"/>
  <c r="B5" i="30" s="1"/>
  <c r="E55" i="30"/>
  <c r="B6" i="30" s="1"/>
  <c r="E58" i="30"/>
  <c r="B9" i="30" s="1"/>
  <c r="E59" i="30"/>
  <c r="B10" i="30" s="1"/>
  <c r="P144" i="30"/>
  <c r="S144" i="30" s="1"/>
  <c r="P143" i="30"/>
  <c r="S143" i="30" s="1"/>
  <c r="P142" i="30"/>
  <c r="S142" i="30" s="1"/>
  <c r="P141" i="30"/>
  <c r="S141" i="30" s="1"/>
  <c r="P140" i="30"/>
  <c r="S140" i="30" s="1"/>
  <c r="P139" i="30"/>
  <c r="S139" i="30" s="1"/>
  <c r="P138" i="30"/>
  <c r="S138" i="30" s="1"/>
  <c r="P137" i="30"/>
  <c r="S137" i="30" s="1"/>
  <c r="P136" i="30"/>
  <c r="S136" i="30" s="1"/>
  <c r="S135" i="30"/>
  <c r="E60" i="30"/>
  <c r="B11" i="30" s="1"/>
  <c r="E61" i="30"/>
  <c r="B12" i="30" s="1"/>
  <c r="E62" i="30"/>
  <c r="B13" i="30" s="1"/>
  <c r="E63" i="30"/>
  <c r="B14" i="30" s="1"/>
  <c r="E64" i="30"/>
  <c r="B15" i="30" s="1"/>
  <c r="B65" i="30"/>
  <c r="E65" i="30" s="1"/>
  <c r="B16" i="30" s="1"/>
  <c r="B66" i="30"/>
  <c r="E66" i="30" s="1"/>
  <c r="B17" i="30" s="1"/>
  <c r="B67" i="30"/>
  <c r="E67" i="30" s="1"/>
  <c r="B18" i="30" s="1"/>
  <c r="E79" i="30"/>
  <c r="C11" i="30" s="1"/>
  <c r="E80" i="30"/>
  <c r="C12" i="30" s="1"/>
  <c r="E81" i="30"/>
  <c r="C13" i="30" s="1"/>
  <c r="E82" i="30"/>
  <c r="C14" i="30" s="1"/>
  <c r="E83" i="30"/>
  <c r="C15" i="30" s="1"/>
  <c r="E84" i="30"/>
  <c r="C16" i="30" s="1"/>
  <c r="E85" i="30"/>
  <c r="C17" i="30" s="1"/>
  <c r="B86" i="30"/>
  <c r="E86" i="30" s="1"/>
  <c r="C18" i="30" s="1"/>
  <c r="B87" i="30"/>
  <c r="E87" i="30" s="1"/>
  <c r="C19" i="30" s="1"/>
  <c r="B98" i="30"/>
  <c r="E98" i="30" s="1"/>
  <c r="D11" i="30" s="1"/>
  <c r="B99" i="30"/>
  <c r="E99" i="30" s="1"/>
  <c r="D12" i="30" s="1"/>
  <c r="B100" i="30"/>
  <c r="E100" i="30" s="1"/>
  <c r="D13" i="30" s="1"/>
  <c r="B101" i="30"/>
  <c r="E101" i="30" s="1"/>
  <c r="D14" i="30" s="1"/>
  <c r="B102" i="30"/>
  <c r="E102" i="30" s="1"/>
  <c r="D15" i="30" s="1"/>
  <c r="B103" i="30"/>
  <c r="E103" i="30" s="1"/>
  <c r="D16" i="30" s="1"/>
  <c r="B104" i="30"/>
  <c r="E104" i="30" s="1"/>
  <c r="D17" i="30" s="1"/>
  <c r="B105" i="30"/>
  <c r="E105" i="30" s="1"/>
  <c r="D18" i="30" s="1"/>
  <c r="B106" i="30"/>
  <c r="E106" i="30" s="1"/>
  <c r="D19" i="30" s="1"/>
  <c r="B117" i="30"/>
  <c r="P125" i="30"/>
  <c r="S125" i="30" s="1"/>
  <c r="P124" i="30"/>
  <c r="S124" i="30" s="1"/>
  <c r="P123" i="30"/>
  <c r="S123" i="30" s="1"/>
  <c r="P122" i="30"/>
  <c r="S122" i="30" s="1"/>
  <c r="P121" i="30"/>
  <c r="S121" i="30" s="1"/>
  <c r="P120" i="30"/>
  <c r="S120" i="30" s="1"/>
  <c r="P119" i="30"/>
  <c r="S119" i="30" s="1"/>
  <c r="P118" i="30"/>
  <c r="S118" i="30" s="1"/>
  <c r="P117" i="30"/>
  <c r="S117" i="30" s="1"/>
  <c r="S116" i="30"/>
  <c r="P106" i="30"/>
  <c r="S106" i="30" s="1"/>
  <c r="N19" i="30" s="1"/>
  <c r="P105" i="30"/>
  <c r="S105" i="30" s="1"/>
  <c r="N18" i="30" s="1"/>
  <c r="P104" i="30"/>
  <c r="S104" i="30" s="1"/>
  <c r="N17" i="30" s="1"/>
  <c r="P103" i="30"/>
  <c r="S103" i="30" s="1"/>
  <c r="N16" i="30" s="1"/>
  <c r="P102" i="30"/>
  <c r="S102" i="30" s="1"/>
  <c r="N15" i="30" s="1"/>
  <c r="P101" i="30"/>
  <c r="S101" i="30" s="1"/>
  <c r="N14" i="30" s="1"/>
  <c r="P100" i="30"/>
  <c r="S100" i="30" s="1"/>
  <c r="N13" i="30" s="1"/>
  <c r="P99" i="30"/>
  <c r="S99" i="30" s="1"/>
  <c r="N12" i="30" s="1"/>
  <c r="P98" i="30"/>
  <c r="S98" i="30" s="1"/>
  <c r="N11" i="30" s="1"/>
  <c r="P87" i="30"/>
  <c r="S87" i="30" s="1"/>
  <c r="M19" i="30" s="1"/>
  <c r="P86" i="30"/>
  <c r="S86" i="30" s="1"/>
  <c r="M18" i="30" s="1"/>
  <c r="P85" i="30"/>
  <c r="S85" i="30" s="1"/>
  <c r="M17" i="30" s="1"/>
  <c r="P84" i="30"/>
  <c r="S84" i="30" s="1"/>
  <c r="M16" i="30" s="1"/>
  <c r="P83" i="30"/>
  <c r="S83" i="30" s="1"/>
  <c r="M15" i="30" s="1"/>
  <c r="P82" i="30"/>
  <c r="S82" i="30" s="1"/>
  <c r="M14" i="30" s="1"/>
  <c r="P81" i="30"/>
  <c r="P80" i="30"/>
  <c r="P79" i="30"/>
  <c r="S79" i="30" s="1"/>
  <c r="M11" i="30" s="1"/>
  <c r="P68" i="30"/>
  <c r="S68" i="30" s="1"/>
  <c r="L19" i="30" s="1"/>
  <c r="P67" i="30"/>
  <c r="S67" i="30" s="1"/>
  <c r="L18" i="30" s="1"/>
  <c r="P66" i="30"/>
  <c r="S66" i="30" s="1"/>
  <c r="L17" i="30" s="1"/>
  <c r="P65" i="30"/>
  <c r="S65" i="30" s="1"/>
  <c r="L16" i="30" s="1"/>
  <c r="P64" i="30"/>
  <c r="S64" i="30" s="1"/>
  <c r="L15" i="30" s="1"/>
  <c r="P63" i="30"/>
  <c r="S63" i="30" s="1"/>
  <c r="L14" i="30" s="1"/>
  <c r="P62" i="30"/>
  <c r="S62" i="30" s="1"/>
  <c r="L13" i="30" s="1"/>
  <c r="P61" i="30"/>
  <c r="S61" i="30" s="1"/>
  <c r="L12" i="30" s="1"/>
  <c r="P60" i="30"/>
  <c r="S60" i="30" s="1"/>
  <c r="L11" i="30" s="1"/>
  <c r="I144" i="30"/>
  <c r="L144" i="30" s="1"/>
  <c r="K19" i="30" s="1"/>
  <c r="I143" i="30"/>
  <c r="L143" i="30" s="1"/>
  <c r="K18" i="30" s="1"/>
  <c r="I142" i="30"/>
  <c r="L142" i="30" s="1"/>
  <c r="K17" i="30" s="1"/>
  <c r="I141" i="30"/>
  <c r="L141" i="30" s="1"/>
  <c r="K16" i="30" s="1"/>
  <c r="I140" i="30"/>
  <c r="L140" i="30" s="1"/>
  <c r="K15" i="30" s="1"/>
  <c r="I139" i="30"/>
  <c r="L139" i="30" s="1"/>
  <c r="K14" i="30" s="1"/>
  <c r="I138" i="30"/>
  <c r="I137" i="30"/>
  <c r="L137" i="30" s="1"/>
  <c r="K12" i="30" s="1"/>
  <c r="I136" i="30"/>
  <c r="L136" i="30" s="1"/>
  <c r="K11" i="30" s="1"/>
  <c r="I125" i="30"/>
  <c r="L125" i="30" s="1"/>
  <c r="J19" i="30" s="1"/>
  <c r="I124" i="30"/>
  <c r="L124" i="30" s="1"/>
  <c r="J18" i="30" s="1"/>
  <c r="I123" i="30"/>
  <c r="I122" i="30"/>
  <c r="L122" i="30" s="1"/>
  <c r="J16" i="30" s="1"/>
  <c r="I121" i="30"/>
  <c r="I120" i="30"/>
  <c r="L120" i="30" s="1"/>
  <c r="J14" i="30" s="1"/>
  <c r="I119" i="30"/>
  <c r="I118" i="30"/>
  <c r="I117" i="30"/>
  <c r="I106" i="30"/>
  <c r="L106" i="30" s="1"/>
  <c r="I19" i="30" s="1"/>
  <c r="I105" i="30"/>
  <c r="L105" i="30" s="1"/>
  <c r="I18" i="30" s="1"/>
  <c r="I104" i="30"/>
  <c r="L104" i="30" s="1"/>
  <c r="I17" i="30" s="1"/>
  <c r="I103" i="30"/>
  <c r="L103" i="30" s="1"/>
  <c r="I16" i="30" s="1"/>
  <c r="I102" i="30"/>
  <c r="L102" i="30" s="1"/>
  <c r="I15" i="30" s="1"/>
  <c r="I101" i="30"/>
  <c r="L101" i="30" s="1"/>
  <c r="I14" i="30" s="1"/>
  <c r="I100" i="30"/>
  <c r="L100" i="30" s="1"/>
  <c r="I13" i="30" s="1"/>
  <c r="I99" i="30"/>
  <c r="L99" i="30" s="1"/>
  <c r="I12" i="30" s="1"/>
  <c r="L98" i="30"/>
  <c r="I11" i="30" s="1"/>
  <c r="I87" i="30"/>
  <c r="L87" i="30" s="1"/>
  <c r="H19" i="30" s="1"/>
  <c r="I86" i="30"/>
  <c r="L86" i="30" s="1"/>
  <c r="H18" i="30" s="1"/>
  <c r="I85" i="30"/>
  <c r="L85" i="30" s="1"/>
  <c r="H17" i="30" s="1"/>
  <c r="I84" i="30"/>
  <c r="L84" i="30" s="1"/>
  <c r="H16" i="30" s="1"/>
  <c r="I83" i="30"/>
  <c r="L83" i="30" s="1"/>
  <c r="H15" i="30" s="1"/>
  <c r="I82" i="30"/>
  <c r="L82" i="30" s="1"/>
  <c r="H14" i="30" s="1"/>
  <c r="I81" i="30"/>
  <c r="L81" i="30" s="1"/>
  <c r="H13" i="30" s="1"/>
  <c r="I80" i="30"/>
  <c r="I79" i="30"/>
  <c r="L79" i="30" s="1"/>
  <c r="H11" i="30" s="1"/>
  <c r="I68" i="30"/>
  <c r="L68" i="30" s="1"/>
  <c r="G19" i="30" s="1"/>
  <c r="I67" i="30"/>
  <c r="L67" i="30" s="1"/>
  <c r="G18" i="30" s="1"/>
  <c r="I66" i="30"/>
  <c r="L66" i="30" s="1"/>
  <c r="G17" i="30" s="1"/>
  <c r="I65" i="30"/>
  <c r="L65" i="30" s="1"/>
  <c r="G16" i="30" s="1"/>
  <c r="I64" i="30"/>
  <c r="L64" i="30" s="1"/>
  <c r="G15" i="30" s="1"/>
  <c r="I63" i="30"/>
  <c r="L63" i="30" s="1"/>
  <c r="G14" i="30" s="1"/>
  <c r="I62" i="30"/>
  <c r="L62" i="30" s="1"/>
  <c r="G13" i="30" s="1"/>
  <c r="I61" i="30"/>
  <c r="L61" i="30" s="1"/>
  <c r="G12" i="30" s="1"/>
  <c r="I60" i="30"/>
  <c r="L60" i="30" s="1"/>
  <c r="G11" i="30" s="1"/>
  <c r="B144" i="30"/>
  <c r="E144" i="30" s="1"/>
  <c r="F19" i="30" s="1"/>
  <c r="B143" i="30"/>
  <c r="E143" i="30" s="1"/>
  <c r="F18" i="30" s="1"/>
  <c r="B142" i="30"/>
  <c r="E142" i="30" s="1"/>
  <c r="F17" i="30" s="1"/>
  <c r="B141" i="30"/>
  <c r="E141" i="30" s="1"/>
  <c r="F16" i="30" s="1"/>
  <c r="E140" i="30"/>
  <c r="F15" i="30" s="1"/>
  <c r="E139" i="30"/>
  <c r="F14" i="30" s="1"/>
  <c r="E138" i="30"/>
  <c r="F13" i="30" s="1"/>
  <c r="E137" i="30"/>
  <c r="F12" i="30" s="1"/>
  <c r="E136" i="30"/>
  <c r="F11" i="30" s="1"/>
  <c r="B125" i="30"/>
  <c r="E125" i="30" s="1"/>
  <c r="E19" i="30" s="1"/>
  <c r="B124" i="30"/>
  <c r="E124" i="30" s="1"/>
  <c r="E18" i="30" s="1"/>
  <c r="B123" i="30"/>
  <c r="E123" i="30" s="1"/>
  <c r="E17" i="30" s="1"/>
  <c r="B122" i="30"/>
  <c r="E122" i="30" s="1"/>
  <c r="E16" i="30" s="1"/>
  <c r="B121" i="30"/>
  <c r="E121" i="30" s="1"/>
  <c r="E15" i="30" s="1"/>
  <c r="B120" i="30"/>
  <c r="B119" i="30"/>
  <c r="B118" i="30"/>
  <c r="B162" i="33"/>
  <c r="T7" i="33" s="1"/>
  <c r="B290" i="33"/>
  <c r="E290" i="33" s="1"/>
  <c r="B289" i="33"/>
  <c r="E289" i="33" s="1"/>
  <c r="B288" i="33"/>
  <c r="E288" i="33" s="1"/>
  <c r="B287" i="33"/>
  <c r="E287" i="33" s="1"/>
  <c r="B286" i="33"/>
  <c r="E286" i="33" s="1"/>
  <c r="B285" i="33"/>
  <c r="E285" i="33" s="1"/>
  <c r="B284" i="33"/>
  <c r="E284" i="33" s="1"/>
  <c r="B283" i="33"/>
  <c r="E283" i="33" s="1"/>
  <c r="B282" i="33"/>
  <c r="E282" i="33" s="1"/>
  <c r="E281" i="33"/>
  <c r="B277" i="33"/>
  <c r="E277" i="33" s="1"/>
  <c r="B276" i="33"/>
  <c r="E276" i="33" s="1"/>
  <c r="B275" i="33"/>
  <c r="E275" i="33" s="1"/>
  <c r="B274" i="33"/>
  <c r="E274" i="33" s="1"/>
  <c r="B273" i="33"/>
  <c r="E273" i="33" s="1"/>
  <c r="B272" i="33"/>
  <c r="E272" i="33" s="1"/>
  <c r="B271" i="33"/>
  <c r="E271" i="33" s="1"/>
  <c r="B270" i="33"/>
  <c r="E270" i="33" s="1"/>
  <c r="B269" i="33"/>
  <c r="E269" i="33" s="1"/>
  <c r="E268" i="33"/>
  <c r="B264" i="33"/>
  <c r="E264" i="33" s="1"/>
  <c r="B263" i="33"/>
  <c r="E263" i="33" s="1"/>
  <c r="B262" i="33"/>
  <c r="E262" i="33" s="1"/>
  <c r="B261" i="33"/>
  <c r="E261" i="33" s="1"/>
  <c r="B260" i="33"/>
  <c r="E260" i="33" s="1"/>
  <c r="B259" i="33"/>
  <c r="E259" i="33" s="1"/>
  <c r="B258" i="33"/>
  <c r="E258" i="33" s="1"/>
  <c r="B257" i="33"/>
  <c r="E257" i="33" s="1"/>
  <c r="B256" i="33"/>
  <c r="E256" i="33" s="1"/>
  <c r="E255" i="33"/>
  <c r="B251" i="33"/>
  <c r="E251" i="33" s="1"/>
  <c r="B250" i="33"/>
  <c r="E250" i="33" s="1"/>
  <c r="B249" i="33"/>
  <c r="E249" i="33" s="1"/>
  <c r="B248" i="33"/>
  <c r="E248" i="33" s="1"/>
  <c r="B247" i="33"/>
  <c r="E247" i="33" s="1"/>
  <c r="B246" i="33"/>
  <c r="E246" i="33" s="1"/>
  <c r="B245" i="33"/>
  <c r="E245" i="33" s="1"/>
  <c r="B244" i="33"/>
  <c r="E244" i="33" s="1"/>
  <c r="B243" i="33"/>
  <c r="E243" i="33" s="1"/>
  <c r="E242" i="33"/>
  <c r="B238" i="33"/>
  <c r="E238" i="33" s="1"/>
  <c r="B237" i="33"/>
  <c r="E237" i="33" s="1"/>
  <c r="B236" i="33"/>
  <c r="E236" i="33" s="1"/>
  <c r="B235" i="33"/>
  <c r="E235" i="33" s="1"/>
  <c r="B234" i="33"/>
  <c r="E234" i="33" s="1"/>
  <c r="B233" i="33"/>
  <c r="E233" i="33" s="1"/>
  <c r="B232" i="33"/>
  <c r="E232" i="33" s="1"/>
  <c r="B231" i="33"/>
  <c r="E231" i="33" s="1"/>
  <c r="B230" i="33"/>
  <c r="E230" i="33" s="1"/>
  <c r="E229" i="33"/>
  <c r="B225" i="33"/>
  <c r="E225" i="33" s="1"/>
  <c r="B224" i="33"/>
  <c r="E224" i="33" s="1"/>
  <c r="B223" i="33"/>
  <c r="E223" i="33" s="1"/>
  <c r="B222" i="33"/>
  <c r="E222" i="33" s="1"/>
  <c r="B221" i="33"/>
  <c r="E221" i="33" s="1"/>
  <c r="B220" i="33"/>
  <c r="E220" i="33" s="1"/>
  <c r="B219" i="33"/>
  <c r="E219" i="33" s="1"/>
  <c r="B218" i="33"/>
  <c r="E218" i="33" s="1"/>
  <c r="B217" i="33"/>
  <c r="E217" i="33" s="1"/>
  <c r="E216" i="33"/>
  <c r="B212" i="33"/>
  <c r="E212" i="33" s="1"/>
  <c r="B211" i="33"/>
  <c r="E211" i="33" s="1"/>
  <c r="B210" i="33"/>
  <c r="E210" i="33" s="1"/>
  <c r="B209" i="33"/>
  <c r="E209" i="33" s="1"/>
  <c r="B208" i="33"/>
  <c r="E208" i="33" s="1"/>
  <c r="B207" i="33"/>
  <c r="E207" i="33" s="1"/>
  <c r="B206" i="33"/>
  <c r="E206" i="33" s="1"/>
  <c r="B205" i="33"/>
  <c r="E205" i="33" s="1"/>
  <c r="B204" i="33"/>
  <c r="E204" i="33" s="1"/>
  <c r="E203" i="33"/>
  <c r="B199" i="33"/>
  <c r="E199" i="33" s="1"/>
  <c r="B198" i="33"/>
  <c r="E198" i="33" s="1"/>
  <c r="B197" i="33"/>
  <c r="E197" i="33" s="1"/>
  <c r="B196" i="33"/>
  <c r="E196" i="33" s="1"/>
  <c r="B195" i="33"/>
  <c r="E195" i="33" s="1"/>
  <c r="B194" i="33"/>
  <c r="E194" i="33" s="1"/>
  <c r="B193" i="33"/>
  <c r="E193" i="33" s="1"/>
  <c r="B192" i="33"/>
  <c r="E192" i="33" s="1"/>
  <c r="B191" i="33"/>
  <c r="E191" i="33" s="1"/>
  <c r="E190" i="33"/>
  <c r="B186" i="33"/>
  <c r="E186" i="33" s="1"/>
  <c r="B185" i="33"/>
  <c r="E185" i="33" s="1"/>
  <c r="B184" i="33"/>
  <c r="E184" i="33" s="1"/>
  <c r="B183" i="33"/>
  <c r="E183" i="33" s="1"/>
  <c r="B182" i="33"/>
  <c r="E182" i="33" s="1"/>
  <c r="B181" i="33"/>
  <c r="E181" i="33" s="1"/>
  <c r="B180" i="33"/>
  <c r="E180" i="33" s="1"/>
  <c r="B179" i="33"/>
  <c r="E179" i="33" s="1"/>
  <c r="B178" i="33"/>
  <c r="E178" i="33" s="1"/>
  <c r="E177" i="33"/>
  <c r="B173" i="33"/>
  <c r="E173" i="33" s="1"/>
  <c r="T17" i="33" s="1"/>
  <c r="B172" i="33"/>
  <c r="E172" i="33" s="1"/>
  <c r="T16" i="33" s="1"/>
  <c r="B171" i="33"/>
  <c r="E171" i="33" s="1"/>
  <c r="T15" i="33" s="1"/>
  <c r="B170" i="33"/>
  <c r="E170" i="33" s="1"/>
  <c r="T14" i="33" s="1"/>
  <c r="B169" i="33"/>
  <c r="E169" i="33" s="1"/>
  <c r="T13" i="33" s="1"/>
  <c r="B168" i="33"/>
  <c r="E168" i="33" s="1"/>
  <c r="T12" i="33" s="1"/>
  <c r="B167" i="33"/>
  <c r="E167" i="33" s="1"/>
  <c r="T11" i="33" s="1"/>
  <c r="B166" i="33"/>
  <c r="E166" i="33" s="1"/>
  <c r="T10" i="33" s="1"/>
  <c r="B165" i="33"/>
  <c r="E165" i="33" s="1"/>
  <c r="T9" i="33" s="1"/>
  <c r="E164" i="33"/>
  <c r="T8" i="33" s="1"/>
  <c r="E151" i="33"/>
  <c r="S8" i="33" s="1"/>
  <c r="B152" i="33"/>
  <c r="E152" i="33" s="1"/>
  <c r="S9" i="33" s="1"/>
  <c r="B153" i="33"/>
  <c r="E153" i="33" s="1"/>
  <c r="S10" i="33" s="1"/>
  <c r="B154" i="33"/>
  <c r="E154" i="33" s="1"/>
  <c r="S11" i="33" s="1"/>
  <c r="B155" i="33"/>
  <c r="E155" i="33" s="1"/>
  <c r="S12" i="33" s="1"/>
  <c r="B156" i="33"/>
  <c r="E156" i="33" s="1"/>
  <c r="S13" i="33" s="1"/>
  <c r="E138" i="33"/>
  <c r="R8" i="33" s="1"/>
  <c r="B139" i="33"/>
  <c r="E139" i="33" s="1"/>
  <c r="R9" i="33" s="1"/>
  <c r="B140" i="33"/>
  <c r="E140" i="33" s="1"/>
  <c r="R10" i="33" s="1"/>
  <c r="B141" i="33"/>
  <c r="E141" i="33" s="1"/>
  <c r="R11" i="33" s="1"/>
  <c r="B142" i="33"/>
  <c r="E142" i="33" s="1"/>
  <c r="R12" i="33" s="1"/>
  <c r="B143" i="33"/>
  <c r="E143" i="33" s="1"/>
  <c r="R13" i="33" s="1"/>
  <c r="E125" i="33"/>
  <c r="Q8" i="33" s="1"/>
  <c r="B126" i="33"/>
  <c r="E126" i="33" s="1"/>
  <c r="Q9" i="33" s="1"/>
  <c r="B127" i="33"/>
  <c r="E127" i="33" s="1"/>
  <c r="Q10" i="33" s="1"/>
  <c r="B128" i="33"/>
  <c r="E128" i="33" s="1"/>
  <c r="Q11" i="33" s="1"/>
  <c r="B129" i="33"/>
  <c r="E129" i="33" s="1"/>
  <c r="Q12" i="33" s="1"/>
  <c r="B130" i="33"/>
  <c r="E130" i="33" s="1"/>
  <c r="Q13" i="33" s="1"/>
  <c r="D115" i="33"/>
  <c r="D114" i="33"/>
  <c r="D113" i="33"/>
  <c r="B113" i="33"/>
  <c r="B114" i="33"/>
  <c r="B115" i="33"/>
  <c r="B116" i="33"/>
  <c r="E116" i="33" s="1"/>
  <c r="P12" i="33" s="1"/>
  <c r="B117" i="33"/>
  <c r="E112" i="33"/>
  <c r="P8" i="33" s="1"/>
  <c r="E100" i="33"/>
  <c r="O9" i="33" s="1"/>
  <c r="B101" i="33"/>
  <c r="E101" i="33" s="1"/>
  <c r="O10" i="33" s="1"/>
  <c r="B102" i="33"/>
  <c r="E102" i="33" s="1"/>
  <c r="O11" i="33" s="1"/>
  <c r="B103" i="33"/>
  <c r="E103" i="33" s="1"/>
  <c r="O12" i="33" s="1"/>
  <c r="B104" i="33"/>
  <c r="E104" i="33" s="1"/>
  <c r="O13" i="33" s="1"/>
  <c r="D88" i="33"/>
  <c r="D86" i="33"/>
  <c r="E86" i="33" s="1"/>
  <c r="N8" i="33" s="1"/>
  <c r="B87" i="33"/>
  <c r="E87" i="33" s="1"/>
  <c r="N9" i="33" s="1"/>
  <c r="B88" i="33"/>
  <c r="B89" i="33"/>
  <c r="E89" i="33" s="1"/>
  <c r="N11" i="33" s="1"/>
  <c r="B90" i="33"/>
  <c r="E90" i="33" s="1"/>
  <c r="N12" i="33" s="1"/>
  <c r="B91" i="33"/>
  <c r="E91" i="33" s="1"/>
  <c r="B74" i="33"/>
  <c r="E74" i="33" s="1"/>
  <c r="M9" i="33" s="1"/>
  <c r="B75" i="33"/>
  <c r="E75" i="33" s="1"/>
  <c r="M10" i="33" s="1"/>
  <c r="B76" i="33"/>
  <c r="E76" i="33" s="1"/>
  <c r="M11" i="33" s="1"/>
  <c r="B77" i="33"/>
  <c r="E77" i="33" s="1"/>
  <c r="M12" i="33" s="1"/>
  <c r="B78" i="33"/>
  <c r="E78" i="33" s="1"/>
  <c r="M13" i="33" s="1"/>
  <c r="E73" i="33"/>
  <c r="M8" i="33" s="1"/>
  <c r="E60" i="33"/>
  <c r="L8" i="33" s="1"/>
  <c r="B61" i="33"/>
  <c r="E61" i="33" s="1"/>
  <c r="L9" i="33" s="1"/>
  <c r="B62" i="33"/>
  <c r="E62" i="33" s="1"/>
  <c r="L10" i="33" s="1"/>
  <c r="B63" i="33"/>
  <c r="E63" i="33" s="1"/>
  <c r="L11" i="33" s="1"/>
  <c r="B64" i="33"/>
  <c r="E64" i="33" s="1"/>
  <c r="L12" i="33" s="1"/>
  <c r="B65" i="33"/>
  <c r="E65" i="33" s="1"/>
  <c r="L13" i="33" s="1"/>
  <c r="E34" i="33"/>
  <c r="J8" i="33" s="1"/>
  <c r="B35" i="33"/>
  <c r="E35" i="33" s="1"/>
  <c r="J9" i="33" s="1"/>
  <c r="B36" i="33"/>
  <c r="E36" i="33" s="1"/>
  <c r="J10" i="33" s="1"/>
  <c r="B37" i="33"/>
  <c r="E37" i="33" s="1"/>
  <c r="J11" i="33" s="1"/>
  <c r="B38" i="33"/>
  <c r="E38" i="33" s="1"/>
  <c r="J12" i="33" s="1"/>
  <c r="B39" i="33"/>
  <c r="E39" i="33" s="1"/>
  <c r="J13" i="33" s="1"/>
  <c r="O8" i="33"/>
  <c r="E21" i="33"/>
  <c r="I8" i="33" s="1"/>
  <c r="B22" i="33"/>
  <c r="E22" i="33" s="1"/>
  <c r="I9" i="33" s="1"/>
  <c r="B23" i="33"/>
  <c r="E23" i="33" s="1"/>
  <c r="I10" i="33" s="1"/>
  <c r="B24" i="33"/>
  <c r="E24" i="33" s="1"/>
  <c r="I11" i="33" s="1"/>
  <c r="B25" i="33"/>
  <c r="E25" i="33" s="1"/>
  <c r="I12" i="33" s="1"/>
  <c r="B26" i="33"/>
  <c r="E26" i="33" s="1"/>
  <c r="I13" i="33" s="1"/>
  <c r="E8" i="33"/>
  <c r="H8" i="33" s="1"/>
  <c r="D51" i="33"/>
  <c r="D50" i="33"/>
  <c r="D49" i="33"/>
  <c r="D48" i="33"/>
  <c r="D47" i="33"/>
  <c r="E47" i="33" s="1"/>
  <c r="K8" i="33" s="1"/>
  <c r="B48" i="33"/>
  <c r="B49" i="33"/>
  <c r="B50" i="33"/>
  <c r="B51" i="33"/>
  <c r="B52" i="33"/>
  <c r="E52" i="33" s="1"/>
  <c r="K13" i="33" s="1"/>
  <c r="B9" i="33"/>
  <c r="E9" i="33" s="1"/>
  <c r="H9" i="33" s="1"/>
  <c r="B10" i="33"/>
  <c r="E10" i="33" s="1"/>
  <c r="H10" i="33" s="1"/>
  <c r="B11" i="33"/>
  <c r="E11" i="33" s="1"/>
  <c r="H11" i="33" s="1"/>
  <c r="B12" i="33"/>
  <c r="E12" i="33" s="1"/>
  <c r="H12" i="33" s="1"/>
  <c r="B13" i="33"/>
  <c r="D117" i="33"/>
  <c r="B160" i="33"/>
  <c r="E160" i="33" s="1"/>
  <c r="S17" i="33" s="1"/>
  <c r="B159" i="33"/>
  <c r="E159" i="33" s="1"/>
  <c r="S16" i="33" s="1"/>
  <c r="B158" i="33"/>
  <c r="E158" i="33" s="1"/>
  <c r="S15" i="33" s="1"/>
  <c r="B157" i="33"/>
  <c r="E157" i="33" s="1"/>
  <c r="S14" i="33" s="1"/>
  <c r="D119" i="33"/>
  <c r="B147" i="33"/>
  <c r="E147" i="33" s="1"/>
  <c r="R17" i="33" s="1"/>
  <c r="B146" i="33"/>
  <c r="E146" i="33" s="1"/>
  <c r="R16" i="33" s="1"/>
  <c r="B145" i="33"/>
  <c r="E145" i="33" s="1"/>
  <c r="R15" i="33" s="1"/>
  <c r="B144" i="33"/>
  <c r="E144" i="33" s="1"/>
  <c r="R14" i="33" s="1"/>
  <c r="B134" i="33"/>
  <c r="E134" i="33" s="1"/>
  <c r="Q17" i="33" s="1"/>
  <c r="B133" i="33"/>
  <c r="E133" i="33" s="1"/>
  <c r="Q16" i="33" s="1"/>
  <c r="B132" i="33"/>
  <c r="E132" i="33" s="1"/>
  <c r="Q15" i="33" s="1"/>
  <c r="B131" i="33"/>
  <c r="E131" i="33" s="1"/>
  <c r="Q14" i="33" s="1"/>
  <c r="B121" i="33"/>
  <c r="E121" i="33" s="1"/>
  <c r="P17" i="33" s="1"/>
  <c r="B120" i="33"/>
  <c r="E120" i="33" s="1"/>
  <c r="P16" i="33" s="1"/>
  <c r="B119" i="33"/>
  <c r="B118" i="33"/>
  <c r="E118" i="33" s="1"/>
  <c r="P14" i="33" s="1"/>
  <c r="B108" i="33"/>
  <c r="E108" i="33" s="1"/>
  <c r="O17" i="33" s="1"/>
  <c r="B107" i="33"/>
  <c r="E107" i="33" s="1"/>
  <c r="O16" i="33" s="1"/>
  <c r="B106" i="33"/>
  <c r="E106" i="33" s="1"/>
  <c r="O15" i="33" s="1"/>
  <c r="B105" i="33"/>
  <c r="E105" i="33" s="1"/>
  <c r="O14" i="33" s="1"/>
  <c r="B95" i="33"/>
  <c r="E95" i="33" s="1"/>
  <c r="N17" i="33" s="1"/>
  <c r="B94" i="33"/>
  <c r="E94" i="33" s="1"/>
  <c r="N16" i="33" s="1"/>
  <c r="B93" i="33"/>
  <c r="E93" i="33" s="1"/>
  <c r="N15" i="33" s="1"/>
  <c r="B92" i="33"/>
  <c r="E92" i="33" s="1"/>
  <c r="N14" i="33" s="1"/>
  <c r="B82" i="33"/>
  <c r="E82" i="33" s="1"/>
  <c r="M17" i="33" s="1"/>
  <c r="B81" i="33"/>
  <c r="E81" i="33" s="1"/>
  <c r="M16" i="33" s="1"/>
  <c r="B80" i="33"/>
  <c r="E80" i="33" s="1"/>
  <c r="M15" i="33" s="1"/>
  <c r="B79" i="33"/>
  <c r="E79" i="33" s="1"/>
  <c r="M14" i="33" s="1"/>
  <c r="B69" i="33"/>
  <c r="E69" i="33" s="1"/>
  <c r="L17" i="33" s="1"/>
  <c r="B68" i="33"/>
  <c r="E68" i="33" s="1"/>
  <c r="L16" i="33" s="1"/>
  <c r="B67" i="33"/>
  <c r="E67" i="33" s="1"/>
  <c r="L15" i="33" s="1"/>
  <c r="B66" i="33"/>
  <c r="E66" i="33" s="1"/>
  <c r="L14" i="33" s="1"/>
  <c r="B56" i="33"/>
  <c r="E56" i="33" s="1"/>
  <c r="K17" i="33" s="1"/>
  <c r="B55" i="33"/>
  <c r="E55" i="33" s="1"/>
  <c r="K16" i="33" s="1"/>
  <c r="B54" i="33"/>
  <c r="E54" i="33" s="1"/>
  <c r="K15" i="33" s="1"/>
  <c r="B53" i="33"/>
  <c r="E53" i="33" s="1"/>
  <c r="K14" i="33" s="1"/>
  <c r="B43" i="33"/>
  <c r="E43" i="33" s="1"/>
  <c r="J17" i="33" s="1"/>
  <c r="B42" i="33"/>
  <c r="E42" i="33" s="1"/>
  <c r="J16" i="33" s="1"/>
  <c r="B41" i="33"/>
  <c r="E41" i="33" s="1"/>
  <c r="J15" i="33" s="1"/>
  <c r="B40" i="33"/>
  <c r="E40" i="33" s="1"/>
  <c r="J14" i="33" s="1"/>
  <c r="B30" i="33"/>
  <c r="E30" i="33" s="1"/>
  <c r="I17" i="33" s="1"/>
  <c r="B29" i="33"/>
  <c r="E29" i="33" s="1"/>
  <c r="I16" i="33" s="1"/>
  <c r="B28" i="33"/>
  <c r="E28" i="33" s="1"/>
  <c r="I15" i="33" s="1"/>
  <c r="B27" i="33"/>
  <c r="E27" i="33" s="1"/>
  <c r="I14" i="33" s="1"/>
  <c r="B17" i="33"/>
  <c r="E17" i="33" s="1"/>
  <c r="H17" i="33" s="1"/>
  <c r="B16" i="33"/>
  <c r="E16" i="33" s="1"/>
  <c r="H16" i="33" s="1"/>
  <c r="B15" i="33"/>
  <c r="E15" i="33" s="1"/>
  <c r="H15" i="33" s="1"/>
  <c r="D28" i="1"/>
  <c r="J72" i="1" s="1"/>
  <c r="G10" i="19"/>
  <c r="T22" i="19"/>
  <c r="T5" i="3" s="1"/>
  <c r="S22" i="19"/>
  <c r="S5" i="3" s="1"/>
  <c r="R22" i="19"/>
  <c r="R5" i="3" s="1"/>
  <c r="M5" i="3"/>
  <c r="L23" i="19"/>
  <c r="L6" i="3" s="1"/>
  <c r="L24" i="19"/>
  <c r="L7" i="3" s="1"/>
  <c r="L25" i="19"/>
  <c r="L8" i="3" s="1"/>
  <c r="L26" i="19"/>
  <c r="L9" i="3" s="1"/>
  <c r="G24" i="19"/>
  <c r="G7" i="3" s="1"/>
  <c r="G26" i="19"/>
  <c r="G9" i="3" s="1"/>
  <c r="L22" i="19"/>
  <c r="L5" i="3" s="1"/>
  <c r="G14" i="19"/>
  <c r="G28" i="19"/>
  <c r="G11" i="3" s="1"/>
  <c r="G30" i="19"/>
  <c r="G13" i="3" s="1"/>
  <c r="G31" i="19"/>
  <c r="G32" i="19"/>
  <c r="G14" i="3" s="1"/>
  <c r="G33" i="19"/>
  <c r="G34" i="19"/>
  <c r="G11" i="19"/>
  <c r="G12" i="19"/>
  <c r="G13" i="19"/>
  <c r="L28" i="19"/>
  <c r="L11" i="3" s="1"/>
  <c r="L30" i="19"/>
  <c r="L13" i="3" s="1"/>
  <c r="L32" i="19"/>
  <c r="L14" i="3" s="1"/>
  <c r="L10" i="19"/>
  <c r="L33" i="19"/>
  <c r="L34" i="19"/>
  <c r="L11" i="19"/>
  <c r="L12" i="19"/>
  <c r="L13" i="19"/>
  <c r="L14" i="19"/>
  <c r="G27" i="19"/>
  <c r="G10" i="3" s="1"/>
  <c r="L27" i="19"/>
  <c r="L10" i="3" s="1"/>
  <c r="T9" i="3" l="1"/>
  <c r="L112" i="30"/>
  <c r="J6" i="30" s="1"/>
  <c r="S77" i="30"/>
  <c r="M9" i="30" s="1"/>
  <c r="W49" i="1"/>
  <c r="B16" i="1"/>
  <c r="B136" i="33" s="1"/>
  <c r="R7" i="33" s="1"/>
  <c r="T7" i="3"/>
  <c r="T9" i="37"/>
  <c r="B12" i="37"/>
  <c r="S73" i="30"/>
  <c r="M5" i="30" s="1"/>
  <c r="W30" i="37"/>
  <c r="W28" i="37"/>
  <c r="V30" i="37"/>
  <c r="B13" i="37"/>
  <c r="B31" i="37"/>
  <c r="T31" i="37"/>
  <c r="U31" i="37"/>
  <c r="V23" i="37"/>
  <c r="T33" i="37"/>
  <c r="U33" i="37"/>
  <c r="W33" i="37"/>
  <c r="B26" i="37"/>
  <c r="T8" i="3"/>
  <c r="T28" i="37"/>
  <c r="L116" i="30"/>
  <c r="J10" i="30" s="1"/>
  <c r="U28" i="37"/>
  <c r="O31" i="37"/>
  <c r="J27" i="37"/>
  <c r="F27" i="37" s="1"/>
  <c r="O35" i="37"/>
  <c r="J26" i="37"/>
  <c r="F26" i="37" s="1"/>
  <c r="O7" i="37"/>
  <c r="J23" i="37"/>
  <c r="G23" i="37" s="1"/>
  <c r="J32" i="37"/>
  <c r="G32" i="37" s="1"/>
  <c r="W6" i="37"/>
  <c r="B7" i="37"/>
  <c r="B8" i="37"/>
  <c r="W8" i="37"/>
  <c r="O13" i="37"/>
  <c r="W23" i="37"/>
  <c r="V28" i="37"/>
  <c r="V33" i="37"/>
  <c r="B24" i="37"/>
  <c r="B10" i="37"/>
  <c r="T24" i="37"/>
  <c r="B29" i="37"/>
  <c r="V31" i="37"/>
  <c r="B34" i="37"/>
  <c r="J8" i="37"/>
  <c r="F8" i="37" s="1"/>
  <c r="B11" i="37"/>
  <c r="T29" i="37"/>
  <c r="W31" i="37"/>
  <c r="T34" i="37"/>
  <c r="J24" i="37"/>
  <c r="G24" i="37" s="1"/>
  <c r="B27" i="37"/>
  <c r="U29" i="37"/>
  <c r="B32" i="37"/>
  <c r="U34" i="37"/>
  <c r="V29" i="37"/>
  <c r="T32" i="37"/>
  <c r="B14" i="37"/>
  <c r="B25" i="37"/>
  <c r="U27" i="37"/>
  <c r="W29" i="37"/>
  <c r="U32" i="37"/>
  <c r="W34" i="37"/>
  <c r="T25" i="37"/>
  <c r="V27" i="37"/>
  <c r="B30" i="37"/>
  <c r="V32" i="37"/>
  <c r="B35" i="37"/>
  <c r="V34" i="37"/>
  <c r="B23" i="37"/>
  <c r="U25" i="37"/>
  <c r="T30" i="37"/>
  <c r="W32" i="37"/>
  <c r="L115" i="30"/>
  <c r="J9" i="30" s="1"/>
  <c r="J14" i="37"/>
  <c r="F14" i="37" s="1"/>
  <c r="V25" i="37"/>
  <c r="V37" i="37" s="1"/>
  <c r="V38" i="37" s="1"/>
  <c r="B28" i="37"/>
  <c r="U30" i="37"/>
  <c r="B33" i="37"/>
  <c r="B6" i="37"/>
  <c r="U23" i="37"/>
  <c r="W25" i="37"/>
  <c r="J35" i="37"/>
  <c r="G35" i="37" s="1"/>
  <c r="U9" i="37"/>
  <c r="V9" i="37"/>
  <c r="W9" i="37"/>
  <c r="O14" i="37"/>
  <c r="U13" i="37"/>
  <c r="T7" i="37"/>
  <c r="O9" i="37"/>
  <c r="J10" i="37"/>
  <c r="G10" i="37" s="1"/>
  <c r="U7" i="37"/>
  <c r="V7" i="37"/>
  <c r="U8" i="37"/>
  <c r="W7" i="37"/>
  <c r="V8" i="37"/>
  <c r="O6" i="37"/>
  <c r="W11" i="37"/>
  <c r="W12" i="37"/>
  <c r="O23" i="37"/>
  <c r="J29" i="37"/>
  <c r="G29" i="37" s="1"/>
  <c r="O33" i="37"/>
  <c r="U14" i="37"/>
  <c r="T14" i="37"/>
  <c r="J12" i="37"/>
  <c r="F12" i="37" s="1"/>
  <c r="T8" i="37"/>
  <c r="J7" i="37"/>
  <c r="F7" i="37" s="1"/>
  <c r="J25" i="37"/>
  <c r="F25" i="37" s="1"/>
  <c r="G31" i="37"/>
  <c r="F31" i="37"/>
  <c r="O8" i="37"/>
  <c r="J13" i="37"/>
  <c r="F13" i="37" s="1"/>
  <c r="O28" i="37"/>
  <c r="O30" i="37"/>
  <c r="O32" i="37"/>
  <c r="O11" i="37"/>
  <c r="O26" i="37"/>
  <c r="J33" i="37"/>
  <c r="G33" i="37" s="1"/>
  <c r="D17" i="37"/>
  <c r="V6" i="37"/>
  <c r="U10" i="37"/>
  <c r="G27" i="37"/>
  <c r="F41" i="37"/>
  <c r="V10" i="37"/>
  <c r="O12" i="37"/>
  <c r="D42" i="37"/>
  <c r="O24" i="37"/>
  <c r="G54" i="37"/>
  <c r="W10" i="37"/>
  <c r="J6" i="37"/>
  <c r="F6" i="37" s="1"/>
  <c r="T13" i="37"/>
  <c r="V39" i="37"/>
  <c r="O27" i="37"/>
  <c r="O29" i="37"/>
  <c r="J30" i="37"/>
  <c r="G30" i="37" s="1"/>
  <c r="V13" i="37"/>
  <c r="J11" i="37"/>
  <c r="G11" i="37" s="1"/>
  <c r="W13" i="37"/>
  <c r="V14" i="37"/>
  <c r="O25" i="37"/>
  <c r="J28" i="37"/>
  <c r="G28" i="37" s="1"/>
  <c r="V35" i="37"/>
  <c r="W35" i="37"/>
  <c r="O10" i="37"/>
  <c r="W14" i="37"/>
  <c r="O34" i="37"/>
  <c r="J34" i="37"/>
  <c r="F34" i="37" s="1"/>
  <c r="D37" i="37"/>
  <c r="F37" i="37"/>
  <c r="G53" i="37"/>
  <c r="T6" i="37"/>
  <c r="T12" i="37"/>
  <c r="D16" i="37"/>
  <c r="U6" i="37"/>
  <c r="U12" i="37"/>
  <c r="T11" i="37"/>
  <c r="V12" i="37"/>
  <c r="F16" i="37"/>
  <c r="F23" i="37"/>
  <c r="E23" i="37" s="1"/>
  <c r="D38" i="37"/>
  <c r="U11" i="37"/>
  <c r="T35" i="37"/>
  <c r="J9" i="37"/>
  <c r="F9" i="37" s="1"/>
  <c r="T10" i="37"/>
  <c r="V11" i="37"/>
  <c r="U35" i="37"/>
  <c r="S74" i="30"/>
  <c r="M6" i="30" s="1"/>
  <c r="S7" i="3"/>
  <c r="S92" i="30"/>
  <c r="N5" i="30" s="1"/>
  <c r="T54" i="1"/>
  <c r="V49" i="1"/>
  <c r="S14" i="3"/>
  <c r="S12" i="3"/>
  <c r="L138" i="30"/>
  <c r="K13" i="30" s="1"/>
  <c r="T13" i="3"/>
  <c r="B14" i="3"/>
  <c r="S13" i="3"/>
  <c r="B13" i="3"/>
  <c r="R13" i="3"/>
  <c r="B12" i="3"/>
  <c r="Q13" i="3"/>
  <c r="Q11" i="3"/>
  <c r="T14" i="3"/>
  <c r="T12" i="3"/>
  <c r="T10" i="3"/>
  <c r="S10" i="3"/>
  <c r="R14" i="3"/>
  <c r="R12" i="3"/>
  <c r="R10" i="3"/>
  <c r="Q12" i="3"/>
  <c r="Q10" i="3"/>
  <c r="S80" i="30"/>
  <c r="M12" i="30" s="1"/>
  <c r="S81" i="30"/>
  <c r="M13" i="30" s="1"/>
  <c r="O56" i="1"/>
  <c r="O4" i="30"/>
  <c r="O18" i="30"/>
  <c r="O19" i="30"/>
  <c r="S75" i="30"/>
  <c r="M7" i="30" s="1"/>
  <c r="L114" i="30"/>
  <c r="J8" i="30" s="1"/>
  <c r="L113" i="30"/>
  <c r="J7" i="30" s="1"/>
  <c r="O16" i="30"/>
  <c r="J69" i="1"/>
  <c r="D23" i="1"/>
  <c r="B49" i="1"/>
  <c r="B127" i="30" s="1"/>
  <c r="F3" i="30" s="1"/>
  <c r="J68" i="1"/>
  <c r="D59" i="1"/>
  <c r="D63" i="1"/>
  <c r="T13" i="1"/>
  <c r="V21" i="1"/>
  <c r="V15" i="1"/>
  <c r="F58" i="1"/>
  <c r="T19" i="1"/>
  <c r="T20" i="1"/>
  <c r="T14" i="1"/>
  <c r="D24" i="1"/>
  <c r="V18" i="1"/>
  <c r="V14" i="1"/>
  <c r="V20" i="1"/>
  <c r="T21" i="1"/>
  <c r="W20" i="1"/>
  <c r="F62" i="1"/>
  <c r="D58" i="1"/>
  <c r="I89" i="30"/>
  <c r="I3" i="30" s="1"/>
  <c r="B97" i="33"/>
  <c r="O7" i="33" s="1"/>
  <c r="M3" i="30"/>
  <c r="B149" i="33"/>
  <c r="S7" i="33" s="1"/>
  <c r="B45" i="33"/>
  <c r="K7" i="33" s="1"/>
  <c r="B51" i="1"/>
  <c r="B47" i="1"/>
  <c r="B50" i="1"/>
  <c r="B46" i="1"/>
  <c r="B70" i="30" s="1"/>
  <c r="C3" i="30" s="1"/>
  <c r="F23" i="1"/>
  <c r="B45" i="1"/>
  <c r="B51" i="30" s="1"/>
  <c r="U20" i="1"/>
  <c r="U14" i="1"/>
  <c r="B48" i="1"/>
  <c r="B108" i="30" s="1"/>
  <c r="E3" i="30" s="1"/>
  <c r="O54" i="1"/>
  <c r="J54" i="1"/>
  <c r="G54" i="1" s="1"/>
  <c r="W14" i="1"/>
  <c r="U21" i="1"/>
  <c r="T18" i="1"/>
  <c r="U15" i="1"/>
  <c r="W13" i="1"/>
  <c r="T15" i="1"/>
  <c r="T57" i="1"/>
  <c r="T16" i="1"/>
  <c r="V19" i="1"/>
  <c r="U18" i="1"/>
  <c r="W17" i="1"/>
  <c r="U13" i="1"/>
  <c r="V17" i="1"/>
  <c r="V13" i="1"/>
  <c r="U17" i="1"/>
  <c r="W57" i="1"/>
  <c r="W19" i="1"/>
  <c r="W16" i="1"/>
  <c r="V57" i="1"/>
  <c r="V16" i="1"/>
  <c r="U57" i="1"/>
  <c r="U19" i="1"/>
  <c r="U16" i="1"/>
  <c r="W21" i="1"/>
  <c r="W18" i="1"/>
  <c r="W15" i="1"/>
  <c r="W51" i="1"/>
  <c r="V51" i="1"/>
  <c r="U51" i="1"/>
  <c r="J56" i="1"/>
  <c r="F56" i="1" s="1"/>
  <c r="O55" i="1"/>
  <c r="J55" i="1"/>
  <c r="F55" i="1" s="1"/>
  <c r="L3" i="30"/>
  <c r="I108" i="30"/>
  <c r="J3" i="30" s="1"/>
  <c r="E8" i="3"/>
  <c r="P5" i="3"/>
  <c r="O5" i="3"/>
  <c r="N5" i="3"/>
  <c r="Q8" i="3"/>
  <c r="R8" i="3"/>
  <c r="P8" i="3"/>
  <c r="S8" i="3"/>
  <c r="O8" i="3"/>
  <c r="N8" i="3"/>
  <c r="E5" i="3"/>
  <c r="Q22" i="19"/>
  <c r="M8" i="3"/>
  <c r="R6" i="3"/>
  <c r="F6" i="3"/>
  <c r="S6" i="3"/>
  <c r="Q9" i="3"/>
  <c r="E6" i="3"/>
  <c r="T6" i="3"/>
  <c r="T46" i="1"/>
  <c r="P6" i="3"/>
  <c r="U45" i="1"/>
  <c r="O6" i="3"/>
  <c r="V45" i="1"/>
  <c r="N6" i="3"/>
  <c r="W45" i="1"/>
  <c r="W48" i="1"/>
  <c r="F8" i="3"/>
  <c r="M6" i="3"/>
  <c r="F5" i="3"/>
  <c r="R7" i="3"/>
  <c r="Q7" i="3"/>
  <c r="E113" i="33"/>
  <c r="P9" i="33" s="1"/>
  <c r="L76" i="30"/>
  <c r="H8" i="30" s="1"/>
  <c r="E113" i="30"/>
  <c r="E7" i="30" s="1"/>
  <c r="E112" i="30"/>
  <c r="E6" i="30" s="1"/>
  <c r="U8" i="33"/>
  <c r="U16" i="33"/>
  <c r="U17" i="33"/>
  <c r="L111" i="30"/>
  <c r="J5" i="30" s="1"/>
  <c r="E115" i="30"/>
  <c r="E9" i="30" s="1"/>
  <c r="S56" i="30"/>
  <c r="L7" i="30" s="1"/>
  <c r="E114" i="30"/>
  <c r="E8" i="30" s="1"/>
  <c r="L77" i="30"/>
  <c r="H9" i="30" s="1"/>
  <c r="L78" i="30"/>
  <c r="H10" i="30" s="1"/>
  <c r="N3" i="30"/>
  <c r="E57" i="30"/>
  <c r="B8" i="30" s="1"/>
  <c r="E56" i="30"/>
  <c r="B7" i="30" s="1"/>
  <c r="E116" i="30"/>
  <c r="E10" i="30" s="1"/>
  <c r="E118" i="30"/>
  <c r="E12" i="30" s="1"/>
  <c r="L118" i="30"/>
  <c r="J12" i="30" s="1"/>
  <c r="L123" i="30"/>
  <c r="J17" i="30" s="1"/>
  <c r="O17" i="30" s="1"/>
  <c r="E117" i="30"/>
  <c r="E11" i="30" s="1"/>
  <c r="L117" i="30"/>
  <c r="J11" i="30" s="1"/>
  <c r="E119" i="30"/>
  <c r="E13" i="30" s="1"/>
  <c r="E120" i="30"/>
  <c r="E14" i="30" s="1"/>
  <c r="O14" i="30" s="1"/>
  <c r="L80" i="30"/>
  <c r="H12" i="30" s="1"/>
  <c r="L119" i="30"/>
  <c r="J13" i="30" s="1"/>
  <c r="L121" i="30"/>
  <c r="J15" i="30" s="1"/>
  <c r="O15" i="30" s="1"/>
  <c r="E115" i="33"/>
  <c r="P11" i="33" s="1"/>
  <c r="E114" i="33"/>
  <c r="P10" i="33" s="1"/>
  <c r="E51" i="33"/>
  <c r="K12" i="33" s="1"/>
  <c r="U12" i="33" s="1"/>
  <c r="E50" i="33"/>
  <c r="K11" i="33" s="1"/>
  <c r="E117" i="33"/>
  <c r="P13" i="33" s="1"/>
  <c r="E49" i="33"/>
  <c r="K10" i="33" s="1"/>
  <c r="E48" i="33"/>
  <c r="K9" i="33" s="1"/>
  <c r="E88" i="33"/>
  <c r="N10" i="33" s="1"/>
  <c r="N13" i="33"/>
  <c r="E119" i="33"/>
  <c r="P15" i="33" s="1"/>
  <c r="U15" i="33" s="1"/>
  <c r="G23" i="19"/>
  <c r="G6" i="3" s="1"/>
  <c r="J16" i="1"/>
  <c r="G16" i="1" s="1"/>
  <c r="J15" i="1"/>
  <c r="G15" i="1" s="1"/>
  <c r="O15" i="1"/>
  <c r="O47" i="1"/>
  <c r="G22" i="19"/>
  <c r="G5" i="3" s="1"/>
  <c r="O46" i="1"/>
  <c r="J47" i="1"/>
  <c r="F47" i="1" s="1"/>
  <c r="O50" i="1"/>
  <c r="J49" i="1"/>
  <c r="G49" i="1" s="1"/>
  <c r="O49" i="1"/>
  <c r="O48" i="1"/>
  <c r="G25" i="19"/>
  <c r="G8" i="3" s="1"/>
  <c r="J48" i="1"/>
  <c r="G48" i="1" s="1"/>
  <c r="J50" i="1"/>
  <c r="J17" i="1"/>
  <c r="G17" i="1" s="1"/>
  <c r="J21" i="1"/>
  <c r="F21" i="1" s="1"/>
  <c r="O20" i="1"/>
  <c r="J57" i="1"/>
  <c r="F57" i="1" s="1"/>
  <c r="O57" i="1"/>
  <c r="O21" i="1"/>
  <c r="J19" i="1"/>
  <c r="G19" i="1" s="1"/>
  <c r="O19" i="1"/>
  <c r="O18" i="1"/>
  <c r="O17" i="1"/>
  <c r="O16" i="1"/>
  <c r="J20" i="1"/>
  <c r="G20" i="1" s="1"/>
  <c r="J18" i="1"/>
  <c r="F18" i="1" s="1"/>
  <c r="G26" i="37" l="1"/>
  <c r="O6" i="30"/>
  <c r="U39" i="37"/>
  <c r="F32" i="37"/>
  <c r="E32" i="37" s="1"/>
  <c r="W39" i="37"/>
  <c r="W37" i="37"/>
  <c r="W38" i="37" s="1"/>
  <c r="U37" i="37"/>
  <c r="U38" i="37" s="1"/>
  <c r="E31" i="37"/>
  <c r="E27" i="37"/>
  <c r="G12" i="37"/>
  <c r="E12" i="37" s="1"/>
  <c r="G8" i="37"/>
  <c r="E8" i="37" s="1"/>
  <c r="F24" i="37"/>
  <c r="E24" i="37" s="1"/>
  <c r="F28" i="37"/>
  <c r="E28" i="37" s="1"/>
  <c r="G14" i="37"/>
  <c r="E14" i="37" s="1"/>
  <c r="F35" i="37"/>
  <c r="E35" i="37" s="1"/>
  <c r="Q5" i="3"/>
  <c r="Q17" i="3" s="1"/>
  <c r="D21" i="3" s="1"/>
  <c r="G21" i="3" s="1"/>
  <c r="D28" i="3" s="1"/>
  <c r="T23" i="37"/>
  <c r="O5" i="30"/>
  <c r="F10" i="37"/>
  <c r="E10" i="37" s="1"/>
  <c r="F29" i="37"/>
  <c r="E29" i="37" s="1"/>
  <c r="E26" i="37"/>
  <c r="G7" i="37"/>
  <c r="E7" i="37" s="1"/>
  <c r="G6" i="37"/>
  <c r="E6" i="37" s="1"/>
  <c r="G13" i="37"/>
  <c r="E13" i="37" s="1"/>
  <c r="G25" i="37"/>
  <c r="E25" i="37" s="1"/>
  <c r="G55" i="37"/>
  <c r="F33" i="37"/>
  <c r="E33" i="37" s="1"/>
  <c r="F30" i="37"/>
  <c r="E30" i="37" s="1"/>
  <c r="G34" i="37"/>
  <c r="E34" i="37" s="1"/>
  <c r="G9" i="37"/>
  <c r="E9" i="37" s="1"/>
  <c r="F11" i="37"/>
  <c r="E11" i="37" s="1"/>
  <c r="D41" i="37"/>
  <c r="T18" i="3"/>
  <c r="E24" i="3" s="1"/>
  <c r="B58" i="33"/>
  <c r="L7" i="33" s="1"/>
  <c r="O10" i="30"/>
  <c r="O7" i="30"/>
  <c r="O11" i="30"/>
  <c r="O12" i="30"/>
  <c r="O13" i="30"/>
  <c r="O8" i="30"/>
  <c r="O9" i="30"/>
  <c r="B71" i="33"/>
  <c r="M7" i="33" s="1"/>
  <c r="I51" i="30"/>
  <c r="G3" i="30" s="1"/>
  <c r="B6" i="33"/>
  <c r="H7" i="33" s="1"/>
  <c r="F54" i="1"/>
  <c r="E54" i="1" s="1"/>
  <c r="B3" i="30"/>
  <c r="B32" i="33"/>
  <c r="J7" i="33" s="1"/>
  <c r="B89" i="30"/>
  <c r="D3" i="30" s="1"/>
  <c r="B84" i="33"/>
  <c r="N7" i="33" s="1"/>
  <c r="I70" i="30"/>
  <c r="H3" i="30" s="1"/>
  <c r="B19" i="33"/>
  <c r="I7" i="33" s="1"/>
  <c r="G56" i="1"/>
  <c r="E56" i="1" s="1"/>
  <c r="G55" i="1"/>
  <c r="E55" i="1" s="1"/>
  <c r="F49" i="1"/>
  <c r="E49" i="1" s="1"/>
  <c r="G47" i="1"/>
  <c r="E47" i="1" s="1"/>
  <c r="F50" i="1"/>
  <c r="G50" i="1"/>
  <c r="F48" i="1"/>
  <c r="E48" i="1" s="1"/>
  <c r="S17" i="3"/>
  <c r="D23" i="3" s="1"/>
  <c r="G23" i="3" s="1"/>
  <c r="D30" i="3" s="1"/>
  <c r="R17" i="3"/>
  <c r="D22" i="3" s="1"/>
  <c r="G22" i="3" s="1"/>
  <c r="D29" i="3" s="1"/>
  <c r="U9" i="33"/>
  <c r="R18" i="3"/>
  <c r="E22" i="3" s="1"/>
  <c r="R19" i="3"/>
  <c r="F22" i="3" s="1"/>
  <c r="S18" i="3"/>
  <c r="E23" i="3" s="1"/>
  <c r="Q18" i="3"/>
  <c r="E21" i="3" s="1"/>
  <c r="S19" i="3"/>
  <c r="F23" i="3" s="1"/>
  <c r="R16" i="3"/>
  <c r="C22" i="3" s="1"/>
  <c r="T17" i="3"/>
  <c r="D24" i="3" s="1"/>
  <c r="G24" i="3" s="1"/>
  <c r="D31" i="3" s="1"/>
  <c r="S16" i="3"/>
  <c r="C23" i="3" s="1"/>
  <c r="T19" i="3"/>
  <c r="F24" i="3" s="1"/>
  <c r="T16" i="3"/>
  <c r="C24" i="3" s="1"/>
  <c r="T45" i="1"/>
  <c r="W46" i="1"/>
  <c r="Q16" i="3"/>
  <c r="C21" i="3" s="1"/>
  <c r="V46" i="1"/>
  <c r="T48" i="1"/>
  <c r="U46" i="1"/>
  <c r="U48" i="1"/>
  <c r="V48" i="1"/>
  <c r="J46" i="1"/>
  <c r="U10" i="33"/>
  <c r="U11" i="33"/>
  <c r="F15" i="1"/>
  <c r="E15" i="1" s="1"/>
  <c r="F16" i="1"/>
  <c r="G21" i="1"/>
  <c r="E21" i="1" s="1"/>
  <c r="F17" i="1"/>
  <c r="F19" i="1"/>
  <c r="G57" i="1"/>
  <c r="E57" i="1" s="1"/>
  <c r="G18" i="1"/>
  <c r="F20" i="1"/>
  <c r="B15" i="16"/>
  <c r="Q19" i="3" l="1"/>
  <c r="F21" i="3" s="1"/>
  <c r="E37" i="37"/>
  <c r="T37" i="37"/>
  <c r="T38" i="37" s="1"/>
  <c r="T39" i="37"/>
  <c r="E38" i="37"/>
  <c r="G56" i="37"/>
  <c r="G58" i="37" s="1"/>
  <c r="E16" i="37"/>
  <c r="E41" i="37" s="1"/>
  <c r="E17" i="37"/>
  <c r="F17" i="37" s="1"/>
  <c r="E42" i="37"/>
  <c r="D49" i="37" s="1"/>
  <c r="D47" i="37" s="1"/>
  <c r="F38" i="37"/>
  <c r="G46" i="1"/>
  <c r="F46" i="1"/>
  <c r="E50" i="1"/>
  <c r="O20" i="30"/>
  <c r="C26" i="30" s="1"/>
  <c r="C28" i="2"/>
  <c r="E16" i="1"/>
  <c r="E20" i="1"/>
  <c r="E17" i="1"/>
  <c r="E18" i="1"/>
  <c r="E19" i="1"/>
  <c r="B117" i="27"/>
  <c r="C43" i="37" l="1"/>
  <c r="C10" i="6"/>
  <c r="F42" i="37"/>
  <c r="E46" i="1"/>
  <c r="B46" i="27"/>
  <c r="B45" i="27"/>
  <c r="D40" i="27"/>
  <c r="C55" i="27" s="1"/>
  <c r="D39" i="27"/>
  <c r="C47" i="27" s="1"/>
  <c r="A51" i="27" l="1"/>
  <c r="A59" i="27"/>
  <c r="A105" i="27"/>
  <c r="A111" i="27"/>
  <c r="B9" i="24" l="1"/>
  <c r="B8" i="24"/>
  <c r="B7" i="24"/>
  <c r="B21" i="25"/>
  <c r="E70" i="1" l="1"/>
  <c r="E21" i="15"/>
  <c r="B12" i="24" l="1"/>
  <c r="B23" i="25" s="1"/>
  <c r="B20" i="28"/>
  <c r="B27" i="25"/>
  <c r="B20" i="24"/>
  <c r="C17" i="9"/>
  <c r="C21" i="9"/>
  <c r="C8" i="9" l="1"/>
  <c r="D4" i="9"/>
  <c r="E13" i="21"/>
  <c r="D21" i="9" l="1"/>
  <c r="D17" i="9"/>
  <c r="D8" i="9"/>
  <c r="E4" i="9"/>
  <c r="O53" i="1" l="1"/>
  <c r="J53" i="1"/>
  <c r="O14" i="1"/>
  <c r="J14" i="1"/>
  <c r="G14" i="1" s="1"/>
  <c r="O13" i="1"/>
  <c r="J13" i="1"/>
  <c r="G13" i="1" s="1"/>
  <c r="J52" i="1"/>
  <c r="O52" i="1"/>
  <c r="E21" i="9"/>
  <c r="E17" i="9"/>
  <c r="E8" i="9"/>
  <c r="F4" i="9"/>
  <c r="F53" i="1" l="1"/>
  <c r="G53" i="1"/>
  <c r="F52" i="1"/>
  <c r="G52" i="1"/>
  <c r="J70" i="1"/>
  <c r="F14" i="1"/>
  <c r="E14" i="1" s="1"/>
  <c r="F13" i="1"/>
  <c r="E13" i="1" s="1"/>
  <c r="E24" i="1" s="1"/>
  <c r="F17" i="9"/>
  <c r="F21" i="9"/>
  <c r="G4" i="9"/>
  <c r="F8" i="9"/>
  <c r="E23" i="1" l="1"/>
  <c r="E52" i="1"/>
  <c r="E53" i="1"/>
  <c r="B19" i="25"/>
  <c r="G21" i="9"/>
  <c r="G17" i="9"/>
  <c r="G8" i="9"/>
  <c r="R59" i="17"/>
  <c r="Q59" i="17"/>
  <c r="P59" i="17"/>
  <c r="O59" i="17"/>
  <c r="N59" i="17"/>
  <c r="M59" i="17"/>
  <c r="L59" i="17"/>
  <c r="S58" i="17"/>
  <c r="S57" i="17"/>
  <c r="S59" i="17" s="1"/>
  <c r="N51" i="17"/>
  <c r="M51" i="17"/>
  <c r="L51" i="17"/>
  <c r="S48" i="17"/>
  <c r="S47" i="17"/>
  <c r="S46" i="17"/>
  <c r="R45" i="17"/>
  <c r="R51" i="17" s="1"/>
  <c r="Q45" i="17"/>
  <c r="Q51" i="17" s="1"/>
  <c r="P45" i="17"/>
  <c r="O45" i="17"/>
  <c r="O51" i="17" s="1"/>
  <c r="S44" i="17"/>
  <c r="N36" i="17"/>
  <c r="S35" i="17"/>
  <c r="S34" i="17"/>
  <c r="S33" i="17"/>
  <c r="S32" i="17"/>
  <c r="S31" i="17"/>
  <c r="R28" i="17"/>
  <c r="R38" i="17" s="1"/>
  <c r="Q28" i="17"/>
  <c r="Q38" i="17" s="1"/>
  <c r="P28" i="17"/>
  <c r="P38" i="17" s="1"/>
  <c r="O28" i="17"/>
  <c r="O38" i="17" s="1"/>
  <c r="N28" i="17"/>
  <c r="M28" i="17"/>
  <c r="M38" i="17" s="1"/>
  <c r="L28" i="17"/>
  <c r="L38" i="17" s="1"/>
  <c r="S25" i="17"/>
  <c r="S24" i="17"/>
  <c r="S23" i="17"/>
  <c r="S22" i="17"/>
  <c r="Q19" i="17"/>
  <c r="P19" i="17"/>
  <c r="O19" i="17"/>
  <c r="N19" i="17"/>
  <c r="S15" i="17"/>
  <c r="S13" i="17"/>
  <c r="R11" i="17"/>
  <c r="R19" i="17" s="1"/>
  <c r="Q11" i="17"/>
  <c r="M11" i="17"/>
  <c r="M19" i="17" s="1"/>
  <c r="L11" i="17"/>
  <c r="L19" i="17" s="1"/>
  <c r="S9" i="17"/>
  <c r="G126" i="17"/>
  <c r="B19" i="9" s="1"/>
  <c r="G124" i="17"/>
  <c r="G123" i="17"/>
  <c r="G118" i="17"/>
  <c r="G117" i="17"/>
  <c r="G116" i="17"/>
  <c r="G112" i="17"/>
  <c r="G111" i="17"/>
  <c r="G106" i="17"/>
  <c r="G105" i="17"/>
  <c r="G104" i="17"/>
  <c r="G103" i="17"/>
  <c r="G98" i="17"/>
  <c r="G97" i="17"/>
  <c r="G96" i="17"/>
  <c r="G95" i="17"/>
  <c r="H91" i="17"/>
  <c r="G91" i="17"/>
  <c r="F91" i="17"/>
  <c r="F15" i="17" s="1"/>
  <c r="E91" i="17"/>
  <c r="E15" i="17" s="1"/>
  <c r="D91" i="17"/>
  <c r="D15" i="17" s="1"/>
  <c r="C91" i="17"/>
  <c r="C15" i="17" s="1"/>
  <c r="B91" i="17"/>
  <c r="B15" i="17" s="1"/>
  <c r="F50" i="17"/>
  <c r="E50" i="17"/>
  <c r="D50" i="17"/>
  <c r="C50" i="17"/>
  <c r="B50" i="17"/>
  <c r="C47" i="17"/>
  <c r="C42" i="17" s="1"/>
  <c r="B47" i="17"/>
  <c r="B42" i="17" s="1"/>
  <c r="B20" i="9"/>
  <c r="F42" i="17"/>
  <c r="E42" i="17"/>
  <c r="D42" i="17"/>
  <c r="C33" i="17"/>
  <c r="F27" i="17"/>
  <c r="E27" i="17"/>
  <c r="D27" i="17"/>
  <c r="B27" i="17"/>
  <c r="F13" i="17"/>
  <c r="E13" i="17"/>
  <c r="D13" i="17"/>
  <c r="C13" i="17"/>
  <c r="B13" i="17"/>
  <c r="G108" i="17" l="1"/>
  <c r="Q40" i="17"/>
  <c r="C31" i="3" s="1"/>
  <c r="N61" i="17"/>
  <c r="P40" i="17"/>
  <c r="F135" i="17" s="1"/>
  <c r="S45" i="17"/>
  <c r="S51" i="17" s="1"/>
  <c r="S61" i="17" s="1"/>
  <c r="D17" i="17"/>
  <c r="D21" i="17" s="1"/>
  <c r="D38" i="17" s="1"/>
  <c r="G119" i="17"/>
  <c r="L61" i="17"/>
  <c r="R61" i="17"/>
  <c r="M40" i="17"/>
  <c r="C135" i="17" s="1"/>
  <c r="O40" i="17"/>
  <c r="S11" i="17"/>
  <c r="S19" i="17" s="1"/>
  <c r="M61" i="17"/>
  <c r="G99" i="17"/>
  <c r="P51" i="17"/>
  <c r="P61" i="17" s="1"/>
  <c r="G113" i="17"/>
  <c r="L40" i="17"/>
  <c r="E17" i="17"/>
  <c r="E21" i="17" s="1"/>
  <c r="E25" i="17" s="1"/>
  <c r="B36" i="24"/>
  <c r="C36" i="24"/>
  <c r="G125" i="17"/>
  <c r="O61" i="17"/>
  <c r="C17" i="17"/>
  <c r="C21" i="17" s="1"/>
  <c r="C25" i="17" s="1"/>
  <c r="R40" i="17"/>
  <c r="Q61" i="17"/>
  <c r="N38" i="17"/>
  <c r="N40" i="17" s="1"/>
  <c r="B4" i="9"/>
  <c r="B17" i="17"/>
  <c r="B21" i="17" s="1"/>
  <c r="B65" i="17" s="1"/>
  <c r="F17" i="17"/>
  <c r="F21" i="17" s="1"/>
  <c r="F25" i="17" s="1"/>
  <c r="S28" i="17"/>
  <c r="S38" i="17" s="1"/>
  <c r="C27" i="17"/>
  <c r="P18" i="3"/>
  <c r="F36" i="17" l="1"/>
  <c r="F72" i="17"/>
  <c r="F70" i="10" s="1"/>
  <c r="E36" i="17"/>
  <c r="E72" i="17"/>
  <c r="E70" i="10" s="1"/>
  <c r="C36" i="17"/>
  <c r="C72" i="17"/>
  <c r="C70" i="10" s="1"/>
  <c r="N65" i="17"/>
  <c r="N66" i="17" s="1"/>
  <c r="D135" i="17"/>
  <c r="B135" i="17"/>
  <c r="E135" i="17"/>
  <c r="Q65" i="17"/>
  <c r="E38" i="17"/>
  <c r="E40" i="17" s="1"/>
  <c r="E133" i="17" s="1"/>
  <c r="E65" i="17"/>
  <c r="E66" i="17" s="1"/>
  <c r="O65" i="17"/>
  <c r="O66" i="17" s="1"/>
  <c r="E69" i="17"/>
  <c r="D65" i="17"/>
  <c r="D66" i="17" s="1"/>
  <c r="D69" i="17"/>
  <c r="D25" i="17"/>
  <c r="B69" i="17"/>
  <c r="E22" i="15" s="1"/>
  <c r="B19" i="28" s="1"/>
  <c r="R65" i="17"/>
  <c r="R66" i="17" s="1"/>
  <c r="B25" i="17"/>
  <c r="M65" i="17"/>
  <c r="M66" i="17" s="1"/>
  <c r="S40" i="17"/>
  <c r="S65" i="17" s="1"/>
  <c r="S66" i="17" s="1"/>
  <c r="L65" i="17"/>
  <c r="L66" i="17" s="1"/>
  <c r="G120" i="17"/>
  <c r="P65" i="17"/>
  <c r="G127" i="17"/>
  <c r="C38" i="17"/>
  <c r="C40" i="17" s="1"/>
  <c r="C133" i="17" s="1"/>
  <c r="F38" i="17"/>
  <c r="F40" i="17" s="1"/>
  <c r="F133" i="17" s="1"/>
  <c r="C65" i="17"/>
  <c r="C66" i="17" s="1"/>
  <c r="F65" i="17"/>
  <c r="F66" i="17" s="1"/>
  <c r="B38" i="17"/>
  <c r="B40" i="17" s="1"/>
  <c r="F69" i="17"/>
  <c r="C69" i="17"/>
  <c r="B66" i="17"/>
  <c r="D40" i="17"/>
  <c r="D133" i="17" s="1"/>
  <c r="C30" i="3"/>
  <c r="E8" i="12"/>
  <c r="E10" i="12"/>
  <c r="B36" i="17" l="1"/>
  <c r="B72" i="17"/>
  <c r="B70" i="10" s="1"/>
  <c r="E76" i="17"/>
  <c r="E74" i="10" s="1"/>
  <c r="E74" i="17"/>
  <c r="D36" i="17"/>
  <c r="D72" i="17"/>
  <c r="D70" i="10" s="1"/>
  <c r="P66" i="17"/>
  <c r="F78" i="17"/>
  <c r="F76" i="10" s="1"/>
  <c r="F76" i="17"/>
  <c r="F74" i="10" s="1"/>
  <c r="F74" i="17"/>
  <c r="C76" i="17"/>
  <c r="C74" i="10" s="1"/>
  <c r="C74" i="17"/>
  <c r="D78" i="17"/>
  <c r="D76" i="10" s="1"/>
  <c r="B133" i="17"/>
  <c r="E17" i="20"/>
  <c r="Q66" i="17"/>
  <c r="E78" i="17"/>
  <c r="E76" i="10" s="1"/>
  <c r="C29" i="3"/>
  <c r="C78" i="17"/>
  <c r="C76" i="10" s="1"/>
  <c r="E15" i="12"/>
  <c r="B78" i="17"/>
  <c r="B76" i="10" s="1"/>
  <c r="B41" i="17"/>
  <c r="E41" i="17"/>
  <c r="F41" i="17"/>
  <c r="E7" i="21" s="1"/>
  <c r="C41" i="17"/>
  <c r="D41" i="17"/>
  <c r="B19" i="12"/>
  <c r="B8" i="9"/>
  <c r="B9" i="9" s="1"/>
  <c r="E11" i="2"/>
  <c r="C36" i="28" s="1"/>
  <c r="B36" i="28" s="1"/>
  <c r="C11" i="2"/>
  <c r="G17" i="2" s="1"/>
  <c r="C25" i="2" s="1"/>
  <c r="C27" i="2" s="1"/>
  <c r="C29" i="2" s="1"/>
  <c r="D8" i="2"/>
  <c r="D7" i="2"/>
  <c r="D6" i="2"/>
  <c r="F75" i="17" l="1"/>
  <c r="F73" i="10" s="1"/>
  <c r="F72" i="10"/>
  <c r="E75" i="17"/>
  <c r="E73" i="10" s="1"/>
  <c r="E72" i="10"/>
  <c r="C75" i="17"/>
  <c r="C72" i="10"/>
  <c r="F77" i="17"/>
  <c r="F75" i="10" s="1"/>
  <c r="D76" i="17"/>
  <c r="D74" i="10" s="1"/>
  <c r="D74" i="17"/>
  <c r="B76" i="17"/>
  <c r="B74" i="10" s="1"/>
  <c r="B74" i="17"/>
  <c r="E77" i="17"/>
  <c r="E75" i="10" s="1"/>
  <c r="B37" i="2"/>
  <c r="B20" i="12"/>
  <c r="B21" i="12" s="1"/>
  <c r="E17" i="15" s="1"/>
  <c r="B18" i="24" s="1"/>
  <c r="F8" i="2"/>
  <c r="G8" i="2" s="1"/>
  <c r="F7" i="2"/>
  <c r="G7" i="2" s="1"/>
  <c r="D11" i="2"/>
  <c r="F6" i="2"/>
  <c r="G6" i="2" s="1"/>
  <c r="B11" i="9"/>
  <c r="B14" i="9" s="1"/>
  <c r="B16" i="9" s="1"/>
  <c r="B21" i="9" s="1"/>
  <c r="C7" i="9"/>
  <c r="C9" i="9" s="1"/>
  <c r="G19" i="2"/>
  <c r="D17" i="2" s="1"/>
  <c r="W58" i="1"/>
  <c r="W60" i="1"/>
  <c r="V58" i="1"/>
  <c r="U58" i="1"/>
  <c r="T58" i="1"/>
  <c r="O45" i="1"/>
  <c r="J45" i="1"/>
  <c r="O51" i="1"/>
  <c r="J51" i="1"/>
  <c r="B75" i="17" l="1"/>
  <c r="B73" i="10" s="1"/>
  <c r="B72" i="10"/>
  <c r="D75" i="17"/>
  <c r="D72" i="10"/>
  <c r="C77" i="17"/>
  <c r="C75" i="10" s="1"/>
  <c r="C73" i="10"/>
  <c r="B77" i="17"/>
  <c r="G51" i="1"/>
  <c r="F51" i="1"/>
  <c r="D14" i="6"/>
  <c r="G9" i="2"/>
  <c r="G10" i="2" s="1"/>
  <c r="C17" i="2" s="1"/>
  <c r="E17" i="2" s="1"/>
  <c r="W59" i="1"/>
  <c r="U59" i="1"/>
  <c r="V59" i="1"/>
  <c r="T59" i="1"/>
  <c r="G45" i="1"/>
  <c r="C11" i="9"/>
  <c r="C14" i="9" s="1"/>
  <c r="C16" i="9" s="1"/>
  <c r="D7" i="9"/>
  <c r="D9" i="9" s="1"/>
  <c r="D18" i="2"/>
  <c r="T60" i="1"/>
  <c r="U60" i="1"/>
  <c r="F45" i="1"/>
  <c r="V60" i="1"/>
  <c r="B75" i="10" l="1"/>
  <c r="D77" i="17"/>
  <c r="D75" i="10" s="1"/>
  <c r="D73" i="10"/>
  <c r="E51" i="1"/>
  <c r="E45" i="1"/>
  <c r="E30" i="3"/>
  <c r="E28" i="3"/>
  <c r="E29" i="3"/>
  <c r="E31" i="3"/>
  <c r="B27" i="9"/>
  <c r="D11" i="9"/>
  <c r="D14" i="9" s="1"/>
  <c r="D16" i="9" s="1"/>
  <c r="E7" i="9"/>
  <c r="E9" i="9" s="1"/>
  <c r="D19" i="2"/>
  <c r="G77" i="17" l="1"/>
  <c r="G75" i="10" s="1"/>
  <c r="E63" i="1"/>
  <c r="E59" i="1"/>
  <c r="J71" i="1"/>
  <c r="E58" i="1"/>
  <c r="E33" i="3"/>
  <c r="C30" i="28" s="1"/>
  <c r="B30" i="28" s="1"/>
  <c r="B28" i="9"/>
  <c r="E11" i="9"/>
  <c r="E14" i="9" s="1"/>
  <c r="E16" i="9" s="1"/>
  <c r="F7" i="9"/>
  <c r="F9" i="9" s="1"/>
  <c r="F59" i="1" l="1"/>
  <c r="E69" i="1"/>
  <c r="F63" i="1"/>
  <c r="J34" i="33"/>
  <c r="J35" i="33" s="1"/>
  <c r="B30" i="24"/>
  <c r="B37" i="25" s="1"/>
  <c r="C30" i="24"/>
  <c r="C37" i="25" s="1"/>
  <c r="B29" i="9"/>
  <c r="F11" i="9"/>
  <c r="F14" i="9" s="1"/>
  <c r="F16" i="9" s="1"/>
  <c r="G7" i="9"/>
  <c r="G9" i="9" s="1"/>
  <c r="D35" i="30" l="1"/>
  <c r="D26" i="30" s="1"/>
  <c r="E26" i="30" s="1"/>
  <c r="E27" i="30" s="1"/>
  <c r="B30" i="9"/>
  <c r="G11" i="9"/>
  <c r="G14" i="9" s="1"/>
  <c r="G16" i="9" s="1"/>
  <c r="D12" i="6" l="1"/>
  <c r="E16" i="15"/>
  <c r="B31" i="9"/>
  <c r="E60" i="1" l="1"/>
  <c r="B17" i="24" s="1"/>
  <c r="B14" i="24"/>
  <c r="B11" i="25"/>
  <c r="E11" i="15"/>
  <c r="B14" i="28" s="1"/>
  <c r="B13" i="24" l="1"/>
  <c r="B9" i="25"/>
  <c r="B14" i="33" l="1"/>
  <c r="E14" i="33" s="1"/>
  <c r="H14" i="33" s="1"/>
  <c r="U14" i="33" s="1"/>
  <c r="E13" i="33"/>
  <c r="H13" i="33" s="1"/>
  <c r="U13" i="33" s="1"/>
  <c r="U18" i="33" l="1"/>
  <c r="U20" i="33" l="1"/>
  <c r="I35" i="33" s="1"/>
  <c r="K35" i="33" s="1"/>
  <c r="S21" i="33"/>
  <c r="I34" i="33"/>
  <c r="K34" i="33" s="1"/>
  <c r="F24" i="1"/>
  <c r="D27" i="1" s="1"/>
  <c r="D29" i="1" s="1"/>
  <c r="E25" i="1" s="1"/>
  <c r="J73" i="1"/>
  <c r="E62" i="1"/>
  <c r="E67" i="1" s="1"/>
  <c r="J63" i="1" s="1"/>
  <c r="E15" i="15" s="1"/>
  <c r="B16" i="24" l="1"/>
  <c r="D9" i="6"/>
  <c r="D16" i="6" s="1"/>
  <c r="B36" i="2" s="1"/>
  <c r="C18" i="2" s="1"/>
  <c r="E18" i="2" s="1"/>
  <c r="E19" i="2" s="1"/>
  <c r="E21" i="2" s="1"/>
  <c r="B21" i="24"/>
  <c r="B29" i="25"/>
  <c r="E14" i="15"/>
  <c r="B17" i="28" s="1"/>
  <c r="D36" i="30"/>
  <c r="E18" i="15" l="1"/>
  <c r="B18" i="28" s="1"/>
  <c r="D9" i="20"/>
  <c r="E10" i="20" s="1"/>
  <c r="E12" i="20" s="1"/>
  <c r="G26" i="9"/>
  <c r="B22" i="24"/>
  <c r="B15" i="25" s="1"/>
  <c r="D20" i="6"/>
  <c r="B15" i="24"/>
  <c r="B13" i="25"/>
  <c r="D62" i="1"/>
  <c r="B33" i="9" l="1"/>
  <c r="C33" i="9" s="1"/>
  <c r="C28" i="9"/>
  <c r="C27" i="9"/>
  <c r="C29" i="9"/>
  <c r="G27" i="9"/>
  <c r="C30" i="9"/>
  <c r="F23" i="9"/>
  <c r="E23" i="9"/>
  <c r="D23" i="9"/>
  <c r="C23" i="9"/>
  <c r="B23" i="9"/>
  <c r="G23" i="9"/>
  <c r="C31" i="9"/>
  <c r="B19" i="24"/>
  <c r="B17" i="25"/>
  <c r="D21" i="6"/>
  <c r="D9" i="21"/>
  <c r="E11" i="21" s="1"/>
  <c r="E17" i="21" s="1"/>
  <c r="C29" i="28" s="1"/>
  <c r="B29" i="28" s="1"/>
  <c r="D14" i="20"/>
  <c r="E16" i="20" s="1"/>
  <c r="E21" i="20" s="1"/>
  <c r="C27" i="28" s="1"/>
  <c r="B27" i="28" l="1"/>
  <c r="C32" i="9"/>
  <c r="B27" i="24"/>
  <c r="C27" i="24"/>
  <c r="B29" i="24"/>
  <c r="B36" i="25" s="1"/>
  <c r="C29" i="24"/>
  <c r="C36" i="25" s="1"/>
  <c r="B28" i="24" l="1"/>
  <c r="B35" i="25" s="1"/>
  <c r="C34" i="9"/>
  <c r="C34" i="25"/>
  <c r="B34" i="25"/>
  <c r="B39" i="25" s="1"/>
  <c r="B35" i="24"/>
  <c r="B37" i="24" s="1"/>
  <c r="B38" i="24" s="1"/>
  <c r="B39" i="24" s="1"/>
  <c r="C28" i="24" l="1"/>
  <c r="C28" i="28"/>
  <c r="B44" i="25"/>
  <c r="B40" i="24"/>
  <c r="B28" i="28" l="1"/>
  <c r="C35" i="28"/>
  <c r="C35" i="25"/>
  <c r="C39" i="25" s="1"/>
  <c r="C35" i="24"/>
  <c r="C37" i="24" s="1"/>
  <c r="C38" i="24" s="1"/>
  <c r="C41" i="24" s="1"/>
  <c r="B54" i="25" s="1"/>
  <c r="B46" i="25"/>
  <c r="B48" i="25" s="1"/>
  <c r="B41" i="24"/>
  <c r="C37" i="28" l="1"/>
  <c r="B35" i="28"/>
  <c r="B37" i="28" l="1"/>
  <c r="C38" i="28"/>
  <c r="B38" i="28" l="1"/>
  <c r="B39" i="28" s="1"/>
  <c r="C39"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46C821-C36C-40BC-95F4-0F367E895911}" keepAlive="1" name="Query - Document" description="Connection to the 'Document' query in the workbook." type="5" refreshedVersion="6" background="1">
    <dbPr connection="Provider=Microsoft.Mashup.OleDb.1;Data Source=$Workbook$;Location=Document;Extended Properties=&quot;&quot;" command="SELECT * FROM [Document]"/>
  </connection>
  <connection id="2" xr16:uid="{BF129E7D-530E-4624-8BCB-3FE065413BAC}" keepAlive="1" name="Query - Document (2)" description="Connection to the 'Document (2)' query in the workbook." type="5" refreshedVersion="6" background="1">
    <dbPr connection="Provider=Microsoft.Mashup.OleDb.1;Data Source=$Workbook$;Location=&quot;Document (2)&quot;;Extended Properties=&quot;&quot;" command="SELECT * FROM [Document (2)]"/>
  </connection>
  <connection id="3" xr16:uid="{A67A3ADE-E2E6-474D-AD29-138D7BFA857B}"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s>
</file>

<file path=xl/sharedStrings.xml><?xml version="1.0" encoding="utf-8"?>
<sst xmlns="http://schemas.openxmlformats.org/spreadsheetml/2006/main" count="6378" uniqueCount="2624">
  <si>
    <t>DBS</t>
  </si>
  <si>
    <t>UOB</t>
  </si>
  <si>
    <t>OCBC Bank</t>
  </si>
  <si>
    <t>SingPost</t>
  </si>
  <si>
    <t>Singtel</t>
  </si>
  <si>
    <t>Genting Sing</t>
  </si>
  <si>
    <t>YZJ Shipbldg SGD</t>
  </si>
  <si>
    <t>SGX</t>
  </si>
  <si>
    <t>ST Engineering</t>
  </si>
  <si>
    <t>JMH USD</t>
  </si>
  <si>
    <t>Keppel</t>
  </si>
  <si>
    <t>UOL</t>
  </si>
  <si>
    <t>Sembcorp Ind</t>
  </si>
  <si>
    <t>SIA</t>
  </si>
  <si>
    <t>CapitaLandInvest</t>
  </si>
  <si>
    <t>HongkongLand USD</t>
  </si>
  <si>
    <t>Wilmar Intl</t>
  </si>
  <si>
    <t>ComfortDelGro</t>
  </si>
  <si>
    <t>UOB Kay Hian</t>
  </si>
  <si>
    <t>YZJ Fin Hldg</t>
  </si>
  <si>
    <t>CNMC Goldmine</t>
  </si>
  <si>
    <t>Hong Leong Asia</t>
  </si>
  <si>
    <t>SATS</t>
  </si>
  <si>
    <t>Golden Agri-Res</t>
  </si>
  <si>
    <t>CityDev</t>
  </si>
  <si>
    <t>Seatrium Ltd</t>
  </si>
  <si>
    <t>IFAST</t>
  </si>
  <si>
    <t>NamCheong</t>
  </si>
  <si>
    <t>Olam Group</t>
  </si>
  <si>
    <t>Sunpower</t>
  </si>
  <si>
    <t>DFIRG USD</t>
  </si>
  <si>
    <t>UMS</t>
  </si>
  <si>
    <t>CSE Global</t>
  </si>
  <si>
    <t>PropNex</t>
  </si>
  <si>
    <t>ThaiBev</t>
  </si>
  <si>
    <t>First Resources</t>
  </si>
  <si>
    <t>Venture</t>
  </si>
  <si>
    <t>Riverstone</t>
  </si>
  <si>
    <t>Beng Kuang</t>
  </si>
  <si>
    <t>Geo Energy Res</t>
  </si>
  <si>
    <t>Wee Hur</t>
  </si>
  <si>
    <t>IFS Capital</t>
  </si>
  <si>
    <t>Frencken</t>
  </si>
  <si>
    <t>Sheng Siong</t>
  </si>
  <si>
    <t>COSCO SHP SG</t>
  </si>
  <si>
    <t>Jardine C&amp;C</t>
  </si>
  <si>
    <t>Yanlord Land</t>
  </si>
  <si>
    <t>GRC</t>
  </si>
  <si>
    <t>Soilbuild Constr</t>
  </si>
  <si>
    <t>AEM SGD</t>
  </si>
  <si>
    <t>Food Empire</t>
  </si>
  <si>
    <t>Centurion</t>
  </si>
  <si>
    <t>Lum Chang Creat</t>
  </si>
  <si>
    <t>Rex Intl</t>
  </si>
  <si>
    <t>ASL Marine</t>
  </si>
  <si>
    <t>StarHub</t>
  </si>
  <si>
    <t>Boustead</t>
  </si>
  <si>
    <t>Nanofilm</t>
  </si>
  <si>
    <t>Oiltek</t>
  </si>
  <si>
    <t>ISDN</t>
  </si>
  <si>
    <t>Aspial Lifestyle</t>
  </si>
  <si>
    <t>ISOTeam</t>
  </si>
  <si>
    <t>KSH</t>
  </si>
  <si>
    <t>Sanli Env</t>
  </si>
  <si>
    <t>MarcoPolo Marine</t>
  </si>
  <si>
    <t>AnAn Intl</t>
  </si>
  <si>
    <t>SIA Engineering</t>
  </si>
  <si>
    <t>China Aviation</t>
  </si>
  <si>
    <t>Bumitama Agri</t>
  </si>
  <si>
    <t>NIO Inc. USD OV</t>
  </si>
  <si>
    <t>Hong Fok</t>
  </si>
  <si>
    <t>BRC Asia</t>
  </si>
  <si>
    <t>Parkson Retail</t>
  </si>
  <si>
    <t>Great Eastern</t>
  </si>
  <si>
    <t>APAC Realty</t>
  </si>
  <si>
    <t>Ho Bee Land</t>
  </si>
  <si>
    <t>Raffles Medical</t>
  </si>
  <si>
    <t>AsiaPhos</t>
  </si>
  <si>
    <t>CSC</t>
  </si>
  <si>
    <t>ChinaSunsine</t>
  </si>
  <si>
    <t>PacificRadiance</t>
  </si>
  <si>
    <t>Far East Orchard</t>
  </si>
  <si>
    <t>Totm Tech</t>
  </si>
  <si>
    <t>Sing Inv &amp; Fin</t>
  </si>
  <si>
    <t>SingaporeLandGrp</t>
  </si>
  <si>
    <t>SamuderaShipping</t>
  </si>
  <si>
    <t>LHN</t>
  </si>
  <si>
    <t>Intl Cement</t>
  </si>
  <si>
    <t>GSS Energy</t>
  </si>
  <si>
    <t>Singtel 10</t>
  </si>
  <si>
    <t>AJJ Medtech</t>
  </si>
  <si>
    <t>MoneyMax Fin</t>
  </si>
  <si>
    <t>Valuetronics</t>
  </si>
  <si>
    <t>Lum Chang</t>
  </si>
  <si>
    <t>Top Glove</t>
  </si>
  <si>
    <t>Info-Tech</t>
  </si>
  <si>
    <t>TJ DaRenTang USD</t>
  </si>
  <si>
    <t>Bukit Sembawang</t>
  </si>
  <si>
    <t>SingHoldings</t>
  </si>
  <si>
    <t>PanUnited</t>
  </si>
  <si>
    <t>Koh Eco</t>
  </si>
  <si>
    <t>Q&amp;M Dental</t>
  </si>
  <si>
    <t>TheHourGlass</t>
  </si>
  <si>
    <t>Miyoshi</t>
  </si>
  <si>
    <t>Aztech Gbl</t>
  </si>
  <si>
    <t>Adventus</t>
  </si>
  <si>
    <t>KingsmenCreative</t>
  </si>
  <si>
    <t>Oxley</t>
  </si>
  <si>
    <t>Dezign Format</t>
  </si>
  <si>
    <t>Yoma Strategic</t>
  </si>
  <si>
    <t>Thomson Medical</t>
  </si>
  <si>
    <t>Net Pacific Fin</t>
  </si>
  <si>
    <t>GuocoLand</t>
  </si>
  <si>
    <t>Mencast</t>
  </si>
  <si>
    <t>Wilton Resources</t>
  </si>
  <si>
    <t>Grand Banks</t>
  </si>
  <si>
    <t>Delfi</t>
  </si>
  <si>
    <t>H2G Green</t>
  </si>
  <si>
    <t>RH PetroGas</t>
  </si>
  <si>
    <t>Frasers Property</t>
  </si>
  <si>
    <t>Sarine Tech</t>
  </si>
  <si>
    <t>Civmec</t>
  </si>
  <si>
    <t>Jiutian Chemical</t>
  </si>
  <si>
    <t>Hong Leong Fin</t>
  </si>
  <si>
    <t>Aspial Corp</t>
  </si>
  <si>
    <t>Hiap Seng Ind</t>
  </si>
  <si>
    <t>Leader Env</t>
  </si>
  <si>
    <t>ValueMax</t>
  </si>
  <si>
    <t>AdvancedSystems</t>
  </si>
  <si>
    <t>Alpina Holdings</t>
  </si>
  <si>
    <t>HRnetGroup</t>
  </si>
  <si>
    <t>XMH</t>
  </si>
  <si>
    <t>Multi-Chem</t>
  </si>
  <si>
    <t>Banyan Tree</t>
  </si>
  <si>
    <t>HG Metal</t>
  </si>
  <si>
    <t>Raffles Edu</t>
  </si>
  <si>
    <t>Zhongxin Fruit</t>
  </si>
  <si>
    <t>Vibrant Group</t>
  </si>
  <si>
    <t>Y Ventures</t>
  </si>
  <si>
    <t>Addvalue Tech</t>
  </si>
  <si>
    <t>OKP</t>
  </si>
  <si>
    <t>SBS Transit</t>
  </si>
  <si>
    <t>G Invacom</t>
  </si>
  <si>
    <t>TCIL HK$</t>
  </si>
  <si>
    <t>BeverlyJCG</t>
  </si>
  <si>
    <t>HGH</t>
  </si>
  <si>
    <t>IPS Securex</t>
  </si>
  <si>
    <t>Trendlines</t>
  </si>
  <si>
    <t>SunMoonFood</t>
  </si>
  <si>
    <t>Mermaid Maritime</t>
  </si>
  <si>
    <t>Stamford Land</t>
  </si>
  <si>
    <t>Wing Tai</t>
  </si>
  <si>
    <t>VICOM Ltd</t>
  </si>
  <si>
    <t>Meta Health</t>
  </si>
  <si>
    <t>Nam Lee Metal</t>
  </si>
  <si>
    <t>Zixin</t>
  </si>
  <si>
    <t>Koh Bros</t>
  </si>
  <si>
    <t>Ever Glory</t>
  </si>
  <si>
    <t>InnoTek</t>
  </si>
  <si>
    <t>Straits Trading</t>
  </si>
  <si>
    <t>QAF</t>
  </si>
  <si>
    <t>Thakral</t>
  </si>
  <si>
    <t>OUE</t>
  </si>
  <si>
    <t>Man Oriental USD</t>
  </si>
  <si>
    <t>17LIVE GROUP</t>
  </si>
  <si>
    <t>CH Offshore</t>
  </si>
  <si>
    <t>Micro-Mechanics</t>
  </si>
  <si>
    <t>Tuan Sing</t>
  </si>
  <si>
    <t>BBR</t>
  </si>
  <si>
    <t>Huationg Global</t>
  </si>
  <si>
    <t>China Everbright</t>
  </si>
  <si>
    <t>Union Gas</t>
  </si>
  <si>
    <t>Metro</t>
  </si>
  <si>
    <t>GKE</t>
  </si>
  <si>
    <t>CMS</t>
  </si>
  <si>
    <t>PC Partner</t>
  </si>
  <si>
    <t>Grand Venture</t>
  </si>
  <si>
    <t>Kim Heng</t>
  </si>
  <si>
    <t>Ley Choon</t>
  </si>
  <si>
    <t>EFH Ltd</t>
  </si>
  <si>
    <t>Tritech</t>
  </si>
  <si>
    <t>Nordic</t>
  </si>
  <si>
    <t>OxPay Financial</t>
  </si>
  <si>
    <t>Avarga Ltd</t>
  </si>
  <si>
    <t>FJ Benjamin</t>
  </si>
  <si>
    <t>Hock Lian Seng</t>
  </si>
  <si>
    <t>UGHealthcare</t>
  </si>
  <si>
    <t>Pacific Century</t>
  </si>
  <si>
    <t>Avi-Tech Hldg</t>
  </si>
  <si>
    <t>Goodwill</t>
  </si>
  <si>
    <t>Secura</t>
  </si>
  <si>
    <t>Atlantic Nav</t>
  </si>
  <si>
    <t>YKGI</t>
  </si>
  <si>
    <t>MDR Limited</t>
  </si>
  <si>
    <t>King Wan</t>
  </si>
  <si>
    <t>Spindex Ind</t>
  </si>
  <si>
    <t>Kimly</t>
  </si>
  <si>
    <t>The Place Hldg</t>
  </si>
  <si>
    <t>Indofood Agri</t>
  </si>
  <si>
    <t>PSC Corporation</t>
  </si>
  <si>
    <t>New Toyo</t>
  </si>
  <si>
    <t>Tiong Woon</t>
  </si>
  <si>
    <t>Tai Sin Electric</t>
  </si>
  <si>
    <t>Envictus</t>
  </si>
  <si>
    <t>Overseas Edu</t>
  </si>
  <si>
    <t>JB Foods</t>
  </si>
  <si>
    <t>GCCP</t>
  </si>
  <si>
    <t>AcroMeta</t>
  </si>
  <si>
    <t>Hotel Grand</t>
  </si>
  <si>
    <t>Samurai 2K</t>
  </si>
  <si>
    <t>Jadason</t>
  </si>
  <si>
    <t>Eneco Energy</t>
  </si>
  <si>
    <t>Soon Lian</t>
  </si>
  <si>
    <t>SingShipping</t>
  </si>
  <si>
    <t>NSL</t>
  </si>
  <si>
    <t>Willas-Array</t>
  </si>
  <si>
    <t>SUTL Enterprise</t>
  </si>
  <si>
    <t>Chuan Hup</t>
  </si>
  <si>
    <t>AF Global</t>
  </si>
  <si>
    <t>Lion Asiapac</t>
  </si>
  <si>
    <t>Hoe Leong</t>
  </si>
  <si>
    <t>SIIC Environment</t>
  </si>
  <si>
    <t>Federal Int</t>
  </si>
  <si>
    <t>HL Global Ent</t>
  </si>
  <si>
    <t>GDS Global</t>
  </si>
  <si>
    <t>Del Monte Pac</t>
  </si>
  <si>
    <t>Stamford Tyres</t>
  </si>
  <si>
    <t>Bund Center</t>
  </si>
  <si>
    <t>Baker Technology</t>
  </si>
  <si>
    <t>UOI</t>
  </si>
  <si>
    <t>New Wave</t>
  </si>
  <si>
    <t>Powermatic Data</t>
  </si>
  <si>
    <t>Brook Crompton</t>
  </si>
  <si>
    <t>Spura Finance</t>
  </si>
  <si>
    <t>Katrina</t>
  </si>
  <si>
    <t>Alliance HC</t>
  </si>
  <si>
    <t>Medtecs Intl</t>
  </si>
  <si>
    <t>Choo Chiang</t>
  </si>
  <si>
    <t>Ascent Bridge</t>
  </si>
  <si>
    <t>MediLifestyle</t>
  </si>
  <si>
    <t>Jubilee</t>
  </si>
  <si>
    <t>ProsperaGlobal</t>
  </si>
  <si>
    <t>Jumbo</t>
  </si>
  <si>
    <t>MM2 Asia</t>
  </si>
  <si>
    <t>GS Hldg</t>
  </si>
  <si>
    <t>Sunrise Shares</t>
  </si>
  <si>
    <t>Creative</t>
  </si>
  <si>
    <t>China Mining</t>
  </si>
  <si>
    <t>ISEC</t>
  </si>
  <si>
    <t>HPL</t>
  </si>
  <si>
    <t>EcoWise</t>
  </si>
  <si>
    <t>TrickleStar</t>
  </si>
  <si>
    <t>AnnAik</t>
  </si>
  <si>
    <t>Uni-Asia Grp</t>
  </si>
  <si>
    <t>Old Chang Kee</t>
  </si>
  <si>
    <t>ChinaKundaTech</t>
  </si>
  <si>
    <t>Azeus</t>
  </si>
  <si>
    <t>MTQ</t>
  </si>
  <si>
    <t>Pan Hong</t>
  </si>
  <si>
    <t>Fu Yu</t>
  </si>
  <si>
    <t>AsiaMedic</t>
  </si>
  <si>
    <t>Straco</t>
  </si>
  <si>
    <t>Samko Timber</t>
  </si>
  <si>
    <t>MegaChem</t>
  </si>
  <si>
    <t>Ying Li Intl</t>
  </si>
  <si>
    <t>Vividthree</t>
  </si>
  <si>
    <t>Serial System</t>
  </si>
  <si>
    <t>Hiap Hoe</t>
  </si>
  <si>
    <t>SHS</t>
  </si>
  <si>
    <t>Acesian Partners</t>
  </si>
  <si>
    <t>Hyphens Pharma</t>
  </si>
  <si>
    <t>Asia Enterprises</t>
  </si>
  <si>
    <t>Sitra</t>
  </si>
  <si>
    <t>CDW</t>
  </si>
  <si>
    <t>Sri Trang Agro</t>
  </si>
  <si>
    <t>WinkingStudios</t>
  </si>
  <si>
    <t>Attika Group</t>
  </si>
  <si>
    <t>Anchun Intl</t>
  </si>
  <si>
    <t>Oceanus</t>
  </si>
  <si>
    <t>Figtree</t>
  </si>
  <si>
    <t>TC Auto</t>
  </si>
  <si>
    <t>Zheneng Jinjiang</t>
  </si>
  <si>
    <t>NeraTel</t>
  </si>
  <si>
    <t>Heeton</t>
  </si>
  <si>
    <t>CapAllianz</t>
  </si>
  <si>
    <t>Taka Jewellery</t>
  </si>
  <si>
    <t>Hong Lai Huat</t>
  </si>
  <si>
    <t>Nippecraft</t>
  </si>
  <si>
    <t>YHI Intl</t>
  </si>
  <si>
    <t>ResourcesGbl</t>
  </si>
  <si>
    <t>Hafary</t>
  </si>
  <si>
    <t>Pollux Prop</t>
  </si>
  <si>
    <t>HS Optimus</t>
  </si>
  <si>
    <t>Vicplas Intl</t>
  </si>
  <si>
    <t>Hiap Tong</t>
  </si>
  <si>
    <t>TSH Resources</t>
  </si>
  <si>
    <t>Trek 2000 Intl</t>
  </si>
  <si>
    <t>Kencana Agri</t>
  </si>
  <si>
    <t>Keong Hong</t>
  </si>
  <si>
    <t>Shenshan</t>
  </si>
  <si>
    <t>GHY Culture</t>
  </si>
  <si>
    <t>Qian Hu</t>
  </si>
  <si>
    <t>EuroSports Gbl</t>
  </si>
  <si>
    <t>Memiontec Hldgs</t>
  </si>
  <si>
    <t>Yeo Hiap Seng</t>
  </si>
  <si>
    <t>Southern Arch</t>
  </si>
  <si>
    <t>LHT</t>
  </si>
  <si>
    <t>Hotung Inv</t>
  </si>
  <si>
    <t>OUE Healthcare</t>
  </si>
  <si>
    <t>F &amp; N</t>
  </si>
  <si>
    <t>Asian Micro</t>
  </si>
  <si>
    <t>Clearbridge</t>
  </si>
  <si>
    <t>Soup Holdings</t>
  </si>
  <si>
    <t>GP Industries</t>
  </si>
  <si>
    <t>Hor Kew</t>
  </si>
  <si>
    <t>Southern Pkg</t>
  </si>
  <si>
    <t>CharismaEnergy</t>
  </si>
  <si>
    <t>HealthBank</t>
  </si>
  <si>
    <t>Salt Investments</t>
  </si>
  <si>
    <t>iWOW Tech</t>
  </si>
  <si>
    <t>Sing Paincare</t>
  </si>
  <si>
    <t>Capital World</t>
  </si>
  <si>
    <t>Progen</t>
  </si>
  <si>
    <t>PNE Industries</t>
  </si>
  <si>
    <t>Zhongmin Baihui</t>
  </si>
  <si>
    <t>KOP</t>
  </si>
  <si>
    <t>TSH</t>
  </si>
  <si>
    <t>Emperador Inc.</t>
  </si>
  <si>
    <t>A-Sonic Aero</t>
  </si>
  <si>
    <t>Tat Seng Pkg</t>
  </si>
  <si>
    <t>BACUI TECH</t>
  </si>
  <si>
    <t>UOA</t>
  </si>
  <si>
    <t>IHH</t>
  </si>
  <si>
    <t>IX Biopharma</t>
  </si>
  <si>
    <t>Chasen</t>
  </si>
  <si>
    <t>Ocean Sky Intl</t>
  </si>
  <si>
    <t>9R</t>
  </si>
  <si>
    <t>Aspen</t>
  </si>
  <si>
    <t>Casa</t>
  </si>
  <si>
    <t>Livingstone</t>
  </si>
  <si>
    <t>World Precision</t>
  </si>
  <si>
    <t>Advancer Global</t>
  </si>
  <si>
    <t>Japan Foods</t>
  </si>
  <si>
    <t>Annica</t>
  </si>
  <si>
    <t>Luminor</t>
  </si>
  <si>
    <t>OTS Holdings</t>
  </si>
  <si>
    <t>Green Build</t>
  </si>
  <si>
    <t>Low Keng Huat</t>
  </si>
  <si>
    <t>Versalink</t>
  </si>
  <si>
    <t>Audience</t>
  </si>
  <si>
    <t>Renaissance United</t>
  </si>
  <si>
    <t>EnGro</t>
  </si>
  <si>
    <t>Gallant Venture</t>
  </si>
  <si>
    <t>Penguin Intl</t>
  </si>
  <si>
    <t>TIH</t>
  </si>
  <si>
    <t>Polaris</t>
  </si>
  <si>
    <t>DISA</t>
  </si>
  <si>
    <t>Duty Free Intl</t>
  </si>
  <si>
    <t>Ellipsiz</t>
  </si>
  <si>
    <t>Darco Water Tech</t>
  </si>
  <si>
    <t>Kori</t>
  </si>
  <si>
    <t>Sinostar Pec</t>
  </si>
  <si>
    <t>Heptamax</t>
  </si>
  <si>
    <t>MYP</t>
  </si>
  <si>
    <t>AP Strategic</t>
  </si>
  <si>
    <t>A-Smart</t>
  </si>
  <si>
    <t>Alset</t>
  </si>
  <si>
    <t>Eindec</t>
  </si>
  <si>
    <t>China Intl</t>
  </si>
  <si>
    <t>Edition</t>
  </si>
  <si>
    <t>Joyas Intl</t>
  </si>
  <si>
    <t>Fuji Offset</t>
  </si>
  <si>
    <t>ABR</t>
  </si>
  <si>
    <t>Tung Lok Rest</t>
  </si>
  <si>
    <t>Abundance Intl</t>
  </si>
  <si>
    <t>Noel Gifts Intl</t>
  </si>
  <si>
    <t>Abundante</t>
  </si>
  <si>
    <t>ASTI </t>
  </si>
  <si>
    <t>Santak</t>
  </si>
  <si>
    <t>Pavillon</t>
  </si>
  <si>
    <t>Hyflux</t>
  </si>
  <si>
    <t>8Telecom</t>
  </si>
  <si>
    <t>Accrelist Ltd</t>
  </si>
  <si>
    <t>Acma</t>
  </si>
  <si>
    <t>Advanced</t>
  </si>
  <si>
    <t>Aedge Group</t>
  </si>
  <si>
    <t>AEM USD</t>
  </si>
  <si>
    <t>Alita Resources</t>
  </si>
  <si>
    <t>AlphaDX</t>
  </si>
  <si>
    <t>Amcorp Global</t>
  </si>
  <si>
    <t>AMOS Group </t>
  </si>
  <si>
    <t>Amplefield Ltd</t>
  </si>
  <si>
    <t>AMTD IDEA OV</t>
  </si>
  <si>
    <t>Aoxin Q &amp; M</t>
  </si>
  <si>
    <t>AP Oil</t>
  </si>
  <si>
    <t>Asia Vets</t>
  </si>
  <si>
    <t>Asiatic</t>
  </si>
  <si>
    <t>Assurance HC</t>
  </si>
  <si>
    <t>Astaka</t>
  </si>
  <si>
    <t>AusGroup</t>
  </si>
  <si>
    <t>Autagco</t>
  </si>
  <si>
    <t>B&amp;M Hldg</t>
  </si>
  <si>
    <t>BH Global</t>
  </si>
  <si>
    <t>BlackGoldNatural</t>
  </si>
  <si>
    <t>Boldtek</t>
  </si>
  <si>
    <t>Bonvests</t>
  </si>
  <si>
    <t>Broadway Ind</t>
  </si>
  <si>
    <t>Bromat</t>
  </si>
  <si>
    <t>Camsing Hc</t>
  </si>
  <si>
    <t>Captii</t>
  </si>
  <si>
    <t>CFM</t>
  </si>
  <si>
    <t>Chemical Ind</t>
  </si>
  <si>
    <t>China EnvRes</t>
  </si>
  <si>
    <t>China Fishery</t>
  </si>
  <si>
    <t>China Yuanbang</t>
  </si>
  <si>
    <t>ChinaKangdaFood</t>
  </si>
  <si>
    <t>Comba</t>
  </si>
  <si>
    <t>Combine Will</t>
  </si>
  <si>
    <t>Coolan Group</t>
  </si>
  <si>
    <t>Cordlife</t>
  </si>
  <si>
    <t>Cortina</t>
  </si>
  <si>
    <t>CosmoSteel </t>
  </si>
  <si>
    <t>Courage Inv</t>
  </si>
  <si>
    <t>CreditBureauAsia</t>
  </si>
  <si>
    <t>Datapulse Tech</t>
  </si>
  <si>
    <t>Debao Property </t>
  </si>
  <si>
    <t>Digilife Tech</t>
  </si>
  <si>
    <t>Don Agro</t>
  </si>
  <si>
    <t>Enviro-Hub</t>
  </si>
  <si>
    <t>ES</t>
  </si>
  <si>
    <t>ETC Singapore</t>
  </si>
  <si>
    <t>Ezra</t>
  </si>
  <si>
    <t>Far East</t>
  </si>
  <si>
    <t>First Sponsor</t>
  </si>
  <si>
    <t>FoodInnovators</t>
  </si>
  <si>
    <t>FortressMinerals</t>
  </si>
  <si>
    <t>Full Apex </t>
  </si>
  <si>
    <t>Fuxing China</t>
  </si>
  <si>
    <t>Goodland</t>
  </si>
  <si>
    <t>GRP</t>
  </si>
  <si>
    <t>GSH</t>
  </si>
  <si>
    <t>Hai Leck</t>
  </si>
  <si>
    <t>Halcyon Agri</t>
  </si>
  <si>
    <t>Hatten Land</t>
  </si>
  <si>
    <t>HC Surgical</t>
  </si>
  <si>
    <t>Heatec Jietong</t>
  </si>
  <si>
    <t>Helens</t>
  </si>
  <si>
    <t>Hengyang Petro</t>
  </si>
  <si>
    <t>Hosen</t>
  </si>
  <si>
    <t>Hotel Royal</t>
  </si>
  <si>
    <t>Imperium Crown</t>
  </si>
  <si>
    <t>Incredible</t>
  </si>
  <si>
    <t>Interra Resource </t>
  </si>
  <si>
    <t>Intraco</t>
  </si>
  <si>
    <t>IPC Corp</t>
  </si>
  <si>
    <t>Jason Marine</t>
  </si>
  <si>
    <t>Jawala</t>
  </si>
  <si>
    <t>JEP</t>
  </si>
  <si>
    <t>Karin Tech</t>
  </si>
  <si>
    <t>Khong Guan</t>
  </si>
  <si>
    <t>Koda</t>
  </si>
  <si>
    <t>Koyo Intl</t>
  </si>
  <si>
    <t>KrisEnergy</t>
  </si>
  <si>
    <t>KTMG</t>
  </si>
  <si>
    <t>Lincotrade</t>
  </si>
  <si>
    <t>LMS Compliance</t>
  </si>
  <si>
    <t>Lonza</t>
  </si>
  <si>
    <t>Lorenzo Intl</t>
  </si>
  <si>
    <t>LS 2 Holdings</t>
  </si>
  <si>
    <t>Luxking</t>
  </si>
  <si>
    <t>LY Corp</t>
  </si>
  <si>
    <t>Maruwa Yen1k</t>
  </si>
  <si>
    <t>Mary Chia</t>
  </si>
  <si>
    <t>Matex Intl</t>
  </si>
  <si>
    <t>Medinex</t>
  </si>
  <si>
    <t>MeGroup</t>
  </si>
  <si>
    <t>Mercurius</t>
  </si>
  <si>
    <t>METAOPTICS LTD</t>
  </si>
  <si>
    <t>Metech Intl</t>
  </si>
  <si>
    <t>Metis Energy</t>
  </si>
  <si>
    <t>Mewah Intl</t>
  </si>
  <si>
    <t>MFG Integration</t>
  </si>
  <si>
    <t>Midas</t>
  </si>
  <si>
    <t>MindChamps</t>
  </si>
  <si>
    <t>Mooreast</t>
  </si>
  <si>
    <t>MSC</t>
  </si>
  <si>
    <t>MSMIntl</t>
  </si>
  <si>
    <t>Mun Siong Engg</t>
  </si>
  <si>
    <t>Murata Yen1k</t>
  </si>
  <si>
    <t>Natural Cool</t>
  </si>
  <si>
    <t>Niks Prof</t>
  </si>
  <si>
    <t>Nomura Yen1k</t>
  </si>
  <si>
    <t>NoonTalk Media</t>
  </si>
  <si>
    <t>NutryFarm</t>
  </si>
  <si>
    <t>OIO</t>
  </si>
  <si>
    <t>Olive Tree</t>
  </si>
  <si>
    <t>OneApex</t>
  </si>
  <si>
    <t>Ossia Intl</t>
  </si>
  <si>
    <t>Ouhua Energy</t>
  </si>
  <si>
    <t>Pacific Andes</t>
  </si>
  <si>
    <t>Pasture Holdings</t>
  </si>
  <si>
    <t>Pharmesis Intl</t>
  </si>
  <si>
    <t>PlatoCapital</t>
  </si>
  <si>
    <t>Procurri</t>
  </si>
  <si>
    <t>ProsperCap</t>
  </si>
  <si>
    <t>Prudential USD</t>
  </si>
  <si>
    <t>Quantum Health</t>
  </si>
  <si>
    <t>Raffles Infrastructure </t>
  </si>
  <si>
    <t>Reclaims Global</t>
  </si>
  <si>
    <t>Regal Intl</t>
  </si>
  <si>
    <t>Sakae</t>
  </si>
  <si>
    <t>SAM Holdings</t>
  </si>
  <si>
    <t>Sapphire</t>
  </si>
  <si>
    <t>SDAI</t>
  </si>
  <si>
    <t>Sen Yue</t>
  </si>
  <si>
    <t>Serial Achieva</t>
  </si>
  <si>
    <t>Sevens Atelier</t>
  </si>
  <si>
    <t>Shanaya</t>
  </si>
  <si>
    <t>Shanghai Turbo</t>
  </si>
  <si>
    <t>Shangri-La HKD</t>
  </si>
  <si>
    <t>Sheffield Green</t>
  </si>
  <si>
    <t>Shen Yao</t>
  </si>
  <si>
    <t>Shopper360</t>
  </si>
  <si>
    <t>Sim Leisure</t>
  </si>
  <si>
    <t>Sin Heng Mach</t>
  </si>
  <si>
    <t>Sincap Grp</t>
  </si>
  <si>
    <t>SingaporeKitchen</t>
  </si>
  <si>
    <t>Sino Grandness</t>
  </si>
  <si>
    <t>SinoCloud Grp</t>
  </si>
  <si>
    <t>SouthernAlliance</t>
  </si>
  <si>
    <t>Spackman Entmt</t>
  </si>
  <si>
    <t>Sri Trang Gloves</t>
  </si>
  <si>
    <t>ST Group Food</t>
  </si>
  <si>
    <t>Sunright</t>
  </si>
  <si>
    <t>Suntar Eco-City</t>
  </si>
  <si>
    <t>TA</t>
  </si>
  <si>
    <t>Teho Intl</t>
  </si>
  <si>
    <t>TeleChoice Intl</t>
  </si>
  <si>
    <t>Tiong Seng</t>
  </si>
  <si>
    <t>Tosei</t>
  </si>
  <si>
    <t>Travelite</t>
  </si>
  <si>
    <t>Triyards</t>
  </si>
  <si>
    <t>TT Intl</t>
  </si>
  <si>
    <t>Tye Soon</t>
  </si>
  <si>
    <t>UnionSteel</t>
  </si>
  <si>
    <t>United Food </t>
  </si>
  <si>
    <t>Universal Res</t>
  </si>
  <si>
    <t>UnUsUaL</t>
  </si>
  <si>
    <t>USP Group </t>
  </si>
  <si>
    <t>V2Y Corp</t>
  </si>
  <si>
    <t>Vallianz</t>
  </si>
  <si>
    <t>VCPlus</t>
  </si>
  <si>
    <t>VibroPower</t>
  </si>
  <si>
    <t>Vins Holdings</t>
  </si>
  <si>
    <t>Wong Fong Ind</t>
  </si>
  <si>
    <t>Yamada Green Res</t>
  </si>
  <si>
    <t>Yongmao</t>
  </si>
  <si>
    <t>Yunnan Energy</t>
  </si>
  <si>
    <t>YZJ Shipbldg CNY</t>
  </si>
  <si>
    <t>ZICO Hldgs</t>
  </si>
  <si>
    <t>a</t>
  </si>
  <si>
    <t>Industry</t>
  </si>
  <si>
    <t>m</t>
  </si>
  <si>
    <t>Amara Holdings</t>
  </si>
  <si>
    <t>Asian Pay TV Tr</t>
  </si>
  <si>
    <t>Global Inv</t>
  </si>
  <si>
    <t>c</t>
  </si>
  <si>
    <t>Suspended</t>
  </si>
  <si>
    <t>S</t>
  </si>
  <si>
    <t>Technology</t>
  </si>
  <si>
    <t>Software application</t>
  </si>
  <si>
    <t>Sub-industry</t>
  </si>
  <si>
    <t>Computer Hardware</t>
  </si>
  <si>
    <t>Consumer-Cyclical</t>
  </si>
  <si>
    <t>Restaurants</t>
  </si>
  <si>
    <t>Basic Materials</t>
  </si>
  <si>
    <t>Chemical</t>
  </si>
  <si>
    <t>Industrials</t>
  </si>
  <si>
    <t>Rental &amp; leasing services</t>
  </si>
  <si>
    <t>Healthcare</t>
  </si>
  <si>
    <t>Medical care facilities</t>
  </si>
  <si>
    <t>Specialty Industrial Machinery</t>
  </si>
  <si>
    <t>Engineering &amp; Constructions</t>
  </si>
  <si>
    <t>Communication equipments</t>
  </si>
  <si>
    <t>Auto Parts</t>
  </si>
  <si>
    <t>Energy</t>
  </si>
  <si>
    <t>Oil &amp; Gas Equipment &amp; Services</t>
  </si>
  <si>
    <t>Semiconductor Equipment &amp; Materials</t>
  </si>
  <si>
    <t>Staffing &amp; Employment Services</t>
  </si>
  <si>
    <t>Conglomerates</t>
  </si>
  <si>
    <t>Security &amp; Protection Services</t>
  </si>
  <si>
    <t>Lodging</t>
  </si>
  <si>
    <t>Medical devices</t>
  </si>
  <si>
    <t>Engineering &amp; Construction</t>
  </si>
  <si>
    <t>Real Estate</t>
  </si>
  <si>
    <t>Real Estate - Development</t>
  </si>
  <si>
    <t>Real Estate - Diversified</t>
  </si>
  <si>
    <t>Financial Services</t>
  </si>
  <si>
    <t>Asset Management</t>
  </si>
  <si>
    <t>Oil &amp; Gas Refining &amp; Marketing</t>
  </si>
  <si>
    <t>Steel</t>
  </si>
  <si>
    <t>Real Estate - Services</t>
  </si>
  <si>
    <t>Aluminium</t>
  </si>
  <si>
    <t>Diagnostics &amp; Research</t>
  </si>
  <si>
    <t>Oil &amp; Gas Midstream</t>
  </si>
  <si>
    <t>Other industrial metals &amp; mining</t>
  </si>
  <si>
    <t>Utilities - Independent Power Producers</t>
  </si>
  <si>
    <t>Utilities</t>
  </si>
  <si>
    <t>Aerospace &amp; Defense</t>
  </si>
  <si>
    <t>Specialty Business Services</t>
  </si>
  <si>
    <t>Integrated Freight &amp; Logistics</t>
  </si>
  <si>
    <t>Luxury Goods</t>
  </si>
  <si>
    <t>Information Technology Services</t>
  </si>
  <si>
    <t>Marine Shipping</t>
  </si>
  <si>
    <t>Consulting Services</t>
  </si>
  <si>
    <t>Industrial Distribution</t>
  </si>
  <si>
    <t>HKD</t>
  </si>
  <si>
    <t>Electronic Components</t>
  </si>
  <si>
    <t>SGD</t>
  </si>
  <si>
    <t>AUD</t>
  </si>
  <si>
    <t>USD</t>
  </si>
  <si>
    <t>MYR</t>
  </si>
  <si>
    <t>CNY</t>
  </si>
  <si>
    <t>Currency</t>
  </si>
  <si>
    <t>Publishing</t>
  </si>
  <si>
    <t>Communication Services</t>
  </si>
  <si>
    <t>Resorts &amp; Casinos</t>
  </si>
  <si>
    <t>9QX</t>
  </si>
  <si>
    <t>BQN</t>
  </si>
  <si>
    <t>B28</t>
  </si>
  <si>
    <t>F9D</t>
  </si>
  <si>
    <t>BEC</t>
  </si>
  <si>
    <t>B69</t>
  </si>
  <si>
    <t>9I7</t>
  </si>
  <si>
    <t>AWC</t>
  </si>
  <si>
    <t>Electrical Equipment &amp; Parts</t>
  </si>
  <si>
    <t>B61</t>
  </si>
  <si>
    <t>Code</t>
  </si>
  <si>
    <t>LVR</t>
  </si>
  <si>
    <t>1Y1</t>
  </si>
  <si>
    <t>QZG</t>
  </si>
  <si>
    <t>5FW</t>
  </si>
  <si>
    <t>AYV</t>
  </si>
  <si>
    <t>43F</t>
  </si>
  <si>
    <t>A31</t>
  </si>
  <si>
    <t>BLZ</t>
  </si>
  <si>
    <t>WJ9</t>
  </si>
  <si>
    <t>43Q</t>
  </si>
  <si>
    <t>5EF</t>
  </si>
  <si>
    <t>XVG</t>
  </si>
  <si>
    <t>XWA</t>
  </si>
  <si>
    <t>L38</t>
  </si>
  <si>
    <t>40F</t>
  </si>
  <si>
    <t>MIJ</t>
  </si>
  <si>
    <t>-</t>
  </si>
  <si>
    <t>ZXY</t>
  </si>
  <si>
    <t>40V</t>
  </si>
  <si>
    <t>S9B</t>
  </si>
  <si>
    <t>49B</t>
  </si>
  <si>
    <t>AOF</t>
  </si>
  <si>
    <t>HKB</t>
  </si>
  <si>
    <t>Y35</t>
  </si>
  <si>
    <t>BTX</t>
  </si>
  <si>
    <t>A52</t>
  </si>
  <si>
    <t>5AL</t>
  </si>
  <si>
    <t>1D4</t>
  </si>
  <si>
    <t>5AU</t>
  </si>
  <si>
    <t>5RA</t>
  </si>
  <si>
    <t>CLN</t>
  </si>
  <si>
    <t>AWG</t>
  </si>
  <si>
    <t>A55</t>
  </si>
  <si>
    <t>5RE</t>
  </si>
  <si>
    <t>5WV</t>
  </si>
  <si>
    <t>5CR</t>
  </si>
  <si>
    <t>A04</t>
  </si>
  <si>
    <t>BQC</t>
  </si>
  <si>
    <t>BTJ</t>
  </si>
  <si>
    <t>1F3</t>
  </si>
  <si>
    <t>A30</t>
  </si>
  <si>
    <t>5UF</t>
  </si>
  <si>
    <t>RCU</t>
  </si>
  <si>
    <t>42S</t>
  </si>
  <si>
    <t>5UL</t>
  </si>
  <si>
    <t>53W</t>
  </si>
  <si>
    <t>1AZ</t>
  </si>
  <si>
    <t>5GJ</t>
  </si>
  <si>
    <t>X5N</t>
  </si>
  <si>
    <t>1R6</t>
  </si>
  <si>
    <t>BBW</t>
  </si>
  <si>
    <t>8AZ</t>
  </si>
  <si>
    <t>1D3</t>
  </si>
  <si>
    <t>CJN</t>
  </si>
  <si>
    <t>YYB</t>
  </si>
  <si>
    <t>BTP</t>
  </si>
  <si>
    <t>B58</t>
  </si>
  <si>
    <t>KJ5</t>
  </si>
  <si>
    <t>BEZ</t>
  </si>
  <si>
    <t>P8Z</t>
  </si>
  <si>
    <t>Farm Products</t>
  </si>
  <si>
    <t>Consumer Defensive</t>
  </si>
  <si>
    <t>IDR</t>
  </si>
  <si>
    <t>BTE</t>
  </si>
  <si>
    <t>Real Estate Services</t>
  </si>
  <si>
    <t>BAC</t>
  </si>
  <si>
    <t>Food Distribution</t>
  </si>
  <si>
    <t>Oil &amp; Gas E&amp;P</t>
  </si>
  <si>
    <t>1D5</t>
  </si>
  <si>
    <t>9CI</t>
  </si>
  <si>
    <t>AWV</t>
  </si>
  <si>
    <t>Telecom Services</t>
  </si>
  <si>
    <t>C04</t>
  </si>
  <si>
    <t>Furnishings, Fixture &amp; Applicances</t>
  </si>
  <si>
    <t>BXE</t>
  </si>
  <si>
    <t>5EB</t>
  </si>
  <si>
    <t>Metal Fabrication</t>
  </si>
  <si>
    <t>C13</t>
  </si>
  <si>
    <t>5NV</t>
  </si>
  <si>
    <t>C05</t>
  </si>
  <si>
    <t>Chemicals</t>
  </si>
  <si>
    <t>G92</t>
  </si>
  <si>
    <t>UIX</t>
  </si>
  <si>
    <t>Auto &amp; Truck Dealerships</t>
  </si>
  <si>
    <t>U9E</t>
  </si>
  <si>
    <t>Utilities - Regulated Water</t>
  </si>
  <si>
    <t>BEH</t>
  </si>
  <si>
    <t>BHD</t>
  </si>
  <si>
    <t>BCD</t>
  </si>
  <si>
    <t>P74</t>
  </si>
  <si>
    <t>Package Foods</t>
  </si>
  <si>
    <t>GU5</t>
  </si>
  <si>
    <t>QES</t>
  </si>
  <si>
    <t>Specialty Chemicals</t>
  </si>
  <si>
    <t>42E</t>
  </si>
  <si>
    <t>Electronic &amp; Computer Distribution</t>
  </si>
  <si>
    <t>C33</t>
  </si>
  <si>
    <t>C09</t>
  </si>
  <si>
    <t>P9D</t>
  </si>
  <si>
    <t>1H3</t>
  </si>
  <si>
    <t>8A8</t>
  </si>
  <si>
    <t>Drug Manufacturers - Specialty &amp; Generic</t>
  </si>
  <si>
    <t>5TP</t>
  </si>
  <si>
    <t>Gold</t>
  </si>
  <si>
    <t>STC</t>
  </si>
  <si>
    <t>N0Z</t>
  </si>
  <si>
    <t>Leisure</t>
  </si>
  <si>
    <t>C52</t>
  </si>
  <si>
    <t>Railroads</t>
  </si>
  <si>
    <t>P8A</t>
  </si>
  <si>
    <t>C41</t>
  </si>
  <si>
    <t>CIN</t>
  </si>
  <si>
    <t>C76</t>
  </si>
  <si>
    <t>TCU</t>
  </si>
  <si>
    <t>Financial Data &amp; Stock Exchanges</t>
  </si>
  <si>
    <t>C06</t>
  </si>
  <si>
    <t>BLR</t>
  </si>
  <si>
    <t>Pollution &amp; Treatment Controls</t>
  </si>
  <si>
    <t>BKW</t>
  </si>
  <si>
    <t>Banks -Regional</t>
  </si>
  <si>
    <t>D05</t>
  </si>
  <si>
    <t>D03</t>
  </si>
  <si>
    <t>P34</t>
  </si>
  <si>
    <t>Confectioners</t>
  </si>
  <si>
    <t>UZF</t>
  </si>
  <si>
    <t>D01</t>
  </si>
  <si>
    <t>Grocery Stores</t>
  </si>
  <si>
    <t>BAI</t>
  </si>
  <si>
    <t>GRQ</t>
  </si>
  <si>
    <t>5SO</t>
  </si>
  <si>
    <t>Specialty Retail</t>
  </si>
  <si>
    <t>5CT</t>
  </si>
  <si>
    <t>Waste Management</t>
  </si>
  <si>
    <t>5HG</t>
  </si>
  <si>
    <t>8YY</t>
  </si>
  <si>
    <t>42Z</t>
  </si>
  <si>
    <t>BIX</t>
  </si>
  <si>
    <t>EMI</t>
  </si>
  <si>
    <t>PHP</t>
  </si>
  <si>
    <t>Beverages - Wineries &amp; Distilleries</t>
  </si>
  <si>
    <t>R14</t>
  </si>
  <si>
    <t>S44</t>
  </si>
  <si>
    <t>Building Materials</t>
  </si>
  <si>
    <t>BQD</t>
  </si>
  <si>
    <t>L23</t>
  </si>
  <si>
    <t>5RC</t>
  </si>
  <si>
    <t>5G1</t>
  </si>
  <si>
    <t>ZKX</t>
  </si>
  <si>
    <t>F99</t>
  </si>
  <si>
    <t>5TJ</t>
  </si>
  <si>
    <t>O10</t>
  </si>
  <si>
    <t>BDU</t>
  </si>
  <si>
    <t>5F4</t>
  </si>
  <si>
    <t>EB5</t>
  </si>
  <si>
    <t>AND</t>
  </si>
  <si>
    <t>F10</t>
  </si>
  <si>
    <t>Apparel Retail</t>
  </si>
  <si>
    <t>KYB</t>
  </si>
  <si>
    <t>OAJ</t>
  </si>
  <si>
    <t>TQ5</t>
  </si>
  <si>
    <t>F13</t>
  </si>
  <si>
    <t>AWK</t>
  </si>
  <si>
    <t>Apparel Manufacturing</t>
  </si>
  <si>
    <t>QS9</t>
  </si>
  <si>
    <t>5IG</t>
  </si>
  <si>
    <t>Utilities - Diversified</t>
  </si>
  <si>
    <t>41T</t>
  </si>
  <si>
    <t>5VP</t>
  </si>
  <si>
    <t>Building Products &amp; Equipment</t>
  </si>
  <si>
    <t>G13</t>
  </si>
  <si>
    <t>RE4</t>
  </si>
  <si>
    <t>Thermal Coal</t>
  </si>
  <si>
    <t>XJB</t>
  </si>
  <si>
    <t>Entertainment</t>
  </si>
  <si>
    <t>AYN</t>
  </si>
  <si>
    <t>E5H</t>
  </si>
  <si>
    <t>5PC</t>
  </si>
  <si>
    <t>GEH</t>
  </si>
  <si>
    <t>G20</t>
  </si>
  <si>
    <t>G50</t>
  </si>
  <si>
    <t>JLB</t>
  </si>
  <si>
    <t>Semiconductors</t>
  </si>
  <si>
    <t>G07</t>
  </si>
  <si>
    <t>Insurance - Life</t>
  </si>
  <si>
    <t>Y06</t>
  </si>
  <si>
    <t>BLU</t>
  </si>
  <si>
    <t>Scientific &amp; Technical Instruments</t>
  </si>
  <si>
    <t>43A</t>
  </si>
  <si>
    <t>BDX</t>
  </si>
  <si>
    <t>41F</t>
  </si>
  <si>
    <t>F17</t>
  </si>
  <si>
    <t>5AI</t>
  </si>
  <si>
    <t>5VS</t>
  </si>
  <si>
    <t>PH0</t>
  </si>
  <si>
    <t>1B1</t>
  </si>
  <si>
    <t>40B</t>
  </si>
  <si>
    <t>5OR</t>
  </si>
  <si>
    <t>5DP</t>
  </si>
  <si>
    <t>HLS</t>
  </si>
  <si>
    <t>5PD</t>
  </si>
  <si>
    <t>8A1</t>
  </si>
  <si>
    <t>BTG</t>
  </si>
  <si>
    <t>5GZ</t>
  </si>
  <si>
    <t>5JK</t>
  </si>
  <si>
    <t>1L2</t>
  </si>
  <si>
    <t>5PO</t>
  </si>
  <si>
    <t>AVX</t>
  </si>
  <si>
    <t>H13</t>
  </si>
  <si>
    <t>J2T</t>
  </si>
  <si>
    <t>H20</t>
  </si>
  <si>
    <t>H30</t>
  </si>
  <si>
    <t>CTO</t>
  </si>
  <si>
    <t>H22</t>
  </si>
  <si>
    <t>Auto Manufacturers</t>
  </si>
  <si>
    <t>S41</t>
  </si>
  <si>
    <t>H78</t>
  </si>
  <si>
    <t>BPP</t>
  </si>
  <si>
    <t>5EV</t>
  </si>
  <si>
    <t>H12</t>
  </si>
  <si>
    <t>H18</t>
  </si>
  <si>
    <t>BLS</t>
  </si>
  <si>
    <t>TWD</t>
  </si>
  <si>
    <t>H15</t>
  </si>
  <si>
    <t>CHZ</t>
  </si>
  <si>
    <t>41B</t>
  </si>
  <si>
    <t>1J5</t>
  </si>
  <si>
    <t>Pharmaceutical Retailers</t>
  </si>
  <si>
    <t>AIY</t>
  </si>
  <si>
    <t>Q0F</t>
  </si>
  <si>
    <t>5JS</t>
  </si>
  <si>
    <t>ITS</t>
  </si>
  <si>
    <t>M14</t>
  </si>
  <si>
    <t>5GI</t>
  </si>
  <si>
    <t>KUO</t>
  </si>
  <si>
    <t>I06</t>
  </si>
  <si>
    <t>AZA</t>
  </si>
  <si>
    <t>42N</t>
  </si>
  <si>
    <t>I07</t>
  </si>
  <si>
    <t>40T</t>
  </si>
  <si>
    <t>5WF</t>
  </si>
  <si>
    <t>NXR</t>
  </si>
  <si>
    <t>42C</t>
  </si>
  <si>
    <t>J03</t>
  </si>
  <si>
    <t>5OI</t>
  </si>
  <si>
    <t>5PF</t>
  </si>
  <si>
    <t>Lumber &amp; Wood Production</t>
  </si>
  <si>
    <t>1J7</t>
  </si>
  <si>
    <t>BEW</t>
  </si>
  <si>
    <t>1J4</t>
  </si>
  <si>
    <t>C8R</t>
  </si>
  <si>
    <t>J36</t>
  </si>
  <si>
    <t>E9L</t>
  </si>
  <si>
    <t>Credit Services</t>
  </si>
  <si>
    <t>NHD</t>
  </si>
  <si>
    <t>Electronics &amp; Computer Distribution</t>
  </si>
  <si>
    <t>42R</t>
  </si>
  <si>
    <t>K29</t>
  </si>
  <si>
    <t>1A0</t>
  </si>
  <si>
    <t>BNE</t>
  </si>
  <si>
    <t>5TT</t>
  </si>
  <si>
    <t>BN4</t>
  </si>
  <si>
    <t>K03</t>
  </si>
  <si>
    <t>5G2</t>
  </si>
  <si>
    <t>1D0</t>
  </si>
  <si>
    <t>5MZ</t>
  </si>
  <si>
    <t>BJZ</t>
  </si>
  <si>
    <t>K75</t>
  </si>
  <si>
    <t>5HV</t>
  </si>
  <si>
    <t>5I1</t>
  </si>
  <si>
    <t>5VC</t>
  </si>
  <si>
    <t>5OC</t>
  </si>
  <si>
    <t>ER0</t>
  </si>
  <si>
    <t>XCF</t>
  </si>
  <si>
    <t>LS9</t>
  </si>
  <si>
    <t>Q0X</t>
  </si>
  <si>
    <t>41O</t>
  </si>
  <si>
    <t>BEI</t>
  </si>
  <si>
    <t>BFT</t>
  </si>
  <si>
    <t>BAZ</t>
  </si>
  <si>
    <t>PRH</t>
  </si>
  <si>
    <t>LMS</t>
  </si>
  <si>
    <t>O6Z</t>
  </si>
  <si>
    <t>CHF</t>
  </si>
  <si>
    <t>F1E</t>
  </si>
  <si>
    <t>ENV</t>
  </si>
  <si>
    <t>L19</t>
  </si>
  <si>
    <t>LCC</t>
  </si>
  <si>
    <t>5UA</t>
  </si>
  <si>
    <t>KK</t>
  </si>
  <si>
    <t>1H8</t>
  </si>
  <si>
    <t>Furnitures, Fixture &amp; Appliances</t>
  </si>
  <si>
    <t>M04</t>
  </si>
  <si>
    <t>5LY</t>
  </si>
  <si>
    <t>M12</t>
  </si>
  <si>
    <t>JPY</t>
  </si>
  <si>
    <t>5OX</t>
  </si>
  <si>
    <t>Personal Services</t>
  </si>
  <si>
    <t>M15</t>
  </si>
  <si>
    <t>Y3D</t>
  </si>
  <si>
    <t>Z4D</t>
  </si>
  <si>
    <t>OTX</t>
  </si>
  <si>
    <t>Medical Instruments &amp; Supplies</t>
  </si>
  <si>
    <t>5DS</t>
  </si>
  <si>
    <t>SJY</t>
  </si>
  <si>
    <t>TWL</t>
  </si>
  <si>
    <t>5NF</t>
  </si>
  <si>
    <t>DU4</t>
  </si>
  <si>
    <t>5DX</t>
  </si>
  <si>
    <t>Medical Care facilities</t>
  </si>
  <si>
    <t>9MT</t>
  </si>
  <si>
    <t>V3M</t>
  </si>
  <si>
    <t>L02</t>
  </si>
  <si>
    <t>Utilities - Renewable</t>
  </si>
  <si>
    <t>M01</t>
  </si>
  <si>
    <t>Department Stores</t>
  </si>
  <si>
    <t>MV4</t>
  </si>
  <si>
    <t>M11</t>
  </si>
  <si>
    <t>5DD</t>
  </si>
  <si>
    <t>CNE</t>
  </si>
  <si>
    <t>Education &amp; Training Services</t>
  </si>
  <si>
    <t>M03</t>
  </si>
  <si>
    <t>1B0</t>
  </si>
  <si>
    <t>5WJ</t>
  </si>
  <si>
    <t>1V3</t>
  </si>
  <si>
    <t>NPW</t>
  </si>
  <si>
    <t>51O</t>
  </si>
  <si>
    <t>M05</t>
  </si>
  <si>
    <t>AWZ</t>
  </si>
  <si>
    <t>MF6</t>
  </si>
  <si>
    <t>PJX</t>
  </si>
  <si>
    <t>F86</t>
  </si>
  <si>
    <t>G0I</t>
  </si>
  <si>
    <t>1MZ</t>
  </si>
  <si>
    <t>MZH</t>
  </si>
  <si>
    <t>5IF</t>
  </si>
  <si>
    <t>N01</t>
  </si>
  <si>
    <t>5QY</t>
  </si>
  <si>
    <t>Mortgage Finance</t>
  </si>
  <si>
    <t>N08</t>
  </si>
  <si>
    <t>Packaging &amp; Containers</t>
  </si>
  <si>
    <t>5FX</t>
  </si>
  <si>
    <t>NPL</t>
  </si>
  <si>
    <t>NIO</t>
  </si>
  <si>
    <t>OTS</t>
  </si>
  <si>
    <t>N32</t>
  </si>
  <si>
    <t>Paper &amp; Paper Products</t>
  </si>
  <si>
    <t>N33</t>
  </si>
  <si>
    <t>Capital Markets</t>
  </si>
  <si>
    <t>SEJ</t>
  </si>
  <si>
    <t>MR7</t>
  </si>
  <si>
    <t>N02</t>
  </si>
  <si>
    <t>O39</t>
  </si>
  <si>
    <t>1B6</t>
  </si>
  <si>
    <t>HQU</t>
  </si>
  <si>
    <t>KUX</t>
  </si>
  <si>
    <t>5CF</t>
  </si>
  <si>
    <t>VC2</t>
  </si>
  <si>
    <t>5ML</t>
  </si>
  <si>
    <t>1H2</t>
  </si>
  <si>
    <t>5SY</t>
  </si>
  <si>
    <t>O08</t>
  </si>
  <si>
    <t>LJ3</t>
  </si>
  <si>
    <t>5WA</t>
  </si>
  <si>
    <t>AJ2</t>
  </si>
  <si>
    <t>Utilities - Regulated Gas</t>
  </si>
  <si>
    <t>RQ1</t>
  </si>
  <si>
    <t>5UX</t>
  </si>
  <si>
    <t>TVV</t>
  </si>
  <si>
    <t>Software - Infrastructure</t>
  </si>
  <si>
    <t>P15</t>
  </si>
  <si>
    <t>RXS</t>
  </si>
  <si>
    <t>P36</t>
  </si>
  <si>
    <t>P52</t>
  </si>
  <si>
    <t>O9E</t>
  </si>
  <si>
    <t>UUK</t>
  </si>
  <si>
    <t>Medical Distribution</t>
  </si>
  <si>
    <t>PCT</t>
  </si>
  <si>
    <t>BTM</t>
  </si>
  <si>
    <t>BFK</t>
  </si>
  <si>
    <t>YYN</t>
  </si>
  <si>
    <t>BDA</t>
  </si>
  <si>
    <t>5BI</t>
  </si>
  <si>
    <t>5AE</t>
  </si>
  <si>
    <t>BCY</t>
  </si>
  <si>
    <t>OYY</t>
  </si>
  <si>
    <t>5HH</t>
  </si>
  <si>
    <t>PPC</t>
  </si>
  <si>
    <t>K6S</t>
  </si>
  <si>
    <t>DM0</t>
  </si>
  <si>
    <t>QC7</t>
  </si>
  <si>
    <t>Q01</t>
  </si>
  <si>
    <t>BCV</t>
  </si>
  <si>
    <t>V8Y</t>
  </si>
  <si>
    <t>NR7</t>
  </si>
  <si>
    <t>BSL</t>
  </si>
  <si>
    <t>NEX</t>
  </si>
  <si>
    <t>I11</t>
  </si>
  <si>
    <t>V7R</t>
  </si>
  <si>
    <t>5WH</t>
  </si>
  <si>
    <t>T13</t>
  </si>
  <si>
    <t>AP4</t>
  </si>
  <si>
    <t>5DO</t>
  </si>
  <si>
    <t>FQ7</t>
  </si>
  <si>
    <t>9G2</t>
  </si>
  <si>
    <t>E6R</t>
  </si>
  <si>
    <t>S56</t>
  </si>
  <si>
    <t>Y8E</t>
  </si>
  <si>
    <t>1E3</t>
  </si>
  <si>
    <t>BRD</t>
  </si>
  <si>
    <t>U77</t>
  </si>
  <si>
    <t>Airport &amp; Air Services</t>
  </si>
  <si>
    <t>S58</t>
  </si>
  <si>
    <t>S61</t>
  </si>
  <si>
    <t>5E2</t>
  </si>
  <si>
    <t>43B</t>
  </si>
  <si>
    <t>U96</t>
  </si>
  <si>
    <t>XHV</t>
  </si>
  <si>
    <t>S69</t>
  </si>
  <si>
    <t>5EW</t>
  </si>
  <si>
    <t>S68</t>
  </si>
  <si>
    <t>SES</t>
  </si>
  <si>
    <t>AWM</t>
  </si>
  <si>
    <t>S07</t>
  </si>
  <si>
    <t>SGR</t>
  </si>
  <si>
    <t>A78</t>
  </si>
  <si>
    <t>BKV</t>
  </si>
  <si>
    <t>1F0</t>
  </si>
  <si>
    <t>Advertising Agencies</t>
  </si>
  <si>
    <t>C6L</t>
  </si>
  <si>
    <t>Airlines</t>
  </si>
  <si>
    <t>S59</t>
  </si>
  <si>
    <t>BHK</t>
  </si>
  <si>
    <t>URR</t>
  </si>
  <si>
    <t>Farm &amp; Heavy Construction Machinery</t>
  </si>
  <si>
    <t>BKA</t>
  </si>
  <si>
    <t>S35</t>
  </si>
  <si>
    <t>FRQ</t>
  </si>
  <si>
    <t>N/A</t>
  </si>
  <si>
    <t>U06</t>
  </si>
  <si>
    <t>5IC</t>
  </si>
  <si>
    <t>S08</t>
  </si>
  <si>
    <t>S19</t>
  </si>
  <si>
    <t>Z74</t>
  </si>
  <si>
    <t>Z77</t>
  </si>
  <si>
    <t>LYY</t>
  </si>
  <si>
    <t>C9Q</t>
  </si>
  <si>
    <t>5LE</t>
  </si>
  <si>
    <t>5MD</t>
  </si>
  <si>
    <t>5KI</t>
  </si>
  <si>
    <t>A33</t>
  </si>
  <si>
    <t>BQP</t>
  </si>
  <si>
    <t>QNS</t>
  </si>
  <si>
    <t>9VW</t>
  </si>
  <si>
    <t>Tools &amp; Accessories</t>
  </si>
  <si>
    <t>S23</t>
  </si>
  <si>
    <t>THB</t>
  </si>
  <si>
    <t>NC2</t>
  </si>
  <si>
    <t>STG</t>
  </si>
  <si>
    <t>S63</t>
  </si>
  <si>
    <t>DRX</t>
  </si>
  <si>
    <t>H07</t>
  </si>
  <si>
    <t>S29</t>
  </si>
  <si>
    <t>CC3</t>
  </si>
  <si>
    <t>S85</t>
  </si>
  <si>
    <t>S20</t>
  </si>
  <si>
    <t>AAJ</t>
  </si>
  <si>
    <t>5GD</t>
  </si>
  <si>
    <t>S71</t>
  </si>
  <si>
    <t>BKZ</t>
  </si>
  <si>
    <t>BHU</t>
  </si>
  <si>
    <t>42L</t>
  </si>
  <si>
    <t>T12</t>
  </si>
  <si>
    <t>VI2</t>
  </si>
  <si>
    <t>T15</t>
  </si>
  <si>
    <t>5OQ</t>
  </si>
  <si>
    <t>T41</t>
  </si>
  <si>
    <t>Y92</t>
  </si>
  <si>
    <t>AWI</t>
  </si>
  <si>
    <t>E27</t>
  </si>
  <si>
    <t>AGS</t>
  </si>
  <si>
    <t>A50</t>
  </si>
  <si>
    <t>T55</t>
  </si>
  <si>
    <t>BFI</t>
  </si>
  <si>
    <t>BQM</t>
  </si>
  <si>
    <t>T14</t>
  </si>
  <si>
    <t>BVA</t>
  </si>
  <si>
    <t>S2D</t>
  </si>
  <si>
    <t>42F</t>
  </si>
  <si>
    <t>BCZ</t>
  </si>
  <si>
    <t>5AB</t>
  </si>
  <si>
    <t>42T</t>
  </si>
  <si>
    <t>CYW</t>
  </si>
  <si>
    <t>5G9</t>
  </si>
  <si>
    <t>KUH</t>
  </si>
  <si>
    <t>T24</t>
  </si>
  <si>
    <t>BFU</t>
  </si>
  <si>
    <t>8K7</t>
  </si>
  <si>
    <t>CHJ</t>
  </si>
  <si>
    <t>1F2</t>
  </si>
  <si>
    <t>ZB9</t>
  </si>
  <si>
    <t>1D1</t>
  </si>
  <si>
    <t>EH5</t>
  </si>
  <si>
    <t>U11</t>
  </si>
  <si>
    <t>U10</t>
  </si>
  <si>
    <t>U13</t>
  </si>
  <si>
    <t>Insurance - Property &amp; Casualty</t>
  </si>
  <si>
    <t>U14</t>
  </si>
  <si>
    <t>BRS</t>
  </si>
  <si>
    <t>V2Y</t>
  </si>
  <si>
    <t>WPC</t>
  </si>
  <si>
    <t>T6I</t>
  </si>
  <si>
    <t>BN2</t>
  </si>
  <si>
    <t>43E</t>
  </si>
  <si>
    <t>V03</t>
  </si>
  <si>
    <t>40N</t>
  </si>
  <si>
    <t>Business Equipment &amp; Supplies</t>
  </si>
  <si>
    <t>BIP</t>
  </si>
  <si>
    <t>BJD</t>
  </si>
  <si>
    <t>WJP</t>
  </si>
  <si>
    <t>Medical Devices</t>
  </si>
  <si>
    <t>VIN</t>
  </si>
  <si>
    <t>OMK</t>
  </si>
  <si>
    <t>BDR</t>
  </si>
  <si>
    <t>F34</t>
  </si>
  <si>
    <t>5F7</t>
  </si>
  <si>
    <t>W05</t>
  </si>
  <si>
    <t>WKS</t>
  </si>
  <si>
    <t>Electronic Gaming &amp; Multimedia</t>
  </si>
  <si>
    <t>Farms &amp; Heavy Construction Machinery</t>
  </si>
  <si>
    <t>1A1</t>
  </si>
  <si>
    <t>B49</t>
  </si>
  <si>
    <t>BQF</t>
  </si>
  <si>
    <t>1F1</t>
  </si>
  <si>
    <t>Internet Retail</t>
  </si>
  <si>
    <t>BJV</t>
  </si>
  <si>
    <t>Y03</t>
  </si>
  <si>
    <t>BPF</t>
  </si>
  <si>
    <t>5DM</t>
  </si>
  <si>
    <t>YK9</t>
  </si>
  <si>
    <t>Z59</t>
  </si>
  <si>
    <t>BKX</t>
  </si>
  <si>
    <t>T43</t>
  </si>
  <si>
    <t>YF8</t>
  </si>
  <si>
    <t>SO7</t>
  </si>
  <si>
    <t>BS6</t>
  </si>
  <si>
    <t>BMW</t>
  </si>
  <si>
    <t>5SR</t>
  </si>
  <si>
    <t>Beverages - Non Alcoholic</t>
  </si>
  <si>
    <t>5EG</t>
  </si>
  <si>
    <t>40W</t>
  </si>
  <si>
    <t>42W</t>
  </si>
  <si>
    <t>Packaged Foods</t>
  </si>
  <si>
    <t>Z25</t>
  </si>
  <si>
    <t>E3B</t>
  </si>
  <si>
    <t>V5Q</t>
  </si>
  <si>
    <t>OV8</t>
  </si>
  <si>
    <t>C07</t>
  </si>
  <si>
    <t>I49</t>
  </si>
  <si>
    <t>H02</t>
  </si>
  <si>
    <t>Drug Manufacturers - General</t>
  </si>
  <si>
    <t>Non Active</t>
  </si>
  <si>
    <t>S3N</t>
  </si>
  <si>
    <t>E28</t>
  </si>
  <si>
    <t>F03</t>
  </si>
  <si>
    <t>F83</t>
  </si>
  <si>
    <t>OU8</t>
  </si>
  <si>
    <t>S7OU</t>
  </si>
  <si>
    <t>AWX</t>
  </si>
  <si>
    <t>Target Co:</t>
  </si>
  <si>
    <t>Gamma Spore Pte Ltd</t>
  </si>
  <si>
    <t>Incorporated:</t>
  </si>
  <si>
    <t>20th Sep 2011</t>
  </si>
  <si>
    <t>Shareholder:</t>
  </si>
  <si>
    <t>1. Ong Huat Huat</t>
  </si>
  <si>
    <t>Director:</t>
  </si>
  <si>
    <t>Accounting Period:</t>
  </si>
  <si>
    <t>31st December 20XX</t>
  </si>
  <si>
    <t xml:space="preserve">Principal Activities: </t>
  </si>
  <si>
    <t>Event &amp; Concert Organizers</t>
  </si>
  <si>
    <t>Company History :</t>
  </si>
  <si>
    <t>12 Years history and was established and operated under the same ownership for the entire history</t>
  </si>
  <si>
    <t>Strength:</t>
  </si>
  <si>
    <t>Weakness:</t>
  </si>
  <si>
    <t>Opportunity:</t>
  </si>
  <si>
    <t>Threats:</t>
  </si>
  <si>
    <t>Customer based:</t>
  </si>
  <si>
    <t>2. Tiam Ai Kun (Non-executive)</t>
  </si>
  <si>
    <t>Employee:</t>
  </si>
  <si>
    <t>3 employees, One Office Secretary and the other 2 are involved in managing the operations.</t>
  </si>
  <si>
    <t>Other information:</t>
  </si>
  <si>
    <t>During the year 2020, the company had secured a term loan of about $3.32 million to finance the purchase of an industrial leasehold property with a useful life of 37 years.  The interest rate of 4% pa will be applied from the second year (year 2023) and thereafter.</t>
  </si>
  <si>
    <t>60% (&lt;12 Customers) of the customers are new and non recurring.  About 20% are old customers (only 2 recurring which accounts for 25% of the total revenue) and have been with the company for more than 5 years brought in by Ong Huat Huat.</t>
  </si>
  <si>
    <t>Haw Par Villa</t>
  </si>
  <si>
    <t>SG 10-year Bond Yields</t>
  </si>
  <si>
    <t>Small-Cap size risk premium</t>
  </si>
  <si>
    <t>Company-specific risk premium</t>
  </si>
  <si>
    <r>
      <t>R</t>
    </r>
    <r>
      <rPr>
        <i/>
        <sz val="11"/>
        <color theme="1"/>
        <rFont val="Calibri"/>
        <family val="2"/>
        <scheme val="minor"/>
      </rPr>
      <t>f</t>
    </r>
  </si>
  <si>
    <r>
      <t>P</t>
    </r>
    <r>
      <rPr>
        <i/>
        <sz val="11"/>
        <color theme="1"/>
        <rFont val="Calibri"/>
        <family val="2"/>
        <scheme val="minor"/>
      </rPr>
      <t>l</t>
    </r>
  </si>
  <si>
    <r>
      <t>P</t>
    </r>
    <r>
      <rPr>
        <i/>
        <sz val="11"/>
        <color theme="1"/>
        <rFont val="Calibri"/>
        <family val="2"/>
        <scheme val="minor"/>
      </rPr>
      <t>i</t>
    </r>
  </si>
  <si>
    <r>
      <t>P</t>
    </r>
    <r>
      <rPr>
        <i/>
        <sz val="11"/>
        <color theme="1"/>
        <rFont val="Calibri"/>
        <family val="2"/>
        <scheme val="minor"/>
      </rPr>
      <t>s</t>
    </r>
  </si>
  <si>
    <r>
      <t>P</t>
    </r>
    <r>
      <rPr>
        <i/>
        <sz val="11"/>
        <color theme="1"/>
        <rFont val="Calibri"/>
        <family val="2"/>
        <scheme val="minor"/>
      </rPr>
      <t>c</t>
    </r>
  </si>
  <si>
    <t>Capitalization Rate</t>
  </si>
  <si>
    <t>Cost of Equity (d)</t>
  </si>
  <si>
    <t>d</t>
  </si>
  <si>
    <t>Calculations of Industry Risk in a Buildup Model</t>
  </si>
  <si>
    <t>Total Mkt Cap $</t>
  </si>
  <si>
    <t>LB</t>
  </si>
  <si>
    <t>D %age of debts</t>
  </si>
  <si>
    <t>E %age of equity</t>
  </si>
  <si>
    <t>Total debt</t>
  </si>
  <si>
    <t>Total Equity</t>
  </si>
  <si>
    <t>Total Equity  Total Debts</t>
  </si>
  <si>
    <t>P/E ratio</t>
  </si>
  <si>
    <t>Dividend yield</t>
  </si>
  <si>
    <t>Sh price on 10 May 2022</t>
  </si>
  <si>
    <t>Sh price on 31 Decc 2021</t>
  </si>
  <si>
    <t>Percentage +ve drop/-ve increase</t>
  </si>
  <si>
    <t>Gross Revenue ($million)</t>
  </si>
  <si>
    <t>EBITDA</t>
  </si>
  <si>
    <t>Total Assets</t>
  </si>
  <si>
    <t>Free Cash Flow (FCF)</t>
  </si>
  <si>
    <t>Price/Gross Revenue</t>
  </si>
  <si>
    <t>Price/EBITDA</t>
  </si>
  <si>
    <t>Price/Total Assests</t>
  </si>
  <si>
    <t>Price/FCF</t>
  </si>
  <si>
    <t>Total:</t>
  </si>
  <si>
    <t>Average:</t>
  </si>
  <si>
    <t>Premium for Industry specific:</t>
  </si>
  <si>
    <t>*Where T is the corporate tax rate of 17%</t>
  </si>
  <si>
    <r>
      <t>IRP</t>
    </r>
    <r>
      <rPr>
        <sz val="11"/>
        <color indexed="8"/>
        <rFont val="Calibri"/>
        <family val="2"/>
      </rPr>
      <t>ί</t>
    </r>
    <r>
      <rPr>
        <sz val="11"/>
        <color theme="1"/>
        <rFont val="Calibri"/>
        <family val="2"/>
        <scheme val="minor"/>
      </rPr>
      <t xml:space="preserve"> </t>
    </r>
    <r>
      <rPr>
        <sz val="11"/>
        <color indexed="8"/>
        <rFont val="Calibri"/>
        <family val="2"/>
      </rPr>
      <t>= (Rί X ERP) - ERP</t>
    </r>
  </si>
  <si>
    <t>where:</t>
  </si>
  <si>
    <r>
      <t>IRP</t>
    </r>
    <r>
      <rPr>
        <sz val="10"/>
        <color indexed="8"/>
        <rFont val="Calibri"/>
        <family val="2"/>
      </rPr>
      <t>ί</t>
    </r>
    <r>
      <rPr>
        <sz val="10"/>
        <color indexed="8"/>
        <rFont val="Calibri"/>
        <family val="2"/>
      </rPr>
      <t xml:space="preserve"> </t>
    </r>
    <r>
      <rPr>
        <sz val="10"/>
        <color indexed="8"/>
        <rFont val="Calibri"/>
        <family val="2"/>
      </rPr>
      <t>= the expected industry risk premium for industry ί, or the amount by which investors expect the future return of the industry to exceed that of the market as a whole;</t>
    </r>
  </si>
  <si>
    <r>
      <t xml:space="preserve">Ri </t>
    </r>
    <r>
      <rPr>
        <sz val="10"/>
        <color indexed="8"/>
        <rFont val="Calibri"/>
        <family val="2"/>
      </rPr>
      <t>= the risk index (full information beta) for the industry ί; and</t>
    </r>
  </si>
  <si>
    <r>
      <t xml:space="preserve">ERP </t>
    </r>
    <r>
      <rPr>
        <sz val="10"/>
        <color indexed="8"/>
        <rFont val="Calibri"/>
        <family val="2"/>
      </rPr>
      <t>= the expected equity risk premium</t>
    </r>
  </si>
  <si>
    <t>Calculations of Unlevered beta for small cap stocks</t>
  </si>
  <si>
    <t>Data/Information from SGX website</t>
  </si>
  <si>
    <t>Total Mkt Cap $ million</t>
  </si>
  <si>
    <t>Total Equity + Total Debts</t>
  </si>
  <si>
    <t>Sh price on 30 Apr 2025</t>
  </si>
  <si>
    <t>Sh price on 31 Dec 2024</t>
  </si>
  <si>
    <t>total</t>
  </si>
  <si>
    <t>average</t>
  </si>
  <si>
    <t>Premium for small company size:</t>
  </si>
  <si>
    <t>Formula:</t>
  </si>
  <si>
    <r>
      <t>[Average unlevered beta X Premium for equity investment</t>
    </r>
    <r>
      <rPr>
        <i/>
        <sz val="10"/>
        <color indexed="8"/>
        <rFont val="Calibri"/>
        <family val="2"/>
      </rPr>
      <t>]</t>
    </r>
  </si>
  <si>
    <t>median</t>
  </si>
  <si>
    <t>Risk Factor</t>
  </si>
  <si>
    <t>Description</t>
  </si>
  <si>
    <t>Customer Concentration</t>
  </si>
  <si>
    <t>Supplier Concentration</t>
  </si>
  <si>
    <t>Financial Leverage</t>
  </si>
  <si>
    <t>Revenue Volatility</t>
  </si>
  <si>
    <t>ERP</t>
  </si>
  <si>
    <r>
      <t>IRP</t>
    </r>
    <r>
      <rPr>
        <i/>
        <sz val="11"/>
        <color theme="1"/>
        <rFont val="Calibri"/>
        <family val="2"/>
        <scheme val="minor"/>
      </rPr>
      <t>i</t>
    </r>
  </si>
  <si>
    <r>
      <t>R</t>
    </r>
    <r>
      <rPr>
        <i/>
        <sz val="11"/>
        <color theme="1"/>
        <rFont val="Calibri"/>
        <family val="2"/>
        <scheme val="minor"/>
      </rPr>
      <t>i</t>
    </r>
  </si>
  <si>
    <t>Capitalization Rate as at:</t>
  </si>
  <si>
    <t>%age</t>
  </si>
  <si>
    <t>g</t>
  </si>
  <si>
    <t>Determining the Borrowing Capacity of the Company in the Excess Earnings Method (Rounded)</t>
  </si>
  <si>
    <t>Fixed Assets at cost</t>
  </si>
  <si>
    <t>Asset Values @ 31/12/2021</t>
  </si>
  <si>
    <t>Multiply Borrowing percentage from Bank (Collateral Value)</t>
  </si>
  <si>
    <t>Equals: Company Borrowing Capacity Based on Tangible Assets</t>
  </si>
  <si>
    <t>Weighted interest rate (average ratio X Interest rate)</t>
  </si>
  <si>
    <t>Term loan 1 -Property loan @ 4%</t>
  </si>
  <si>
    <t>Term loan 2 -SME Working Capital @ 3%</t>
  </si>
  <si>
    <t>Finance lease @ 4.06%</t>
  </si>
  <si>
    <t>Total</t>
  </si>
  <si>
    <t>Calculation of Required Rate of Return on Tangible Assets (Weighted Average Cost of Capital)</t>
  </si>
  <si>
    <t>Cost</t>
  </si>
  <si>
    <t>% of Capital Structure</t>
  </si>
  <si>
    <t>Weighted Cost</t>
  </si>
  <si>
    <t>Debt</t>
  </si>
  <si>
    <t>Remarks</t>
  </si>
  <si>
    <t>Numbers are based on loan agreements</t>
  </si>
  <si>
    <t>Asset average ratio (Asset Values/Total Asset Value)</t>
  </si>
  <si>
    <t>Therefore, Weighted Average Cost of Capital (WACC) is:</t>
  </si>
  <si>
    <t>Amount as at 30th Sept 2019</t>
  </si>
  <si>
    <t>Tax rate of 17%</t>
  </si>
  <si>
    <t>Cost of debt (average bank loan):</t>
  </si>
  <si>
    <t>Based Year</t>
  </si>
  <si>
    <t>Inccome Statement Forecast</t>
  </si>
  <si>
    <t>Fyr 1</t>
  </si>
  <si>
    <t>Fyr 2</t>
  </si>
  <si>
    <t>Fyr 3</t>
  </si>
  <si>
    <t>Fyr 4</t>
  </si>
  <si>
    <t>EBIT</t>
  </si>
  <si>
    <t>Net Operating profit/(loss)</t>
  </si>
  <si>
    <t>Opening Balance</t>
  </si>
  <si>
    <t>Current profit/(loss)</t>
  </si>
  <si>
    <t>Subtotal</t>
  </si>
  <si>
    <t>Loss used</t>
  </si>
  <si>
    <t>Closing Balance</t>
  </si>
  <si>
    <t>Free Cash flow</t>
  </si>
  <si>
    <t>Earnings before tax (EBT)</t>
  </si>
  <si>
    <t>Interest</t>
  </si>
  <si>
    <t>Less Taxes</t>
  </si>
  <si>
    <t>Less Capex</t>
  </si>
  <si>
    <t>Plus Depreciation</t>
  </si>
  <si>
    <t>Less Changes in Working Capital</t>
  </si>
  <si>
    <t>Unlevered Free Cash Flow</t>
  </si>
  <si>
    <t>Projections</t>
  </si>
  <si>
    <t>202X</t>
  </si>
  <si>
    <t>Forecast Free Cash Flow (FCF)</t>
  </si>
  <si>
    <t>Year 1</t>
  </si>
  <si>
    <t>Year 2</t>
  </si>
  <si>
    <t>Year 3</t>
  </si>
  <si>
    <t>Year 4</t>
  </si>
  <si>
    <t>Year 5</t>
  </si>
  <si>
    <t>Amount (S$)</t>
  </si>
  <si>
    <t>WACC</t>
  </si>
  <si>
    <t>Present Value (FCF/(1+WACC))</t>
  </si>
  <si>
    <t>growth (g)</t>
  </si>
  <si>
    <t>Enterprise Value</t>
  </si>
  <si>
    <t>(WACC - g)</t>
  </si>
  <si>
    <r>
      <t xml:space="preserve">Purpose: To </t>
    </r>
    <r>
      <rPr>
        <b/>
        <sz val="11"/>
        <color theme="1"/>
        <rFont val="Calibri"/>
        <family val="2"/>
        <scheme val="minor"/>
      </rPr>
      <t>systematically translate qualitative risks into a numerical CSRP</t>
    </r>
    <r>
      <rPr>
        <sz val="11"/>
        <color theme="1"/>
        <rFont val="Calibri"/>
        <family val="2"/>
        <scheme val="minor"/>
      </rPr>
      <t>, consistent with your book's Appendix C discussion.</t>
    </r>
  </si>
  <si>
    <t>Worksheet Table Layout</t>
  </si>
  <si>
    <t>Severity (Select from dropdown)</t>
  </si>
  <si>
    <t>% Weight Applied</t>
  </si>
  <si>
    <t>Contribution to CSRP (%)</t>
  </si>
  <si>
    <t>Evidence / Notes</t>
  </si>
  <si>
    <t>&gt;20% of revenue from 1 client</t>
  </si>
  <si>
    <t>0.5% / 1.5% / 2.5%</t>
  </si>
  <si>
    <t>Eg: Client A = 38% revenue</t>
  </si>
  <si>
    <t>Key supplier dependency</t>
  </si>
  <si>
    <t>As above</t>
  </si>
  <si>
    <t>(Insert explanation)</t>
  </si>
  <si>
    <t>Debt &gt; industry average</t>
  </si>
  <si>
    <t>Fluctuating sales trends</t>
  </si>
  <si>
    <t>Management Depth</t>
  </si>
  <si>
    <t>Reliance on owner / key person</t>
  </si>
  <si>
    <t>Founder controls 90% of relationships</t>
  </si>
  <si>
    <t>Litigation / Regulatory Risk</t>
  </si>
  <si>
    <t>Pending disputes or compliance gaps</t>
  </si>
  <si>
    <t>Case ref / newspaper report</t>
  </si>
  <si>
    <t>Operational Efficiency</t>
  </si>
  <si>
    <t>Capability to scale or update systems</t>
  </si>
  <si>
    <t>Geographic / Market Risk</t>
  </si>
  <si>
    <t>Exposure to non-core regions</t>
  </si>
  <si>
    <t>Add the following cells below the table:</t>
  </si>
  <si>
    <t>Cell Label</t>
  </si>
  <si>
    <t>Formula / Value</t>
  </si>
  <si>
    <t>Notes</t>
  </si>
  <si>
    <t>Total CSRP (before cap)</t>
  </si>
  <si>
    <t>Sums contributions</t>
  </si>
  <si>
    <t>CSRP Cap</t>
  </si>
  <si>
    <t>You may set 5% default</t>
  </si>
  <si>
    <t>Final CSRP Applied</t>
  </si>
  <si>
    <t>caps the CSRP</t>
  </si>
  <si>
    <t>Important:</t>
  </si>
  <si>
    <t>Make cell C2:C9 a dropdown with options: Low, Moderate, High.</t>
  </si>
  <si>
    <t>Moderate</t>
  </si>
  <si>
    <t>Low</t>
  </si>
  <si>
    <t>High</t>
  </si>
  <si>
    <r>
      <t xml:space="preserve">Purpose: Track issues, corrections, and improvements transparently — critical for </t>
    </r>
    <r>
      <rPr>
        <b/>
        <sz val="11"/>
        <color theme="1"/>
        <rFont val="Calibri"/>
        <family val="2"/>
        <scheme val="minor"/>
      </rPr>
      <t>audit defense, consistency, and CPE compliance</t>
    </r>
    <r>
      <rPr>
        <sz val="11"/>
        <color theme="1"/>
        <rFont val="Calibri"/>
        <family val="2"/>
        <scheme val="minor"/>
      </rPr>
      <t>.</t>
    </r>
  </si>
  <si>
    <t>Sheet</t>
  </si>
  <si>
    <t>Cell / Range</t>
  </si>
  <si>
    <t>Issue Type</t>
  </si>
  <si>
    <t>Severity</t>
  </si>
  <si>
    <t>Suggested Fix / Action</t>
  </si>
  <si>
    <t>Status</t>
  </si>
  <si>
    <t>01_Inputs</t>
  </si>
  <si>
    <t>B2</t>
  </si>
  <si>
    <t>Input Check</t>
  </si>
  <si>
    <t>Risk-free rate source not documented</t>
  </si>
  <si>
    <t>Medium</t>
  </si>
  <si>
    <t>Add comment: “MAS 10Y Benchmark as at dd/mm/yyyy"</t>
  </si>
  <si>
    <t>Open</t>
  </si>
  <si>
    <t>03_BetaCalc</t>
  </si>
  <si>
    <t>D8:D15</t>
  </si>
  <si>
    <t>Formula</t>
  </si>
  <si>
    <t>Beta unlevered formula references wrong cell</t>
  </si>
  <si>
    <r>
      <t xml:space="preserve">Replace with </t>
    </r>
    <r>
      <rPr>
        <sz val="10"/>
        <color theme="1"/>
        <rFont val="Arial Unicode MS"/>
      </rPr>
      <t>=C(row)/(1+(1-Inputs!TaxRate)*E(row))</t>
    </r>
  </si>
  <si>
    <t>04_CAPM</t>
  </si>
  <si>
    <t>D12</t>
  </si>
  <si>
    <t>Logical Consistency</t>
  </si>
  <si>
    <t>CSRP not linked — currently static</t>
  </si>
  <si>
    <r>
      <t xml:space="preserve">Link to Final CSRP in </t>
    </r>
    <r>
      <rPr>
        <sz val="10"/>
        <color theme="1"/>
        <rFont val="Arial Unicode MS"/>
      </rPr>
      <t>08_CSRP_Scoring</t>
    </r>
  </si>
  <si>
    <t>05_WACC</t>
  </si>
  <si>
    <t>F6</t>
  </si>
  <si>
    <t>Transparency</t>
  </si>
  <si>
    <t>WACC uses book D/E but report states market D/E</t>
  </si>
  <si>
    <t>Add toggle: “Use Market D/E: Y/N”</t>
  </si>
  <si>
    <t>06_DCF</t>
  </si>
  <si>
    <t>C22</t>
  </si>
  <si>
    <t>Forecast Structure</t>
  </si>
  <si>
    <t>FCF forecast fixed at 5 years</t>
  </si>
  <si>
    <t>Add Forecast Years input; replace ranges with dynamic INDEX</t>
  </si>
  <si>
    <t>09_DLOC_DLOM</t>
  </si>
  <si>
    <t>G4</t>
  </si>
  <si>
    <t>DLOM formula not applying floor/cap</t>
  </si>
  <si>
    <r>
      <t xml:space="preserve">Set </t>
    </r>
    <r>
      <rPr>
        <sz val="10"/>
        <color theme="1"/>
        <rFont val="Arial Unicode MS"/>
      </rPr>
      <t>=MIN(MAX(BaseDLOM,Floor_DLOM),Cap_DLOM)</t>
    </r>
  </si>
  <si>
    <t>10_Summary</t>
  </si>
  <si>
    <t>A1:G18</t>
  </si>
  <si>
    <t>Reporting</t>
  </si>
  <si>
    <t>Final values shown but no narrative explanations</t>
  </si>
  <si>
    <t>Add text block summarizing assumption basis</t>
  </si>
  <si>
    <t>In Progress</t>
  </si>
  <si>
    <r>
      <t xml:space="preserve">Set </t>
    </r>
    <r>
      <rPr>
        <b/>
        <sz val="11"/>
        <color theme="1"/>
        <rFont val="Calibri"/>
        <family val="2"/>
        <scheme val="minor"/>
      </rPr>
      <t>Status</t>
    </r>
    <r>
      <rPr>
        <sz val="11"/>
        <color theme="1"/>
        <rFont val="Calibri"/>
        <family val="2"/>
        <scheme val="minor"/>
      </rPr>
      <t xml:space="preserve"> column to: </t>
    </r>
    <r>
      <rPr>
        <i/>
        <sz val="11"/>
        <color theme="1"/>
        <rFont val="Calibri"/>
        <family val="2"/>
        <scheme val="minor"/>
      </rPr>
      <t>Open / In Progress / Resolved / Finalized</t>
    </r>
    <r>
      <rPr>
        <sz val="11"/>
        <color theme="1"/>
        <rFont val="Calibri"/>
        <family val="2"/>
        <scheme val="minor"/>
      </rPr>
      <t>.</t>
    </r>
  </si>
  <si>
    <t>Resolved</t>
  </si>
  <si>
    <t>Finalized</t>
  </si>
  <si>
    <t>Item</t>
  </si>
  <si>
    <t>Value</t>
  </si>
  <si>
    <t>Risk-Free Rate (Rf)</t>
  </si>
  <si>
    <t>CSRP</t>
  </si>
  <si>
    <t>SCP</t>
  </si>
  <si>
    <t>Output</t>
  </si>
  <si>
    <t>Enterprise Value (EV)</t>
  </si>
  <si>
    <t>Less: Net Debt</t>
  </si>
  <si>
    <t>Shares Outstanding</t>
  </si>
  <si>
    <t>Note: Using Book Debt/Equity (if available)</t>
  </si>
  <si>
    <t>Terminal Year           Fyr 5</t>
  </si>
  <si>
    <t>Terminal Value = Year 5 FCF X (1+g) / (WACC-g)</t>
  </si>
  <si>
    <t>LB (obtained from SGX)</t>
  </si>
  <si>
    <t>Valuation Multiple</t>
  </si>
  <si>
    <t>Minimum</t>
  </si>
  <si>
    <t>Median</t>
  </si>
  <si>
    <t>Average</t>
  </si>
  <si>
    <t>Maximum</t>
  </si>
  <si>
    <t>Price / Gross Revenue</t>
  </si>
  <si>
    <t>Price / EBITDA</t>
  </si>
  <si>
    <t>Price / Total Assets</t>
  </si>
  <si>
    <t>Price / Free Cash Flow</t>
  </si>
  <si>
    <t>Type of Value Estimate</t>
  </si>
  <si>
    <t>Basis</t>
  </si>
  <si>
    <t>Estimated Value</t>
  </si>
  <si>
    <t>Entities</t>
  </si>
  <si>
    <t>Mainboard (m) or Catalyst ( c )</t>
  </si>
  <si>
    <r>
      <t xml:space="preserve">UB </t>
    </r>
    <r>
      <rPr>
        <b/>
        <sz val="11"/>
        <color indexed="8"/>
        <rFont val="Calibri"/>
        <family val="2"/>
      </rPr>
      <t>= LB / (1+</t>
    </r>
    <r>
      <rPr>
        <b/>
        <sz val="11"/>
        <color theme="1"/>
        <rFont val="Calibri"/>
        <family val="2"/>
        <scheme val="minor"/>
      </rPr>
      <t xml:space="preserve"> (1-T)* (D/E))</t>
    </r>
  </si>
  <si>
    <r>
      <rPr>
        <b/>
        <sz val="9"/>
        <color indexed="8"/>
        <rFont val="Calibri"/>
        <family val="2"/>
      </rPr>
      <t>D %age of debts          [Total Debt / (Total Equity + Total Debt)]</t>
    </r>
  </si>
  <si>
    <r>
      <rPr>
        <b/>
        <sz val="9"/>
        <color indexed="8"/>
        <rFont val="Calibri"/>
        <family val="2"/>
      </rPr>
      <t>E %age of equity              [Total Equity / (Total Equity + Total Debt)]</t>
    </r>
  </si>
  <si>
    <r>
      <t xml:space="preserve">UB </t>
    </r>
    <r>
      <rPr>
        <b/>
        <sz val="11"/>
        <color indexed="8"/>
        <rFont val="Calibri"/>
        <family val="2"/>
      </rPr>
      <t>= LB /(1+</t>
    </r>
    <r>
      <rPr>
        <b/>
        <sz val="11"/>
        <color theme="1"/>
        <rFont val="Calibri"/>
        <family val="2"/>
        <scheme val="minor"/>
      </rPr>
      <t xml:space="preserve"> (1-T)* (D/E))</t>
    </r>
  </si>
  <si>
    <t>Loan interest rates</t>
  </si>
  <si>
    <t>Note: The number of companies are extendable and not just limited to 11 companies.</t>
  </si>
  <si>
    <t>Reconstructed Income Statements</t>
  </si>
  <si>
    <t>The summary of the most recent annual historic Income Statements and the appropriate adjustments are summarised in the table below:</t>
  </si>
  <si>
    <t>For the year ended</t>
  </si>
  <si>
    <t>Audited Accounts</t>
  </si>
  <si>
    <t>Historic Income / Expense Items</t>
  </si>
  <si>
    <t>Revenues</t>
  </si>
  <si>
    <t>Cost of Goods Sold (COGS)</t>
  </si>
  <si>
    <t>Gross Profit</t>
  </si>
  <si>
    <t>Operating Expenses</t>
  </si>
  <si>
    <t>Operating Income</t>
  </si>
  <si>
    <t>Other Income / (expenses)</t>
  </si>
  <si>
    <t>Net Pre-Tax Income</t>
  </si>
  <si>
    <t>Taxes</t>
  </si>
  <si>
    <t>Net Income</t>
  </si>
  <si>
    <t>Adjustments to the SCDF:</t>
  </si>
  <si>
    <t>Property &amp; Plant written off</t>
  </si>
  <si>
    <t>Bad Debt written off</t>
  </si>
  <si>
    <t>Depreciation and Amortisation expense</t>
  </si>
  <si>
    <t>Finance expenses &amp; interest on lease liability</t>
  </si>
  <si>
    <t>Government grants</t>
  </si>
  <si>
    <t>Loss/(Gain) on disposal of plant and equipment</t>
  </si>
  <si>
    <t>Interest income</t>
  </si>
  <si>
    <t>Seller's discretionary cash flow + Dividend paid</t>
  </si>
  <si>
    <t>EBITDA less grants (normalised)</t>
  </si>
  <si>
    <t>Changes in working capital</t>
  </si>
  <si>
    <t xml:space="preserve"> -Inventories</t>
  </si>
  <si>
    <t xml:space="preserve"> -Trade receivable</t>
  </si>
  <si>
    <t xml:space="preserve"> -Income tax paid</t>
  </si>
  <si>
    <t xml:space="preserve"> -Other receivables</t>
  </si>
  <si>
    <t xml:space="preserve"> -Trade and other payables</t>
  </si>
  <si>
    <t xml:space="preserve">Changes in investing &amp; financing </t>
  </si>
  <si>
    <t xml:space="preserve"> -Amount due from shareholders</t>
  </si>
  <si>
    <t xml:space="preserve"> -Acquisition of property, plant &amp; equipment</t>
  </si>
  <si>
    <t xml:space="preserve"> -Proceed from disposal of property, plant &amp; equipment</t>
  </si>
  <si>
    <t xml:space="preserve"> -Interest received</t>
  </si>
  <si>
    <t xml:space="preserve"> -Dividend paid</t>
  </si>
  <si>
    <t xml:space="preserve"> -Interest paid</t>
  </si>
  <si>
    <t xml:space="preserve"> -Repayment of finance lease payable</t>
  </si>
  <si>
    <t xml:space="preserve"> -Proceed from issuance of ordinary shares</t>
  </si>
  <si>
    <t xml:space="preserve"> -Proceed from term loans</t>
  </si>
  <si>
    <t>Table 1. Income Statement Reconstruction</t>
  </si>
  <si>
    <t>Normalised EBT (add back director fees + benefits)</t>
  </si>
  <si>
    <t>Calculation of growth rate:</t>
  </si>
  <si>
    <t>Dividend paid</t>
  </si>
  <si>
    <t>Total Capital/Equity (net worth)</t>
  </si>
  <si>
    <t>Annual</t>
  </si>
  <si>
    <t>Administrative expenses</t>
  </si>
  <si>
    <t>Selling expenses</t>
  </si>
  <si>
    <t>Other expenses</t>
  </si>
  <si>
    <t>Finance costs</t>
  </si>
  <si>
    <t>Total Operating expenses</t>
  </si>
  <si>
    <t>Breakdown of Misc Income @ 31 December 2021:</t>
  </si>
  <si>
    <t xml:space="preserve"> Govt grants:</t>
  </si>
  <si>
    <t xml:space="preserve">  -Employment credit</t>
  </si>
  <si>
    <t xml:space="preserve">  -Job Support Scheme &amp; skillsfuture credit</t>
  </si>
  <si>
    <t xml:space="preserve">  -Enterprise grants</t>
  </si>
  <si>
    <t xml:space="preserve">  -Skillsfuture absentee payroll &amp; training grants</t>
  </si>
  <si>
    <t xml:space="preserve"> Other income</t>
  </si>
  <si>
    <t xml:space="preserve">  -Nature 2000 takeover fee</t>
  </si>
  <si>
    <t xml:space="preserve">  -Omega Security Utilities &amp; Cleaning, Service fee &amp; adm</t>
  </si>
  <si>
    <t xml:space="preserve">  -Explomo Service fee &amp; sale of antigen</t>
  </si>
  <si>
    <t xml:space="preserve">  -Misc fm various parties</t>
  </si>
  <si>
    <t xml:space="preserve">  -Ant Enterprises Consultancy services</t>
  </si>
  <si>
    <t xml:space="preserve">  -AIMS Learning Utilities charge</t>
  </si>
  <si>
    <t>Gain on disposal of Fixed assets</t>
  </si>
  <si>
    <t xml:space="preserve">  -Porsche</t>
  </si>
  <si>
    <t xml:space="preserve">  -toyota Harrier</t>
  </si>
  <si>
    <t>Rental Income</t>
  </si>
  <si>
    <t xml:space="preserve">  -Omega</t>
  </si>
  <si>
    <t xml:space="preserve">  -Explomo</t>
  </si>
  <si>
    <t xml:space="preserve">  -AIMS Learning</t>
  </si>
  <si>
    <t>grant total</t>
  </si>
  <si>
    <t>Loss on disposal of fixed assets</t>
  </si>
  <si>
    <t xml:space="preserve">  -Toyota Harrier</t>
  </si>
  <si>
    <t>Depreciation</t>
  </si>
  <si>
    <t>Total Other Operating expenses</t>
  </si>
  <si>
    <t>Unaudited</t>
  </si>
  <si>
    <t>Normalised @</t>
  </si>
  <si>
    <t>Balance Sheet Items</t>
  </si>
  <si>
    <t>@ 31 Mar 2022</t>
  </si>
  <si>
    <t>Adjusted</t>
  </si>
  <si>
    <t>Current Assets</t>
  </si>
  <si>
    <t>Inventories</t>
  </si>
  <si>
    <t>Trade receivables</t>
  </si>
  <si>
    <t>Other receivables</t>
  </si>
  <si>
    <t>Amount due from a shareholder</t>
  </si>
  <si>
    <t>Cash and bank balances</t>
  </si>
  <si>
    <t>Total Current Assets</t>
  </si>
  <si>
    <t>Non-Current Assets</t>
  </si>
  <si>
    <t>Property, plant and equipment</t>
  </si>
  <si>
    <t>Investment in subsidairies E(M&amp;S)PL</t>
  </si>
  <si>
    <t>Available for sale financial assets</t>
  </si>
  <si>
    <t>Loan to subsidiary</t>
  </si>
  <si>
    <t>Total Fixed Assets</t>
  </si>
  <si>
    <t>Less accumulated depreciation</t>
  </si>
  <si>
    <t>Plant &amp; Machinery</t>
  </si>
  <si>
    <t>Renovation</t>
  </si>
  <si>
    <t>Office equipment</t>
  </si>
  <si>
    <t>Motor Vehicles</t>
  </si>
  <si>
    <t>Computer &amp; software</t>
  </si>
  <si>
    <t>Net Fixed Assets</t>
  </si>
  <si>
    <t>Current Liabiities</t>
  </si>
  <si>
    <t>Contract liabilities</t>
  </si>
  <si>
    <t>Trade and other payables</t>
  </si>
  <si>
    <t>Finance lease payables</t>
  </si>
  <si>
    <t>Provision for taxation</t>
  </si>
  <si>
    <t>Term Loans - secured</t>
  </si>
  <si>
    <t>Total Current Liabiities</t>
  </si>
  <si>
    <t>Non-current liabilities</t>
  </si>
  <si>
    <t>Finance Lease payable</t>
  </si>
  <si>
    <t>Term Loans</t>
  </si>
  <si>
    <t>Total Non-current liabilities</t>
  </si>
  <si>
    <t>Total Liabilities</t>
  </si>
  <si>
    <t>Preference shares</t>
  </si>
  <si>
    <t>Net Worth</t>
  </si>
  <si>
    <t>Net worth before dividend payment</t>
  </si>
  <si>
    <t>Table 2. Balance Sheet Reconstruction</t>
  </si>
  <si>
    <t>Cash on hand has been adjusted down to the amount required to support normal business operations.</t>
  </si>
  <si>
    <t>Amounts deemed uncollectible have been removed from the value of the accounts receivable.</t>
  </si>
  <si>
    <t>Growth (g) -obtained from 02_Normalization</t>
  </si>
  <si>
    <t>Version: v1.0 | Last updated: 8 Nov 2025</t>
  </si>
  <si>
    <t>Sheet: 00_ReadMe — Setup and Content Guide</t>
  </si>
  <si>
    <t>📌 Purpose</t>
  </si>
  <si>
    <t>This tab acts as the front cover and navigation guide for the entire workbook. It should be the first sheet users see when opening the file.</t>
  </si>
  <si>
    <t>🧩 Section 1: File Metadata</t>
  </si>
  <si>
    <t>Field</t>
  </si>
  <si>
    <t>Recommended Entry Example</t>
  </si>
  <si>
    <t>File Title</t>
  </si>
  <si>
    <t>SME Valuation Toolkit – Excel Companion</t>
  </si>
  <si>
    <t>Version</t>
  </si>
  <si>
    <t>v1.0 (November 2025)</t>
  </si>
  <si>
    <t>Author Contact</t>
  </si>
  <si>
    <t>Last Updated</t>
  </si>
  <si>
    <t>Excel Version</t>
  </si>
  <si>
    <t>Requires Excel 2016 or later</t>
  </si>
  <si>
    <t>Macros</t>
  </si>
  <si>
    <t>No macros used — safe for all environments</t>
  </si>
  <si>
    <t>🧭 Section 2: Sheet-to-Chapter Mapping</t>
  </si>
  <si>
    <t>Sheet Name</t>
  </si>
  <si>
    <t>Corresponds to Chapter</t>
  </si>
  <si>
    <t>Inputs</t>
  </si>
  <si>
    <t>Beta Estimator</t>
  </si>
  <si>
    <t>WACC Calculator</t>
  </si>
  <si>
    <t>Risk Premiums</t>
  </si>
  <si>
    <t>DCF Model</t>
  </si>
  <si>
    <t>Adjustment Table</t>
  </si>
  <si>
    <t>Valuation Summary</t>
  </si>
  <si>
    <t>Report Template</t>
  </si>
  <si>
    <t>Case Study</t>
  </si>
  <si>
    <t>Toolkit Overview</t>
  </si>
  <si>
    <t>Checklist</t>
  </si>
  <si>
    <t>📘 Section 3: Usage Instructions</t>
  </si>
  <si>
    <r>
      <t>How to use this Toolkit:</t>
    </r>
    <r>
      <rPr>
        <sz val="11"/>
        <color theme="1"/>
        <rFont val="Calibri"/>
        <family val="2"/>
        <scheme val="minor"/>
      </rPr>
      <t xml:space="preserve"> This Excel workbook supports SME valuation using free data and structured logic. Each sheet corresponds to a chapter in the guidebook and automates key steps — from normalization and beta estimation to WACC, DCF modeling, and post-valuation adjustments. Start with the </t>
    </r>
    <r>
      <rPr>
        <b/>
        <sz val="11"/>
        <color theme="1"/>
        <rFont val="Calibri"/>
        <family val="2"/>
        <scheme val="minor"/>
      </rPr>
      <t>Inputs</t>
    </r>
    <r>
      <rPr>
        <sz val="11"/>
        <color theme="1"/>
        <rFont val="Calibri"/>
        <family val="2"/>
        <scheme val="minor"/>
      </rPr>
      <t xml:space="preserve"> tab, follow the sheet sequence, and refer to the </t>
    </r>
    <r>
      <rPr>
        <b/>
        <sz val="11"/>
        <color theme="1"/>
        <rFont val="Calibri"/>
        <family val="2"/>
        <scheme val="minor"/>
      </rPr>
      <t>Checklist</t>
    </r>
    <r>
      <rPr>
        <sz val="11"/>
        <color theme="1"/>
        <rFont val="Calibri"/>
        <family val="2"/>
        <scheme val="minor"/>
      </rPr>
      <t xml:space="preserve"> for completeness. All formulas are unlocked and editable. No macros are used. This toolkit is designed for transparency, defensibility, and ease of use by CPAs and SME advisors.</t>
    </r>
  </si>
  <si>
    <t>01_Inputs — Review &amp; Fix Checklist</t>
  </si>
  <si>
    <t>🧩 Must-Have Named Inputs</t>
  </si>
  <si>
    <r>
      <t xml:space="preserve">Ensure the following </t>
    </r>
    <r>
      <rPr>
        <b/>
        <sz val="11"/>
        <color theme="1"/>
        <rFont val="Calibri"/>
        <family val="2"/>
        <scheme val="minor"/>
      </rPr>
      <t>named ranges</t>
    </r>
    <r>
      <rPr>
        <sz val="11"/>
        <color theme="1"/>
        <rFont val="Calibri"/>
        <family val="2"/>
        <scheme val="minor"/>
      </rPr>
      <t xml:space="preserve"> exist and are clearly labeled in the sheet:</t>
    </r>
  </si>
  <si>
    <t>Label in Sheet</t>
  </si>
  <si>
    <t>Named Range</t>
  </si>
  <si>
    <t>Suggested Cell</t>
  </si>
  <si>
    <t>Risk-free rate</t>
  </si>
  <si>
    <t>Rf</t>
  </si>
  <si>
    <t>e.g., 0.025 for 2.5%</t>
  </si>
  <si>
    <t>Equity risk premium</t>
  </si>
  <si>
    <t>B3</t>
  </si>
  <si>
    <t>e.g., 0.055</t>
  </si>
  <si>
    <t>Corporate tax rate</t>
  </si>
  <si>
    <t>B4</t>
  </si>
  <si>
    <t>Default 0.17</t>
  </si>
  <si>
    <t>Small-company premium</t>
  </si>
  <si>
    <t>B5</t>
  </si>
  <si>
    <t>e.g., 0.02</t>
  </si>
  <si>
    <t>Industry risk premium</t>
  </si>
  <si>
    <t>IRP</t>
  </si>
  <si>
    <t>B6</t>
  </si>
  <si>
    <t>Optional if not embedded in beta</t>
  </si>
  <si>
    <t>Floor_DLOM</t>
  </si>
  <si>
    <t>B7</t>
  </si>
  <si>
    <t>Default 0.15</t>
  </si>
  <si>
    <t>Control premium (decimal)</t>
  </si>
  <si>
    <t>Control_Premium</t>
  </si>
  <si>
    <t>B9</t>
  </si>
  <si>
    <t>e.g., 0.30</t>
  </si>
  <si>
    <t>Shares outstanding</t>
  </si>
  <si>
    <t>Shares</t>
  </si>
  <si>
    <t>B10</t>
  </si>
  <si>
    <t>e.g., 1,000,000</t>
  </si>
  <si>
    <r>
      <t xml:space="preserve">💡 Tip: Use Excel’s </t>
    </r>
    <r>
      <rPr>
        <b/>
        <sz val="11"/>
        <color theme="1"/>
        <rFont val="Calibri"/>
        <family val="2"/>
        <scheme val="minor"/>
      </rPr>
      <t>Name Manager</t>
    </r>
    <r>
      <rPr>
        <sz val="11"/>
        <color theme="1"/>
        <rFont val="Calibri"/>
        <family val="2"/>
        <scheme val="minor"/>
      </rPr>
      <t xml:space="preserve"> (Ctrl + F3) to confirm these ranges are defined and scoped to the workbook.</t>
    </r>
  </si>
  <si>
    <t>✅ Data Validation Rules</t>
  </si>
  <si>
    <r>
      <t xml:space="preserve">Apply </t>
    </r>
    <r>
      <rPr>
        <b/>
        <sz val="11"/>
        <color theme="1"/>
        <rFont val="Calibri"/>
        <family val="2"/>
        <scheme val="minor"/>
      </rPr>
      <t>data validation</t>
    </r>
    <r>
      <rPr>
        <sz val="11"/>
        <color theme="1"/>
        <rFont val="Calibri"/>
        <family val="2"/>
        <scheme val="minor"/>
      </rPr>
      <t xml:space="preserve"> to prevent input errors:</t>
    </r>
  </si>
  <si>
    <t>Validation Rule</t>
  </si>
  <si>
    <r>
      <t>Rf</t>
    </r>
    <r>
      <rPr>
        <sz val="11"/>
        <color theme="1"/>
        <rFont val="Calibri"/>
        <family val="2"/>
        <scheme val="minor"/>
      </rPr>
      <t xml:space="preserve">, </t>
    </r>
    <r>
      <rPr>
        <sz val="10"/>
        <color theme="1"/>
        <rFont val="Arial Unicode MS"/>
      </rPr>
      <t>ERP</t>
    </r>
    <r>
      <rPr>
        <sz val="11"/>
        <color theme="1"/>
        <rFont val="Calibri"/>
        <family val="2"/>
        <scheme val="minor"/>
      </rPr>
      <t xml:space="preserve">, </t>
    </r>
    <r>
      <rPr>
        <sz val="10"/>
        <color theme="1"/>
        <rFont val="Arial Unicode MS"/>
      </rPr>
      <t>SCP</t>
    </r>
    <r>
      <rPr>
        <sz val="11"/>
        <color theme="1"/>
        <rFont val="Calibri"/>
        <family val="2"/>
        <scheme val="minor"/>
      </rPr>
      <t xml:space="preserve">, </t>
    </r>
    <r>
      <rPr>
        <sz val="10"/>
        <color theme="1"/>
        <rFont val="Arial Unicode MS"/>
      </rPr>
      <t>IRP</t>
    </r>
    <r>
      <rPr>
        <sz val="11"/>
        <color theme="1"/>
        <rFont val="Calibri"/>
        <family val="2"/>
        <scheme val="minor"/>
      </rPr>
      <t xml:space="preserve">, </t>
    </r>
    <r>
      <rPr>
        <sz val="10"/>
        <color theme="1"/>
        <rFont val="Arial Unicode MS"/>
      </rPr>
      <t>TaxRate</t>
    </r>
  </si>
  <si>
    <t>Decimal between 0 and 1</t>
  </si>
  <si>
    <t>Prevents &gt;100% errors</t>
  </si>
  <si>
    <r>
      <t>Floor_DLOM</t>
    </r>
    <r>
      <rPr>
        <sz val="11"/>
        <color theme="1"/>
        <rFont val="Calibri"/>
        <family val="2"/>
        <scheme val="minor"/>
      </rPr>
      <t xml:space="preserve">, </t>
    </r>
    <r>
      <rPr>
        <sz val="10"/>
        <color theme="1"/>
        <rFont val="Arial Unicode MS"/>
      </rPr>
      <t>Cap_DLOM</t>
    </r>
  </si>
  <si>
    <t>Cap must be ≥ Floor</t>
  </si>
  <si>
    <t>e.g., 0.30 for 30%</t>
  </si>
  <si>
    <t>Whole number &gt; 0</t>
  </si>
  <si>
    <t>No decimals allowed</t>
  </si>
  <si>
    <r>
      <t xml:space="preserve">📌 Add conditional formatting to flag if </t>
    </r>
    <r>
      <rPr>
        <sz val="10"/>
        <color theme="1"/>
        <rFont val="Arial Unicode MS"/>
      </rPr>
      <t>Cap_DLOM &lt; Floor_DLOM</t>
    </r>
    <r>
      <rPr>
        <sz val="11"/>
        <color theme="1"/>
        <rFont val="Calibri"/>
        <family val="2"/>
        <scheme val="minor"/>
      </rPr>
      <t>.</t>
    </r>
  </si>
  <si>
    <t>🔍 Formula Audit: Replace Hard-Coding</t>
  </si>
  <si>
    <t>Search all other sheets (especially WACC, DCF, Risk Premiums, Adjustment Table) for hard-coded values like:</t>
  </si>
  <si>
    <r>
      <t>0.17</t>
    </r>
    <r>
      <rPr>
        <sz val="11"/>
        <color theme="1"/>
        <rFont val="Calibri"/>
        <family val="2"/>
        <scheme val="minor"/>
      </rPr>
      <t xml:space="preserve"> → replace with </t>
    </r>
    <r>
      <rPr>
        <sz val="10"/>
        <color theme="1"/>
        <rFont val="Arial Unicode MS"/>
      </rPr>
      <t>=Inputs!TaxRate</t>
    </r>
  </si>
  <si>
    <r>
      <t>0.055</t>
    </r>
    <r>
      <rPr>
        <sz val="11"/>
        <color theme="1"/>
        <rFont val="Calibri"/>
        <family val="2"/>
        <scheme val="minor"/>
      </rPr>
      <t xml:space="preserve"> → replace with </t>
    </r>
    <r>
      <rPr>
        <sz val="10"/>
        <color theme="1"/>
        <rFont val="Arial Unicode MS"/>
      </rPr>
      <t>=Inputs!ERP</t>
    </r>
  </si>
  <si>
    <r>
      <t>0.02</t>
    </r>
    <r>
      <rPr>
        <sz val="11"/>
        <color theme="1"/>
        <rFont val="Calibri"/>
        <family val="2"/>
        <scheme val="minor"/>
      </rPr>
      <t xml:space="preserve">, </t>
    </r>
    <r>
      <rPr>
        <sz val="10"/>
        <color theme="1"/>
        <rFont val="Arial Unicode MS"/>
      </rPr>
      <t>0.03</t>
    </r>
    <r>
      <rPr>
        <sz val="11"/>
        <color theme="1"/>
        <rFont val="Calibri"/>
        <family val="2"/>
        <scheme val="minor"/>
      </rPr>
      <t xml:space="preserve">, etc. → replace with </t>
    </r>
    <r>
      <rPr>
        <sz val="10"/>
        <color theme="1"/>
        <rFont val="Arial Unicode MS"/>
      </rPr>
      <t>=Inputs!SCP</t>
    </r>
    <r>
      <rPr>
        <sz val="11"/>
        <color theme="1"/>
        <rFont val="Calibri"/>
        <family val="2"/>
        <scheme val="minor"/>
      </rPr>
      <t xml:space="preserve">, </t>
    </r>
    <r>
      <rPr>
        <sz val="10"/>
        <color theme="1"/>
        <rFont val="Arial Unicode MS"/>
      </rPr>
      <t>=Inputs!IRP</t>
    </r>
    <r>
      <rPr>
        <sz val="11"/>
        <color theme="1"/>
        <rFont val="Calibri"/>
        <family val="2"/>
        <scheme val="minor"/>
      </rPr>
      <t>, etc.</t>
    </r>
  </si>
  <si>
    <r>
      <t xml:space="preserve">Use </t>
    </r>
    <r>
      <rPr>
        <b/>
        <sz val="11"/>
        <color theme="1"/>
        <rFont val="Calibri"/>
        <family val="2"/>
        <scheme val="minor"/>
      </rPr>
      <t>Find &amp; Replace</t>
    </r>
    <r>
      <rPr>
        <sz val="11"/>
        <color theme="1"/>
        <rFont val="Calibri"/>
        <family val="2"/>
        <scheme val="minor"/>
      </rPr>
      <t xml:space="preserve"> (</t>
    </r>
    <r>
      <rPr>
        <sz val="10"/>
        <color theme="1"/>
        <rFont val="Arial Unicode MS"/>
      </rPr>
      <t>Ctrl + F</t>
    </r>
    <r>
      <rPr>
        <sz val="11"/>
        <color theme="1"/>
        <rFont val="Calibri"/>
        <family val="2"/>
        <scheme val="minor"/>
      </rPr>
      <t>) to locate and replace hard-coded values with named ranges.</t>
    </r>
  </si>
  <si>
    <t>🧾 Presentation Tips</t>
  </si>
  <si>
    <r>
      <t xml:space="preserve">Use a clean, two-column layout: </t>
    </r>
    <r>
      <rPr>
        <b/>
        <sz val="11"/>
        <color theme="1"/>
        <rFont val="Calibri"/>
        <family val="2"/>
        <scheme val="minor"/>
      </rPr>
      <t>Label</t>
    </r>
    <r>
      <rPr>
        <sz val="11"/>
        <color theme="1"/>
        <rFont val="Calibri"/>
        <family val="2"/>
        <scheme val="minor"/>
      </rPr>
      <t xml:space="preserve"> in Column A, </t>
    </r>
    <r>
      <rPr>
        <b/>
        <sz val="11"/>
        <color theme="1"/>
        <rFont val="Calibri"/>
        <family val="2"/>
        <scheme val="minor"/>
      </rPr>
      <t>Input Value</t>
    </r>
    <r>
      <rPr>
        <sz val="11"/>
        <color theme="1"/>
        <rFont val="Calibri"/>
        <family val="2"/>
        <scheme val="minor"/>
      </rPr>
      <t xml:space="preserve"> in Column B.</t>
    </r>
  </si>
  <si>
    <r>
      <t xml:space="preserve">Add a third column (Column C) for </t>
    </r>
    <r>
      <rPr>
        <b/>
        <sz val="11"/>
        <color theme="1"/>
        <rFont val="Calibri"/>
        <family val="2"/>
        <scheme val="minor"/>
      </rPr>
      <t>Comments or Default Guidance</t>
    </r>
    <r>
      <rPr>
        <sz val="11"/>
        <color theme="1"/>
        <rFont val="Calibri"/>
        <family val="2"/>
        <scheme val="minor"/>
      </rPr>
      <t xml:space="preserve"> (e.g., “Default 17% for Singapore corporate tax”).</t>
    </r>
  </si>
  <si>
    <t>Freeze top row and left column for usability.</t>
  </si>
  <si>
    <t>Consider light shading or borders to distinguish input cells.</t>
  </si>
  <si>
    <t>✅ Final Check</t>
  </si>
  <si>
    <t>[ ] All required named ranges exist and are correctly scoped.</t>
  </si>
  <si>
    <t>[ ] All formulas in other sheets reference these named ranges — no hard-coded rates.</t>
  </si>
  <si>
    <t>[ ] Data validation is applied to all input cells.</t>
  </si>
  <si>
    <t>[ ] Sheet is clearly labeled and user-friendly.</t>
  </si>
  <si>
    <t>Label</t>
  </si>
  <si>
    <t>A</t>
  </si>
  <si>
    <t>Company Name</t>
  </si>
  <si>
    <t>B</t>
  </si>
  <si>
    <t>C</t>
  </si>
  <si>
    <t>Equity</t>
  </si>
  <si>
    <t>Cell</t>
  </si>
  <si>
    <t xml:space="preserve">Data obtained: </t>
  </si>
  <si>
    <t>Isaac Wong</t>
  </si>
  <si>
    <t>Adjusted Discretionary Cash Flow @ 31/12/2021</t>
  </si>
  <si>
    <t>Net Tangible Assets</t>
  </si>
  <si>
    <t>Multiply by:</t>
  </si>
  <si>
    <t>Earnings on Net Tangible Assets</t>
  </si>
  <si>
    <t>Excess Earnings (a) – (b)</t>
  </si>
  <si>
    <t>Divided by:</t>
  </si>
  <si>
    <t>Indicated Value of Intangible Assets</t>
  </si>
  <si>
    <t>Market Value of Net Tangible Assets</t>
  </si>
  <si>
    <t>Value of Non-Operating Assets</t>
  </si>
  <si>
    <t>Assets Shortages: Working Capital Deficit</t>
  </si>
  <si>
    <t>Business Equity Value by Excess Earnings Method (d) + (e)</t>
  </si>
  <si>
    <t>Ref</t>
  </si>
  <si>
    <t>b</t>
  </si>
  <si>
    <t>e</t>
  </si>
  <si>
    <t>$</t>
  </si>
  <si>
    <t>Rate of Return on Tangible Assets (WACC) %</t>
  </si>
  <si>
    <t>Capitalisation Rate on Intangible Assets (CAPM) %</t>
  </si>
  <si>
    <t>Normalised Pre-Tax Earnings before depreciation and amortization (EBITDA) and government grants</t>
  </si>
  <si>
    <t>Estimated Capitalisation Rate (CAPM)</t>
  </si>
  <si>
    <t>Preliminary Value of Business</t>
  </si>
  <si>
    <t>Add Excess Assets (Fixed Deposit + Cash)</t>
  </si>
  <si>
    <t>Less Assets Shortages (Working Capital)</t>
  </si>
  <si>
    <t>Value of Business</t>
  </si>
  <si>
    <t>NPV of FCF = (CF/(1+r)^1)</t>
  </si>
  <si>
    <t xml:space="preserve"> where r = WACC or the rate of return</t>
  </si>
  <si>
    <t>Singapore Corporate Tax Rate</t>
  </si>
  <si>
    <t>Share Cap @ $1.00 per share:</t>
  </si>
  <si>
    <t>1. Ong Huat Huat (65 years old) 150,000 shares</t>
  </si>
  <si>
    <t>2. Bao Heng Heng (Not related to OHH, 55 years old) 350,000 shares</t>
  </si>
  <si>
    <t>Section 1: Overview</t>
  </si>
  <si>
    <t>Fair Market Value (FMV)</t>
  </si>
  <si>
    <t>Fair Value (FV)</t>
  </si>
  <si>
    <t>Definition</t>
  </si>
  <si>
    <t>Value in an open, unrestricted market</t>
  </si>
  <si>
    <t>Value in a specific transaction or context</t>
  </si>
  <si>
    <t>Common Use</t>
  </si>
  <si>
    <t>Tax, estate, minority sale</t>
  </si>
  <si>
    <t>Shareholder disputes, M&amp;A, financial reporting</t>
  </si>
  <si>
    <t>Assumptions</t>
  </si>
  <si>
    <t>Willing buyer/seller, no compulsion</t>
  </si>
  <si>
    <t>May include strategic synergies or control</t>
  </si>
  <si>
    <t>📊 Section 2: Inputs (Consumes)</t>
  </si>
  <si>
    <t>Input / Assumption</t>
  </si>
  <si>
    <t>FMV Source</t>
  </si>
  <si>
    <t>FV Source</t>
  </si>
  <si>
    <t>MAS 10Y Benchmark</t>
  </si>
  <si>
    <t>Same</t>
  </si>
  <si>
    <t>SG Market Premia</t>
  </si>
  <si>
    <t>Beta</t>
  </si>
  <si>
    <t>Peer set (unlevered, re-levered)</t>
  </si>
  <si>
    <t>Same or adjusted for strategic buyer</t>
  </si>
  <si>
    <t>Derived from peer volatility</t>
  </si>
  <si>
    <t>May be adjusted for industry consolidation</t>
  </si>
  <si>
    <t>Small-cap premium</t>
  </si>
  <si>
    <t>May be excluded if buyer is large</t>
  </si>
  <si>
    <t>Qualitative risk scoring</t>
  </si>
  <si>
    <t>May be reduced if buyer mitigates risks</t>
  </si>
  <si>
    <t>Weighted average cost of capital</t>
  </si>
  <si>
    <t>May use lower cost of capital for strategic buyer</t>
  </si>
  <si>
    <t>DLOC / DLOM</t>
  </si>
  <si>
    <t>Applied to FMV for minority, illiquid interest</t>
  </si>
  <si>
    <t>Often not applied in FV unless relevant</t>
  </si>
  <si>
    <t>📐 Section 3: Valuation Methods (Produces)</t>
  </si>
  <si>
    <t>Method</t>
  </si>
  <si>
    <t>FMV Output</t>
  </si>
  <si>
    <t>FV Output</t>
  </si>
  <si>
    <t>Asset-Based</t>
  </si>
  <si>
    <t>Net adjusted assets</t>
  </si>
  <si>
    <t>Same or adjusted for strategic asset use</t>
  </si>
  <si>
    <t>Income-Based (DCF)</t>
  </si>
  <si>
    <t>FCF discounted at WACC</t>
  </si>
  <si>
    <t>May use higher growth or lower WACC</t>
  </si>
  <si>
    <t>Income-Based (Cap)</t>
  </si>
  <si>
    <t>Capitalized normalized earnings</t>
  </si>
  <si>
    <t>Market Multiple</t>
  </si>
  <si>
    <t>Peer-derived multiples</t>
  </si>
  <si>
    <t>May use premium multiples for strategic buyer</t>
  </si>
  <si>
    <t>💰 Section 4: Results</t>
  </si>
  <si>
    <t>FMV</t>
  </si>
  <si>
    <t>FV</t>
  </si>
  <si>
    <t>Derived from DCF, Cap, or Market Multiple</t>
  </si>
  <si>
    <t>May be higher due to synergies or control</t>
  </si>
  <si>
    <t>From normalized balance sheet</t>
  </si>
  <si>
    <t>Equity Value</t>
  </si>
  <si>
    <t>EV – Net Debt</t>
  </si>
  <si>
    <t>Same or higher</t>
  </si>
  <si>
    <t>Per Share Value</t>
  </si>
  <si>
    <t>Equity ÷ Shares</t>
  </si>
  <si>
    <t>DLOC / DLOM Applied</t>
  </si>
  <si>
    <t>Yes</t>
  </si>
  <si>
    <t>Usually no</t>
  </si>
  <si>
    <t>Final Value</t>
  </si>
  <si>
    <t>Minority, illiquid value</t>
  </si>
  <si>
    <t>Strategic or control value</t>
  </si>
  <si>
    <t>🧾 Section 5: Narrative Summary</t>
  </si>
  <si>
    <t>“Based on observable market data, peer betas, cost of capital, and appropriate valuation methods, the FMV of the subject entity’s minority, illiquid interest is S$___ per share. Under a fair value context, assuming strategic buyer synergies and control, the indicated value is S$___ per share.”</t>
  </si>
  <si>
    <t>Valuation Summary (FMV vs FV)</t>
  </si>
  <si>
    <t>Valuation Date</t>
  </si>
  <si>
    <t>Prepared By</t>
  </si>
  <si>
    <t>Re-levered Beta</t>
  </si>
  <si>
    <t>Same or adjusted</t>
  </si>
  <si>
    <t>May be excluded</t>
  </si>
  <si>
    <t>May be reduced</t>
  </si>
  <si>
    <t>May be lower for strategic buyer</t>
  </si>
  <si>
    <t>DLOC</t>
  </si>
  <si>
    <t>DLOM</t>
  </si>
  <si>
    <t>Step</t>
  </si>
  <si>
    <t>Apply DLOC</t>
  </si>
  <si>
    <t>Usually skipped</t>
  </si>
  <si>
    <t>Apply DLOM</t>
  </si>
  <si>
    <t>DLOM Factor</t>
  </si>
  <si>
    <t>βL=βU×(1+(1−T)*D/E)</t>
  </si>
  <si>
    <t>βL\beta_L = Levered beta (re-levered beta)</t>
  </si>
  <si>
    <t>TT = Corporate tax rate (e.g., 0.17 for Singapore)</t>
  </si>
  <si>
    <t>Company specific</t>
  </si>
  <si>
    <t>βU\beta_U = Unlevered beta (from peer analysis -Industry)</t>
  </si>
  <si>
    <t>re​=rf​+βL​(ERP)+Size Premium+CSRP</t>
  </si>
  <si>
    <t>Weighted Multiple (Using Median)</t>
  </si>
  <si>
    <t>Section A: Inputs (Consumes)</t>
  </si>
  <si>
    <t>Cell Formula Example</t>
  </si>
  <si>
    <t>Cost of Equity</t>
  </si>
  <si>
    <t>Section B: Valuation Methods (Produces)</t>
  </si>
  <si>
    <t>FMV Formula Example</t>
  </si>
  <si>
    <t>FV Formula Example</t>
  </si>
  <si>
    <t>Section C: Equity Value Calculation</t>
  </si>
  <si>
    <t>Subtotal:</t>
  </si>
  <si>
    <t>Executive Summary (Updated Draft)</t>
  </si>
  <si>
    <t>1. Purpose of Valuation</t>
  </si>
  <si>
    <r>
      <t xml:space="preserve">This valuation estimates both the </t>
    </r>
    <r>
      <rPr>
        <b/>
        <sz val="11"/>
        <color theme="1"/>
        <rFont val="Calibri"/>
        <family val="2"/>
        <scheme val="minor"/>
      </rPr>
      <t>Fair Market Value (FMV)</t>
    </r>
    <r>
      <rPr>
        <sz val="11"/>
        <color theme="1"/>
        <rFont val="Calibri"/>
        <family val="2"/>
        <scheme val="minor"/>
      </rPr>
      <t xml:space="preserve"> and </t>
    </r>
    <r>
      <rPr>
        <b/>
        <sz val="11"/>
        <color theme="1"/>
        <rFont val="Calibri"/>
        <family val="2"/>
        <scheme val="minor"/>
      </rPr>
      <t>Fair Value (FV)</t>
    </r>
    <r>
      <rPr>
        <sz val="11"/>
        <color theme="1"/>
        <rFont val="Calibri"/>
        <family val="2"/>
        <scheme val="minor"/>
      </rPr>
      <t xml:space="preserve"> of Gamma Spore Pte Ltd as of 31 December 20XX, using asset-based, income-based (DCF and capitalization), and market multiple approaches.</t>
    </r>
  </si>
  <si>
    <t>2. Key Assumptions</t>
  </si>
  <si>
    <r>
      <t>Risk-Free Rate (Rf):</t>
    </r>
    <r>
      <rPr>
        <sz val="11"/>
        <color theme="1"/>
        <rFont val="Calibri"/>
        <family val="2"/>
        <scheme val="minor"/>
      </rPr>
      <t xml:space="preserve"> 3.2% (MAS 10Y benchmark)</t>
    </r>
  </si>
  <si>
    <r>
      <t>Equity Risk Premium (ERP):</t>
    </r>
    <r>
      <rPr>
        <sz val="11"/>
        <color theme="1"/>
        <rFont val="Calibri"/>
        <family val="2"/>
        <scheme val="minor"/>
      </rPr>
      <t xml:space="preserve"> 5.5%</t>
    </r>
  </si>
  <si>
    <r>
      <t>Re-levered Beta (βR):</t>
    </r>
    <r>
      <rPr>
        <sz val="11"/>
        <color theme="1"/>
        <rFont val="Calibri"/>
        <family val="2"/>
        <scheme val="minor"/>
      </rPr>
      <t xml:space="preserve"> </t>
    </r>
    <r>
      <rPr>
        <b/>
        <sz val="11"/>
        <color theme="1"/>
        <rFont val="Calibri"/>
        <family val="2"/>
        <scheme val="minor"/>
      </rPr>
      <t>3.29</t>
    </r>
  </si>
  <si>
    <r>
      <t>Cost of Equity (Re):</t>
    </r>
    <r>
      <rPr>
        <sz val="11"/>
        <color theme="1"/>
        <rFont val="Calibri"/>
        <family val="2"/>
        <scheme val="minor"/>
      </rPr>
      <t xml:space="preserve"> </t>
    </r>
    <r>
      <rPr>
        <b/>
        <sz val="11"/>
        <color theme="1"/>
        <rFont val="Calibri"/>
        <family val="2"/>
        <scheme val="minor"/>
      </rPr>
      <t>22.37%</t>
    </r>
  </si>
  <si>
    <r>
      <t>Weighted Average Cost of Capital (WACC):</t>
    </r>
    <r>
      <rPr>
        <sz val="11"/>
        <color theme="1"/>
        <rFont val="Calibri"/>
        <family val="2"/>
        <scheme val="minor"/>
      </rPr>
      <t xml:space="preserve"> </t>
    </r>
    <r>
      <rPr>
        <b/>
        <sz val="11"/>
        <color theme="1"/>
        <rFont val="Calibri"/>
        <family val="2"/>
        <scheme val="minor"/>
      </rPr>
      <t>8.97%</t>
    </r>
  </si>
  <si>
    <r>
      <t>Terminal Growth Rate (g):</t>
    </r>
    <r>
      <rPr>
        <sz val="11"/>
        <color theme="1"/>
        <rFont val="Calibri"/>
        <family val="2"/>
        <scheme val="minor"/>
      </rPr>
      <t xml:space="preserve"> 2.5%</t>
    </r>
  </si>
  <si>
    <r>
      <t>Corporate Tax Rate:</t>
    </r>
    <r>
      <rPr>
        <sz val="11"/>
        <color theme="1"/>
        <rFont val="Calibri"/>
        <family val="2"/>
        <scheme val="minor"/>
      </rPr>
      <t xml:space="preserve"> 17%</t>
    </r>
  </si>
  <si>
    <r>
      <t>Shares Outstanding:</t>
    </r>
    <r>
      <rPr>
        <sz val="11"/>
        <color theme="1"/>
        <rFont val="Calibri"/>
        <family val="2"/>
        <scheme val="minor"/>
      </rPr>
      <t xml:space="preserve"> 500,000</t>
    </r>
  </si>
  <si>
    <t>Discounts:</t>
  </si>
  <si>
    <r>
      <t>DLOC (Discount for Lack of Control):</t>
    </r>
    <r>
      <rPr>
        <sz val="11"/>
        <color theme="1"/>
        <rFont val="Calibri"/>
        <family val="2"/>
        <scheme val="minor"/>
      </rPr>
      <t xml:space="preserve"> 15%</t>
    </r>
  </si>
  <si>
    <r>
      <t>DLOM (Discount for Lack of Marketability):</t>
    </r>
    <r>
      <rPr>
        <sz val="11"/>
        <color theme="1"/>
        <rFont val="Calibri"/>
        <family val="2"/>
        <scheme val="minor"/>
      </rPr>
      <t xml:space="preserve"> 30% (floor/cap applied)</t>
    </r>
  </si>
  <si>
    <t>3. Valuation Approaches</t>
  </si>
  <si>
    <t>FMV Result (S$)</t>
  </si>
  <si>
    <t>FV Result (S$)</t>
  </si>
  <si>
    <t>Adjusted net assets</t>
  </si>
  <si>
    <t>FV uses lower WACC / higher growth</t>
  </si>
  <si>
    <t>FV uses adjusted earnings</t>
  </si>
  <si>
    <t>FV applies premium multiples</t>
  </si>
  <si>
    <t>4. Adjustments</t>
  </si>
  <si>
    <t>FMV:</t>
  </si>
  <si>
    <r>
      <t xml:space="preserve">Apply </t>
    </r>
    <r>
      <rPr>
        <b/>
        <sz val="11"/>
        <color theme="1"/>
        <rFont val="Calibri"/>
        <family val="2"/>
        <scheme val="minor"/>
      </rPr>
      <t>DLOC (15%)</t>
    </r>
    <r>
      <rPr>
        <sz val="11"/>
        <color theme="1"/>
        <rFont val="Calibri"/>
        <family val="2"/>
        <scheme val="minor"/>
      </rPr>
      <t xml:space="preserve"> → reduces per-share value</t>
    </r>
  </si>
  <si>
    <r>
      <t xml:space="preserve">Apply </t>
    </r>
    <r>
      <rPr>
        <b/>
        <sz val="11"/>
        <color theme="1"/>
        <rFont val="Calibri"/>
        <family val="2"/>
        <scheme val="minor"/>
      </rPr>
      <t>DLOM (30%)</t>
    </r>
    <r>
      <rPr>
        <sz val="11"/>
        <color theme="1"/>
        <rFont val="Calibri"/>
        <family val="2"/>
        <scheme val="minor"/>
      </rPr>
      <t xml:space="preserve"> → further reduces per-share value</t>
    </r>
  </si>
  <si>
    <r>
      <t xml:space="preserve">Produces </t>
    </r>
    <r>
      <rPr>
        <b/>
        <sz val="11"/>
        <color theme="1"/>
        <rFont val="Calibri"/>
        <family val="2"/>
        <scheme val="minor"/>
      </rPr>
      <t>Minority, Illiquid Value</t>
    </r>
  </si>
  <si>
    <t>FV:</t>
  </si>
  <si>
    <t>No DLOC/DLOM applied (control/strategic context)</t>
  </si>
  <si>
    <r>
      <t xml:space="preserve">Produces </t>
    </r>
    <r>
      <rPr>
        <b/>
        <sz val="11"/>
        <color theme="1"/>
        <rFont val="Calibri"/>
        <family val="2"/>
        <scheme val="minor"/>
      </rPr>
      <t>Strategic Control Value</t>
    </r>
  </si>
  <si>
    <t>5. Final Conclusion</t>
  </si>
  <si>
    <r>
      <t>Fair Market Value (FMV):</t>
    </r>
    <r>
      <rPr>
        <sz val="11"/>
        <color theme="1"/>
        <rFont val="Calibri"/>
        <family val="2"/>
        <scheme val="minor"/>
      </rPr>
      <t xml:space="preserve"> Equity Value ≈ S$4.0m → Per Share ≈ S$8.00 After DLOC (15%) and DLOM (30%) → </t>
    </r>
    <r>
      <rPr>
        <b/>
        <sz val="11"/>
        <color theme="1"/>
        <rFont val="Calibri"/>
        <family val="2"/>
        <scheme val="minor"/>
      </rPr>
      <t>≈ S$4.76 per share</t>
    </r>
  </si>
  <si>
    <r>
      <t>Fair Value (FV):</t>
    </r>
    <r>
      <rPr>
        <sz val="11"/>
        <color theme="1"/>
        <rFont val="Calibri"/>
        <family val="2"/>
        <scheme val="minor"/>
      </rPr>
      <t xml:space="preserve"> Equity Value ≈ S$4.4m → Per Share ≈ S$8.80 No discounts applied → </t>
    </r>
    <r>
      <rPr>
        <b/>
        <sz val="11"/>
        <color theme="1"/>
        <rFont val="Calibri"/>
        <family val="2"/>
        <scheme val="minor"/>
      </rPr>
      <t>≈ S$8.80 per share</t>
    </r>
  </si>
  <si>
    <t>6. Narrative Wrap-Up</t>
  </si>
  <si>
    <r>
      <t xml:space="preserve">“Based on the application of asset-based, income-based, and market multiple approaches, the indicated </t>
    </r>
    <r>
      <rPr>
        <b/>
        <sz val="11"/>
        <color theme="1"/>
        <rFont val="Calibri"/>
        <family val="2"/>
        <scheme val="minor"/>
      </rPr>
      <t>Fair Market Value</t>
    </r>
    <r>
      <rPr>
        <sz val="11"/>
        <color theme="1"/>
        <rFont val="Calibri"/>
        <family val="2"/>
        <scheme val="minor"/>
      </rPr>
      <t xml:space="preserve"> of Gamma Spore Pte Ltd’s minority, illiquid shares is approximately </t>
    </r>
    <r>
      <rPr>
        <b/>
        <sz val="11"/>
        <color theme="1"/>
        <rFont val="Calibri"/>
        <family val="2"/>
        <scheme val="minor"/>
      </rPr>
      <t>S$4.76 per share</t>
    </r>
    <r>
      <rPr>
        <sz val="11"/>
        <color theme="1"/>
        <rFont val="Calibri"/>
        <family val="2"/>
        <scheme val="minor"/>
      </rPr>
      <t xml:space="preserve">. Under a </t>
    </r>
    <r>
      <rPr>
        <b/>
        <sz val="11"/>
        <color theme="1"/>
        <rFont val="Calibri"/>
        <family val="2"/>
        <scheme val="minor"/>
      </rPr>
      <t>Fair Value</t>
    </r>
    <r>
      <rPr>
        <sz val="11"/>
        <color theme="1"/>
        <rFont val="Calibri"/>
        <family val="2"/>
        <scheme val="minor"/>
      </rPr>
      <t xml:space="preserve"> context, assuming strategic buyer synergies and control, the indicated value is approximately </t>
    </r>
    <r>
      <rPr>
        <b/>
        <sz val="11"/>
        <color theme="1"/>
        <rFont val="Calibri"/>
        <family val="2"/>
        <scheme val="minor"/>
      </rPr>
      <t>S$8.80 per share</t>
    </r>
    <r>
      <rPr>
        <sz val="11"/>
        <color theme="1"/>
        <rFont val="Calibri"/>
        <family val="2"/>
        <scheme val="minor"/>
      </rPr>
      <t>. These results reflect the different consumes (assumptions and discounts) and produces (outputs) inherent in FMV versus FV frameworks.”</t>
    </r>
  </si>
  <si>
    <t>Parameter</t>
  </si>
  <si>
    <t>Options</t>
  </si>
  <si>
    <t>FMV Equity Value</t>
  </si>
  <si>
    <t>FV Equity Value</t>
  </si>
  <si>
    <t>B8</t>
  </si>
  <si>
    <t>excel</t>
  </si>
  <si>
    <t>Step 1: Create the Grid</t>
  </si>
  <si>
    <r>
      <t>In a new sheet (</t>
    </r>
    <r>
      <rPr>
        <sz val="10"/>
        <color theme="1"/>
        <rFont val="Arial Unicode MS"/>
      </rPr>
      <t>SensitivityDashboard</t>
    </r>
    <r>
      <rPr>
        <sz val="11"/>
        <color theme="1"/>
        <rFont val="Calibri"/>
        <family val="2"/>
        <scheme val="minor"/>
      </rPr>
      <t>), set up WACC across columns and Growth across rows:</t>
    </r>
  </si>
  <si>
    <t>Growth \ WACC</t>
  </si>
  <si>
    <t>FMV / FV</t>
  </si>
  <si>
    <t>Step 4: Example Calculation</t>
  </si>
  <si>
    <t>→ ≈ S$5.12</t>
  </si>
  <si>
    <t>→ ≈ S$8.80</t>
  </si>
  <si>
    <t>Step 5: Visualization</t>
  </si>
  <si>
    <r>
      <t xml:space="preserve">Highlight FMV values in </t>
    </r>
    <r>
      <rPr>
        <b/>
        <sz val="11"/>
        <color theme="1"/>
        <rFont val="Calibri"/>
        <family val="2"/>
        <scheme val="minor"/>
      </rPr>
      <t>blue heatmap</t>
    </r>
    <r>
      <rPr>
        <sz val="11"/>
        <color theme="1"/>
        <rFont val="Calibri"/>
        <family val="2"/>
        <scheme val="minor"/>
      </rPr>
      <t xml:space="preserve"> (conditional formatting).</t>
    </r>
  </si>
  <si>
    <r>
      <t xml:space="preserve">Highlight FV values in </t>
    </r>
    <r>
      <rPr>
        <b/>
        <sz val="11"/>
        <color theme="1"/>
        <rFont val="Calibri"/>
        <family val="2"/>
        <scheme val="minor"/>
      </rPr>
      <t>green heatmap</t>
    </r>
    <r>
      <rPr>
        <sz val="11"/>
        <color theme="1"/>
        <rFont val="Calibri"/>
        <family val="2"/>
        <scheme val="minor"/>
      </rPr>
      <t>.</t>
    </r>
  </si>
  <si>
    <r>
      <t xml:space="preserve">Add a </t>
    </r>
    <r>
      <rPr>
        <b/>
        <sz val="11"/>
        <color theme="1"/>
        <rFont val="Calibri"/>
        <family val="2"/>
        <scheme val="minor"/>
      </rPr>
      <t>3D surface chart</t>
    </r>
    <r>
      <rPr>
        <sz val="11"/>
        <color theme="1"/>
        <rFont val="Calibri"/>
        <family val="2"/>
        <scheme val="minor"/>
      </rPr>
      <t xml:space="preserve"> to show how values change across WACC and growth.</t>
    </r>
  </si>
  <si>
    <t>✅ Outcome</t>
  </si>
  <si>
    <t>This table will give you:</t>
  </si>
  <si>
    <r>
      <t xml:space="preserve">A clear </t>
    </r>
    <r>
      <rPr>
        <b/>
        <sz val="11"/>
        <color theme="1"/>
        <rFont val="Calibri"/>
        <family val="2"/>
        <scheme val="minor"/>
      </rPr>
      <t>matrix of FMV vs FV per share</t>
    </r>
    <r>
      <rPr>
        <sz val="11"/>
        <color theme="1"/>
        <rFont val="Calibri"/>
        <family val="2"/>
        <scheme val="minor"/>
      </rPr>
      <t xml:space="preserve"> under different assumptions.</t>
    </r>
  </si>
  <si>
    <r>
      <t xml:space="preserve">A </t>
    </r>
    <r>
      <rPr>
        <b/>
        <sz val="11"/>
        <color theme="1"/>
        <rFont val="Calibri"/>
        <family val="2"/>
        <scheme val="minor"/>
      </rPr>
      <t>visual sensitivity chart</t>
    </r>
    <r>
      <rPr>
        <sz val="11"/>
        <color theme="1"/>
        <rFont val="Calibri"/>
        <family val="2"/>
        <scheme val="minor"/>
      </rPr>
      <t xml:space="preserve"> that stakeholders can grasp quickly.</t>
    </r>
  </si>
  <si>
    <t>Automatic updates when you change WACC, growth, DLOC, or DLOM inputs.</t>
  </si>
  <si>
    <r>
      <t xml:space="preserve">👉 Would you like me to also prepare a </t>
    </r>
    <r>
      <rPr>
        <b/>
        <sz val="11"/>
        <color theme="1"/>
        <rFont val="Calibri"/>
        <family val="2"/>
        <scheme val="minor"/>
      </rPr>
      <t>ready‑made Excel formula block</t>
    </r>
    <r>
      <rPr>
        <sz val="11"/>
        <color theme="1"/>
        <rFont val="Calibri"/>
        <family val="2"/>
        <scheme val="minor"/>
      </rPr>
      <t xml:space="preserve"> (copy‑paste grid with FMV and FV formulas filled in for each cell) so you don’t have to manually enter them row by row?</t>
    </r>
  </si>
  <si>
    <t>Yes please</t>
  </si>
  <si>
    <r>
      <t xml:space="preserve">Great — here’s a </t>
    </r>
    <r>
      <rPr>
        <b/>
        <sz val="11"/>
        <color theme="1"/>
        <rFont val="Calibri"/>
        <family val="2"/>
        <scheme val="minor"/>
      </rPr>
      <t>ready‑to‑paste Excel sensitivity grid</t>
    </r>
    <r>
      <rPr>
        <sz val="11"/>
        <color theme="1"/>
        <rFont val="Calibri"/>
        <family val="2"/>
        <scheme val="minor"/>
      </rPr>
      <t xml:space="preserve"> with formulas filled in for each WACC/growth combination. You can drop this straight into your </t>
    </r>
    <r>
      <rPr>
        <sz val="10"/>
        <color theme="1"/>
        <rFont val="Arial Unicode MS"/>
      </rPr>
      <t>SensitivityDashboard</t>
    </r>
    <r>
      <rPr>
        <sz val="11"/>
        <color theme="1"/>
        <rFont val="Calibri"/>
        <family val="2"/>
        <scheme val="minor"/>
      </rPr>
      <t xml:space="preserve"> sheet.</t>
    </r>
  </si>
  <si>
    <t>📊 Sensitivity Grid (FMV &amp; FV per share)</t>
  </si>
  <si>
    <t>Layout</t>
  </si>
  <si>
    <t>Growth \ WACC |   7%          |   8%          |   9%          |   10%         |   11%</t>
  </si>
  <si>
    <t>-----------------------------------------------------------------------------------------</t>
  </si>
  <si>
    <t>1%            | FMV / FV      | FMV / FV      | FMV / FV      | FMV / FV      | FMV / FV</t>
  </si>
  <si>
    <t>2%            | FMV / FV      | FMV / FV      | FMV / FV      | FMV / FV      | FMV / FV</t>
  </si>
  <si>
    <t>3%            | FMV / FV      | FMV / FV      | FMV / FV      | FMV / FV      | FMV / FV</t>
  </si>
  <si>
    <t>4%            | FMV / FV      | FMV / FV      | FMV / FV      | FMV / FV      | FMV / FV</t>
  </si>
  <si>
    <t>5%            | FMV / FV      | FMV / FV      | FMV / FV      | FMV / FV      | FMV / FV</t>
  </si>
  <si>
    <t>FMV Formula (paste into each cell)</t>
  </si>
  <si>
    <t>FV Formula (paste into each cell)</t>
  </si>
  <si>
    <t>Example Filled Row (Growth = 3%)</t>
  </si>
  <si>
    <t>FMV=5.44 / FV=9.68</t>
  </si>
  <si>
    <t>FMV=5.28 / FV=9.24</t>
  </si>
  <si>
    <t>FMV=5.12 / FV=8.80</t>
  </si>
  <si>
    <t>FMV=4.96 / FV=8.36</t>
  </si>
  <si>
    <t>FMV=4.80 / FV=7.92</t>
  </si>
  <si>
    <t>How to Implement</t>
  </si>
  <si>
    <t>1. Create a table with WACC values across columns and Growth down rows.</t>
  </si>
  <si>
    <t>2. Paste the FMV formula into the left half of each cell, FV formula into the right half.</t>
  </si>
  <si>
    <t>Or, create two separate tables: one for FMV, one for FV.</t>
  </si>
  <si>
    <r>
      <t xml:space="preserve">3. Apply </t>
    </r>
    <r>
      <rPr>
        <b/>
        <sz val="11"/>
        <color theme="1"/>
        <rFont val="Calibri"/>
        <family val="2"/>
        <scheme val="minor"/>
      </rPr>
      <t>conditional formatting</t>
    </r>
    <r>
      <rPr>
        <sz val="11"/>
        <color theme="1"/>
        <rFont val="Calibri"/>
        <family val="2"/>
        <scheme val="minor"/>
      </rPr>
      <t xml:space="preserve"> (blue for FMV, green for FV).</t>
    </r>
  </si>
  <si>
    <r>
      <t xml:space="preserve">4. Insert → </t>
    </r>
    <r>
      <rPr>
        <b/>
        <sz val="11"/>
        <color theme="1"/>
        <rFont val="Calibri"/>
        <family val="2"/>
        <scheme val="minor"/>
      </rPr>
      <t>Surface Chart</t>
    </r>
    <r>
      <rPr>
        <sz val="11"/>
        <color theme="1"/>
        <rFont val="Calibri"/>
        <family val="2"/>
        <scheme val="minor"/>
      </rPr>
      <t xml:space="preserve"> or </t>
    </r>
    <r>
      <rPr>
        <b/>
        <sz val="11"/>
        <color theme="1"/>
        <rFont val="Calibri"/>
        <family val="2"/>
        <scheme val="minor"/>
      </rPr>
      <t>Heatmap</t>
    </r>
    <r>
      <rPr>
        <sz val="11"/>
        <color theme="1"/>
        <rFont val="Calibri"/>
        <family val="2"/>
        <scheme val="minor"/>
      </rPr>
      <t xml:space="preserve"> to visualize sensitivity.</t>
    </r>
  </si>
  <si>
    <r>
      <t xml:space="preserve">✅ This grid will give you a </t>
    </r>
    <r>
      <rPr>
        <b/>
        <sz val="11"/>
        <color theme="1"/>
        <rFont val="Calibri"/>
        <family val="2"/>
        <scheme val="minor"/>
      </rPr>
      <t>full sensitivity matrix</t>
    </r>
    <r>
      <rPr>
        <sz val="11"/>
        <color theme="1"/>
        <rFont val="Calibri"/>
        <family val="2"/>
        <scheme val="minor"/>
      </rPr>
      <t xml:space="preserve"> for FMV and FV per share. 👉 Would you like me to also prepare a </t>
    </r>
    <r>
      <rPr>
        <b/>
        <sz val="11"/>
        <color theme="1"/>
        <rFont val="Calibri"/>
        <family val="2"/>
        <scheme val="minor"/>
      </rPr>
      <t>combined chart template</t>
    </r>
    <r>
      <rPr>
        <sz val="11"/>
        <color theme="1"/>
        <rFont val="Calibri"/>
        <family val="2"/>
        <scheme val="minor"/>
      </rPr>
      <t xml:space="preserve"> (FMV vs FV plotted together for each growth/WACC pair) so you can paste it directly into your dashboard?</t>
    </r>
  </si>
  <si>
    <t>Growth rate</t>
  </si>
  <si>
    <t>For:</t>
  </si>
  <si>
    <t>Growth =</t>
  </si>
  <si>
    <t>WACC =</t>
  </si>
  <si>
    <t>FMV per share :</t>
  </si>
  <si>
    <t>Named Range (Adjusted)</t>
  </si>
  <si>
    <r>
      <t xml:space="preserve">[ </t>
    </r>
    <r>
      <rPr>
        <b/>
        <sz val="11"/>
        <color theme="1"/>
        <rFont val="Calibri"/>
        <family val="2"/>
        <scheme val="minor"/>
      </rPr>
      <t>formula:</t>
    </r>
    <r>
      <rPr>
        <sz val="11"/>
        <color theme="1"/>
        <rFont val="Calibri"/>
        <family val="2"/>
        <scheme val="minor"/>
      </rPr>
      <t xml:space="preserve"> = Adjusted_FV / Shares ]</t>
    </r>
  </si>
  <si>
    <r>
      <t xml:space="preserve">[ </t>
    </r>
    <r>
      <rPr>
        <b/>
        <sz val="11"/>
        <color theme="1"/>
        <rFont val="Calibri"/>
        <family val="2"/>
        <scheme val="minor"/>
      </rPr>
      <t>formula:</t>
    </r>
    <r>
      <rPr>
        <sz val="11"/>
        <color theme="1"/>
        <rFont val="Calibri"/>
        <family val="2"/>
        <scheme val="minor"/>
      </rPr>
      <t xml:space="preserve"> = (Adjusted_FMV / Shares) * (1 - DLOC_Input) * (1 - DLOM_Input) ]</t>
    </r>
  </si>
  <si>
    <t>FV per share :</t>
  </si>
  <si>
    <r>
      <t xml:space="preserve">The expression you pasted is a </t>
    </r>
    <r>
      <rPr>
        <b/>
        <sz val="11"/>
        <color theme="1"/>
        <rFont val="Calibri"/>
        <family val="2"/>
        <scheme val="minor"/>
      </rPr>
      <t>sensitivity adjustment formula</t>
    </r>
    <r>
      <rPr>
        <sz val="11"/>
        <color theme="1"/>
        <rFont val="Calibri"/>
        <family val="2"/>
        <scheme val="minor"/>
      </rPr>
      <t xml:space="preserve"> I suggested earlier to model how FMV changes when WACC or growth assumptions move away from a baseline. The constants </t>
    </r>
    <r>
      <rPr>
        <sz val="10"/>
        <color theme="1"/>
        <rFont val="Arial Unicode MS"/>
      </rPr>
      <t>0.05</t>
    </r>
    <r>
      <rPr>
        <sz val="11"/>
        <color theme="1"/>
        <rFont val="Calibri"/>
        <family val="2"/>
        <scheme val="minor"/>
      </rPr>
      <t xml:space="preserve">, </t>
    </r>
    <r>
      <rPr>
        <sz val="10"/>
        <color theme="1"/>
        <rFont val="Arial Unicode MS"/>
      </rPr>
      <t>0.07</t>
    </r>
    <r>
      <rPr>
        <sz val="11"/>
        <color theme="1"/>
        <rFont val="Calibri"/>
        <family val="2"/>
        <scheme val="minor"/>
      </rPr>
      <t xml:space="preserve">, and </t>
    </r>
    <r>
      <rPr>
        <sz val="10"/>
        <color theme="1"/>
        <rFont val="Arial Unicode MS"/>
      </rPr>
      <t>0.01</t>
    </r>
    <r>
      <rPr>
        <sz val="11"/>
        <color theme="1"/>
        <rFont val="Calibri"/>
        <family val="2"/>
        <scheme val="minor"/>
      </rPr>
      <t xml:space="preserve"> are not “official” values from MAS or IRAS — they are </t>
    </r>
    <r>
      <rPr>
        <b/>
        <sz val="11"/>
        <color theme="1"/>
        <rFont val="Calibri"/>
        <family val="2"/>
        <scheme val="minor"/>
      </rPr>
      <t>scaling factors and baselines</t>
    </r>
    <r>
      <rPr>
        <sz val="11"/>
        <color theme="1"/>
        <rFont val="Calibri"/>
        <family val="2"/>
        <scheme val="minor"/>
      </rPr>
      <t xml:space="preserve"> we set up to make the sensitivity grid work. Here’s what each means:</t>
    </r>
  </si>
  <si>
    <t>Breaking Down the Constants</t>
  </si>
  <si>
    <r>
      <t xml:space="preserve">This is the </t>
    </r>
    <r>
      <rPr>
        <b/>
        <sz val="11"/>
        <color theme="1"/>
        <rFont val="Calibri"/>
        <family val="2"/>
        <scheme val="minor"/>
      </rPr>
      <t>baseline WACC</t>
    </r>
    <r>
      <rPr>
        <sz val="11"/>
        <color theme="1"/>
        <rFont val="Calibri"/>
        <family val="2"/>
        <scheme val="minor"/>
      </rPr>
      <t xml:space="preserve"> (7%) we used as the “anchor point” in the sensitivity grid.</t>
    </r>
  </si>
  <si>
    <t>All adjustments are measured relative to this baseline.</t>
  </si>
  <si>
    <r>
      <t xml:space="preserve">Example: if WACC_Input = 0.09 (9%), then </t>
    </r>
    <r>
      <rPr>
        <sz val="10"/>
        <color theme="1"/>
        <rFont val="Arial Unicode MS"/>
      </rPr>
      <t>(0.09 - 0.07)/0.01 = 2</t>
    </r>
    <r>
      <rPr>
        <sz val="11"/>
        <color theme="1"/>
        <rFont val="Calibri"/>
        <family val="2"/>
        <scheme val="minor"/>
      </rPr>
      <t xml:space="preserve"> → meaning WACC is 2 steps (2%) above baseline.</t>
    </r>
  </si>
  <si>
    <r>
      <t xml:space="preserve">This is the </t>
    </r>
    <r>
      <rPr>
        <b/>
        <sz val="11"/>
        <color theme="1"/>
        <rFont val="Calibri"/>
        <family val="2"/>
        <scheme val="minor"/>
      </rPr>
      <t>step size</t>
    </r>
    <r>
      <rPr>
        <sz val="11"/>
        <color theme="1"/>
        <rFont val="Calibri"/>
        <family val="2"/>
        <scheme val="minor"/>
      </rPr>
      <t xml:space="preserve"> (1%) used to normalize changes in WACC or growth.</t>
    </r>
  </si>
  <si>
    <t>It converts differences into “number of steps.”</t>
  </si>
  <si>
    <r>
      <t xml:space="preserve">Example: </t>
    </r>
    <r>
      <rPr>
        <sz val="10"/>
        <color theme="1"/>
        <rFont val="Arial Unicode MS"/>
      </rPr>
      <t>(0.09 - 0.07)/0.01 = 0.02/0.01 = 2</t>
    </r>
    <r>
      <rPr>
        <sz val="11"/>
        <color theme="1"/>
        <rFont val="Calibri"/>
        <family val="2"/>
        <scheme val="minor"/>
      </rPr>
      <t xml:space="preserve"> steps above baseline.</t>
    </r>
  </si>
  <si>
    <r>
      <t xml:space="preserve">This is the </t>
    </r>
    <r>
      <rPr>
        <b/>
        <sz val="11"/>
        <color theme="1"/>
        <rFont val="Calibri"/>
        <family val="2"/>
        <scheme val="minor"/>
      </rPr>
      <t>sensitivity factor</t>
    </r>
    <r>
      <rPr>
        <sz val="11"/>
        <color theme="1"/>
        <rFont val="Calibri"/>
        <family val="2"/>
        <scheme val="minor"/>
      </rPr>
      <t xml:space="preserve"> (5% change in equity value per 1% change in WACC or growth).</t>
    </r>
  </si>
  <si>
    <t>It’s an assumption we made to illustrate how FMV responds.</t>
  </si>
  <si>
    <r>
      <t xml:space="preserve">For FV, we used </t>
    </r>
    <r>
      <rPr>
        <sz val="10"/>
        <color theme="1"/>
        <rFont val="Arial Unicode MS"/>
      </rPr>
      <t>0.10</t>
    </r>
    <r>
      <rPr>
        <sz val="11"/>
        <color theme="1"/>
        <rFont val="Calibri"/>
        <family val="2"/>
        <scheme val="minor"/>
      </rPr>
      <t xml:space="preserve"> (10%) to show stronger sensitivity.</t>
    </r>
  </si>
  <si>
    <t>In practice, you can calibrate this factor based on your DCF model outputs (e.g., run the DCF at WACC = 8% vs 9% and see the % change in value).</t>
  </si>
  <si>
    <t>🧠 Putting It Together</t>
  </si>
  <si>
    <t>So the formula:</t>
  </si>
  <si>
    <t>means:</t>
  </si>
  <si>
    <r>
      <t xml:space="preserve">Start from </t>
    </r>
    <r>
      <rPr>
        <b/>
        <sz val="11"/>
        <color theme="1"/>
        <rFont val="Calibri"/>
        <family val="2"/>
        <scheme val="minor"/>
      </rPr>
      <t>FMV_Base</t>
    </r>
    <r>
      <rPr>
        <sz val="11"/>
        <color theme="1"/>
        <rFont val="Calibri"/>
        <family val="2"/>
        <scheme val="minor"/>
      </rPr>
      <t xml:space="preserve"> (e.g., 4,000,000).</t>
    </r>
  </si>
  <si>
    <t>Adjust downward if WACC is above 7% (each +1% WACC reduces value by 5%).</t>
  </si>
  <si>
    <t>Adjust upward if growth is above 1% (each +1% growth increases value by 5%).</t>
  </si>
  <si>
    <t>Then divide by shares and apply DLOC/DLOM.</t>
  </si>
  <si>
    <t>✅ Best Practice</t>
  </si>
  <si>
    <r>
      <t>0.07 (7%) baseline WACC</t>
    </r>
    <r>
      <rPr>
        <sz val="11"/>
        <color theme="1"/>
        <rFont val="Calibri"/>
        <family val="2"/>
        <scheme val="minor"/>
      </rPr>
      <t xml:space="preserve"> → set to your actual calculated WACC (8.97% in your case).</t>
    </r>
  </si>
  <si>
    <r>
      <t>0.01 step size</t>
    </r>
    <r>
      <rPr>
        <sz val="11"/>
        <color theme="1"/>
        <rFont val="Calibri"/>
        <family val="2"/>
        <scheme val="minor"/>
      </rPr>
      <t xml:space="preserve"> → keep as 1% increments.</t>
    </r>
  </si>
  <si>
    <r>
      <t>0.05 sensitivity factor</t>
    </r>
    <r>
      <rPr>
        <sz val="11"/>
        <color theme="1"/>
        <rFont val="Calibri"/>
        <family val="2"/>
        <scheme val="minor"/>
      </rPr>
      <t xml:space="preserve"> → calibrate by running your DCF at different WACC/growth values and measuring the % change.</t>
    </r>
  </si>
  <si>
    <t>Average per share</t>
  </si>
  <si>
    <t>Less: Net Debt (collateral is the Industrial Property)</t>
  </si>
  <si>
    <t>Note: Have not deducted the Net Debt (Total Debt - Cash)</t>
  </si>
  <si>
    <t>Step 3: Define Base Values</t>
  </si>
  <si>
    <t>Step 2: Create Input Controls</t>
  </si>
  <si>
    <t>Step 1 — Confirm Setup</t>
  </si>
  <si>
    <r>
      <t xml:space="preserve">[ ] Open the workbook in </t>
    </r>
    <r>
      <rPr>
        <b/>
        <sz val="11"/>
        <color theme="1"/>
        <rFont val="Calibri"/>
        <family val="2"/>
        <scheme val="minor"/>
      </rPr>
      <t>Excel 2016 or later</t>
    </r>
    <r>
      <rPr>
        <sz val="11"/>
        <color theme="1"/>
        <rFont val="Calibri"/>
        <family val="2"/>
        <scheme val="minor"/>
      </rPr>
      <t xml:space="preserve"> (Microsoft 365 recommended for best compatibility).</t>
    </r>
  </si>
  <si>
    <t>[ ] Ensure macros are disabled (none are used in this file).</t>
  </si>
  <si>
    <r>
      <t xml:space="preserve">[ ] Check that the </t>
    </r>
    <r>
      <rPr>
        <b/>
        <sz val="11"/>
        <color theme="1"/>
        <rFont val="Calibri"/>
        <family val="2"/>
        <scheme val="minor"/>
      </rPr>
      <t>Inputs sheet</t>
    </r>
    <r>
      <rPr>
        <sz val="11"/>
        <color theme="1"/>
        <rFont val="Calibri"/>
        <family val="2"/>
        <scheme val="minor"/>
      </rPr>
      <t xml:space="preserve"> is visible and accessible.</t>
    </r>
  </si>
  <si>
    <t>Step 2 — Enter Key Inputs (01_Inputs)</t>
  </si>
  <si>
    <r>
      <t xml:space="preserve">[ ] Fill in </t>
    </r>
    <r>
      <rPr>
        <b/>
        <sz val="11"/>
        <color theme="1"/>
        <rFont val="Calibri"/>
        <family val="2"/>
        <scheme val="minor"/>
      </rPr>
      <t>Risk-Free Rate (Rf)</t>
    </r>
    <r>
      <rPr>
        <sz val="11"/>
        <color theme="1"/>
        <rFont val="Calibri"/>
        <family val="2"/>
        <scheme val="minor"/>
      </rPr>
      <t xml:space="preserve"> (e.g., MAS 10Y yield).</t>
    </r>
  </si>
  <si>
    <r>
      <t xml:space="preserve">[ ] Enter </t>
    </r>
    <r>
      <rPr>
        <b/>
        <sz val="11"/>
        <color theme="1"/>
        <rFont val="Calibri"/>
        <family val="2"/>
        <scheme val="minor"/>
      </rPr>
      <t>Equity Risk Premium (ERP)</t>
    </r>
    <r>
      <rPr>
        <sz val="11"/>
        <color theme="1"/>
        <rFont val="Calibri"/>
        <family val="2"/>
        <scheme val="minor"/>
      </rPr>
      <t xml:space="preserve"> (e.g., NYU Stern data).</t>
    </r>
  </si>
  <si>
    <r>
      <t xml:space="preserve">[ ] Confirm </t>
    </r>
    <r>
      <rPr>
        <b/>
        <sz val="11"/>
        <color theme="1"/>
        <rFont val="Calibri"/>
        <family val="2"/>
        <scheme val="minor"/>
      </rPr>
      <t>Corporate Tax Rate</t>
    </r>
    <r>
      <rPr>
        <sz val="11"/>
        <color theme="1"/>
        <rFont val="Calibri"/>
        <family val="2"/>
        <scheme val="minor"/>
      </rPr>
      <t xml:space="preserve"> (default 17% for Singapore).</t>
    </r>
  </si>
  <si>
    <r>
      <t xml:space="preserve">[ ] Input </t>
    </r>
    <r>
      <rPr>
        <b/>
        <sz val="11"/>
        <color theme="1"/>
        <rFont val="Calibri"/>
        <family val="2"/>
        <scheme val="minor"/>
      </rPr>
      <t>Small Company Premium (SCP)</t>
    </r>
    <r>
      <rPr>
        <sz val="11"/>
        <color theme="1"/>
        <rFont val="Calibri"/>
        <family val="2"/>
        <scheme val="minor"/>
      </rPr>
      <t xml:space="preserve"> and </t>
    </r>
    <r>
      <rPr>
        <b/>
        <sz val="11"/>
        <color theme="1"/>
        <rFont val="Calibri"/>
        <family val="2"/>
        <scheme val="minor"/>
      </rPr>
      <t>Industry Risk Premium (IRP)</t>
    </r>
    <r>
      <rPr>
        <sz val="11"/>
        <color theme="1"/>
        <rFont val="Calibri"/>
        <family val="2"/>
        <scheme val="minor"/>
      </rPr>
      <t xml:space="preserve"> if applicable.</t>
    </r>
  </si>
  <si>
    <r>
      <t xml:space="preserve">[ ] Enter </t>
    </r>
    <r>
      <rPr>
        <b/>
        <sz val="11"/>
        <color theme="1"/>
        <rFont val="Calibri"/>
        <family val="2"/>
        <scheme val="minor"/>
      </rPr>
      <t>Shares Outstanding</t>
    </r>
    <r>
      <rPr>
        <sz val="11"/>
        <color theme="1"/>
        <rFont val="Calibri"/>
        <family val="2"/>
        <scheme val="minor"/>
      </rPr>
      <t>.</t>
    </r>
  </si>
  <si>
    <r>
      <t xml:space="preserve">[ ] Review </t>
    </r>
    <r>
      <rPr>
        <b/>
        <sz val="11"/>
        <color theme="1"/>
        <rFont val="Calibri"/>
        <family val="2"/>
        <scheme val="minor"/>
      </rPr>
      <t>Control Premium, DLOC, DLOM</t>
    </r>
    <r>
      <rPr>
        <sz val="11"/>
        <color theme="1"/>
        <rFont val="Calibri"/>
        <family val="2"/>
        <scheme val="minor"/>
      </rPr>
      <t xml:space="preserve"> assumptions.</t>
    </r>
  </si>
  <si>
    <t>Step 3 — Normalize Financials (02_Normalization)</t>
  </si>
  <si>
    <t>[ ] Adjust historic income statements for discretionary items, grants, and one-offs.</t>
  </si>
  <si>
    <t>[ ] Confirm balance sheet adjustments (working capital, property loans, etc.).</t>
  </si>
  <si>
    <t>[ ] Calculate retention rate and ROIC for growth assumptions.</t>
  </si>
  <si>
    <t>Step 4 — Estimate Beta (03_Beta_Calculation)</t>
  </si>
  <si>
    <t>[ ] Import peer company data from SGX/Yahoo Finance.</t>
  </si>
  <si>
    <r>
      <t xml:space="preserve">[ ] Calculate </t>
    </r>
    <r>
      <rPr>
        <b/>
        <sz val="11"/>
        <color theme="1"/>
        <rFont val="Calibri"/>
        <family val="2"/>
        <scheme val="minor"/>
      </rPr>
      <t>Unlevered Beta</t>
    </r>
    <r>
      <rPr>
        <sz val="11"/>
        <color theme="1"/>
        <rFont val="Calibri"/>
        <family val="2"/>
        <scheme val="minor"/>
      </rPr>
      <t xml:space="preserve"> for peers.</t>
    </r>
  </si>
  <si>
    <t>[ ] Re-lever Beta using subject company’s D/E ratio.</t>
  </si>
  <si>
    <t>[ ] Filter outliers with Z-score helper column.</t>
  </si>
  <si>
    <t>Step 5 — Build Cost of Capital (04_CAPM &amp; 05_WACC)</t>
  </si>
  <si>
    <t>[ ] Apply CAPM formula: re=Rf+βL⋅ERP+SCP+CSRPr_e = R_f + \beta_L \cdot ERP + SCP + CSRP.</t>
  </si>
  <si>
    <t>[ ] Calculate weighted average cost of debt.</t>
  </si>
  <si>
    <r>
      <t xml:space="preserve">[ ] Derive </t>
    </r>
    <r>
      <rPr>
        <b/>
        <sz val="11"/>
        <color theme="1"/>
        <rFont val="Calibri"/>
        <family val="2"/>
        <scheme val="minor"/>
      </rPr>
      <t>WACC</t>
    </r>
    <r>
      <rPr>
        <sz val="11"/>
        <color theme="1"/>
        <rFont val="Calibri"/>
        <family val="2"/>
        <scheme val="minor"/>
      </rPr>
      <t xml:space="preserve"> using debt/equity mix.</t>
    </r>
  </si>
  <si>
    <t>Step 6 — Apply Valuation Methods</t>
  </si>
  <si>
    <r>
      <t xml:space="preserve">[ ] </t>
    </r>
    <r>
      <rPr>
        <b/>
        <sz val="11"/>
        <color theme="1"/>
        <rFont val="Calibri"/>
        <family val="2"/>
        <scheme val="minor"/>
      </rPr>
      <t>DCF (06_Income_Based DCF):</t>
    </r>
    <r>
      <rPr>
        <sz val="11"/>
        <color theme="1"/>
        <rFont val="Calibri"/>
        <family val="2"/>
        <scheme val="minor"/>
      </rPr>
      <t xml:space="preserve"> Forecast FCF, discount at WACC, apply terminal growth.</t>
    </r>
  </si>
  <si>
    <r>
      <t xml:space="preserve">[ ] </t>
    </r>
    <r>
      <rPr>
        <b/>
        <sz val="11"/>
        <color theme="1"/>
        <rFont val="Calibri"/>
        <family val="2"/>
        <scheme val="minor"/>
      </rPr>
      <t>Capitalization (07):</t>
    </r>
    <r>
      <rPr>
        <sz val="11"/>
        <color theme="1"/>
        <rFont val="Calibri"/>
        <family val="2"/>
        <scheme val="minor"/>
      </rPr>
      <t xml:space="preserve"> Apply normalized earnings and cap rate.</t>
    </r>
  </si>
  <si>
    <r>
      <t xml:space="preserve">[ ] </t>
    </r>
    <r>
      <rPr>
        <b/>
        <sz val="11"/>
        <color theme="1"/>
        <rFont val="Calibri"/>
        <family val="2"/>
        <scheme val="minor"/>
      </rPr>
      <t>Market Multiples (08):</t>
    </r>
    <r>
      <rPr>
        <sz val="11"/>
        <color theme="1"/>
        <rFont val="Calibri"/>
        <family val="2"/>
        <scheme val="minor"/>
      </rPr>
      <t xml:space="preserve"> Benchmark against SGX peers.</t>
    </r>
  </si>
  <si>
    <r>
      <t xml:space="preserve">[ ] </t>
    </r>
    <r>
      <rPr>
        <b/>
        <sz val="11"/>
        <color theme="1"/>
        <rFont val="Calibri"/>
        <family val="2"/>
        <scheme val="minor"/>
      </rPr>
      <t>Asset-Based (09):</t>
    </r>
    <r>
      <rPr>
        <sz val="11"/>
        <color theme="1"/>
        <rFont val="Calibri"/>
        <family val="2"/>
        <scheme val="minor"/>
      </rPr>
      <t xml:space="preserve"> Adjust net tangible assets and excess earnings.</t>
    </r>
  </si>
  <si>
    <t>Step 7 — Apply Adjustments (10–11)</t>
  </si>
  <si>
    <t>[ ] Score CSRP factors (customer concentration, leverage, litigation, etc.).</t>
  </si>
  <si>
    <r>
      <t xml:space="preserve">[ ] Apply </t>
    </r>
    <r>
      <rPr>
        <b/>
        <sz val="11"/>
        <color theme="1"/>
        <rFont val="Calibri"/>
        <family val="2"/>
        <scheme val="minor"/>
      </rPr>
      <t>DLOC</t>
    </r>
    <r>
      <rPr>
        <sz val="11"/>
        <color theme="1"/>
        <rFont val="Calibri"/>
        <family val="2"/>
        <scheme val="minor"/>
      </rPr>
      <t xml:space="preserve"> (control discount).</t>
    </r>
  </si>
  <si>
    <r>
      <t xml:space="preserve">[ ] Apply </t>
    </r>
    <r>
      <rPr>
        <b/>
        <sz val="11"/>
        <color theme="1"/>
        <rFont val="Calibri"/>
        <family val="2"/>
        <scheme val="minor"/>
      </rPr>
      <t>DLOM</t>
    </r>
    <r>
      <rPr>
        <sz val="11"/>
        <color theme="1"/>
        <rFont val="Calibri"/>
        <family val="2"/>
        <scheme val="minor"/>
      </rPr>
      <t xml:space="preserve"> (marketability discount).</t>
    </r>
  </si>
  <si>
    <t>Step 8 — Review Valuation Summary (12)</t>
  </si>
  <si>
    <t>[ ] Compare FMV vs FV outputs.</t>
  </si>
  <si>
    <t>[ ] Note differences in assumptions (discounts vs strategic premiums).</t>
  </si>
  <si>
    <t>[ ] Confirm per-share values.</t>
  </si>
  <si>
    <t>Step 9 — Generate Report (13)</t>
  </si>
  <si>
    <r>
      <t xml:space="preserve">[ ] Use the template to draft an </t>
    </r>
    <r>
      <rPr>
        <b/>
        <sz val="11"/>
        <color theme="1"/>
        <rFont val="Calibri"/>
        <family val="2"/>
        <scheme val="minor"/>
      </rPr>
      <t>Executive Summary</t>
    </r>
    <r>
      <rPr>
        <sz val="11"/>
        <color theme="1"/>
        <rFont val="Calibri"/>
        <family val="2"/>
        <scheme val="minor"/>
      </rPr>
      <t>.</t>
    </r>
  </si>
  <si>
    <t>[ ] Insert key assumptions, methods, and final FMV/FV conclusions.</t>
  </si>
  <si>
    <t>[ ] Export to PDF for stakeholders.</t>
  </si>
  <si>
    <t>Step 10 — Explore Case Study (14)</t>
  </si>
  <si>
    <t>[ ] Review Gamma Spore worked example.</t>
  </si>
  <si>
    <t>[ ] Compare your inputs and outputs to the case study.</t>
  </si>
  <si>
    <r>
      <t xml:space="preserve">✅ This checklist ensures users follow the correct sequence and avoid missing critical steps. It also reinforces your </t>
    </r>
    <r>
      <rPr>
        <b/>
        <sz val="11"/>
        <color theme="1"/>
        <rFont val="Calibri"/>
        <family val="2"/>
        <scheme val="minor"/>
      </rPr>
      <t>transparency and defensibility</t>
    </r>
    <r>
      <rPr>
        <sz val="11"/>
        <color theme="1"/>
        <rFont val="Calibri"/>
        <family val="2"/>
        <scheme val="minor"/>
      </rPr>
      <t xml:space="preserve"> theme.</t>
    </r>
  </si>
  <si>
    <t>Flow Diagram</t>
  </si>
  <si>
    <t xml:space="preserve">[01_Inputs] </t>
  </si>
  <si>
    <t xml:space="preserve">     ↓</t>
  </si>
  <si>
    <t>[02_Normalization] → [03_Beta_Calculation] → [04_CAPM] → [05_WACC]</t>
  </si>
  <si>
    <t>[06_DCF Model] → [07_Capitalization] → [08_Market Multiple] → [09_Asset-Based]</t>
  </si>
  <si>
    <t>[10_CSRP Scoring] → [11_DLOC_DLOM]</t>
  </si>
  <si>
    <t>[12_Valuation Summary]</t>
  </si>
  <si>
    <t>[13_Report Template]</t>
  </si>
  <si>
    <t>[14_Case Study] → [15_DB_SGX_Industry]</t>
  </si>
  <si>
    <t>Section 4: Quick Start Checklist</t>
  </si>
  <si>
    <t>Chapter 2 – Normalization</t>
  </si>
  <si>
    <t>Chapter 3 – Estimating Beta</t>
  </si>
  <si>
    <t>Chapter 5 – Weighted Average Cost of Capital</t>
  </si>
  <si>
    <t>Chapters 3, 10–11 – IRP, SCP, CSRP, DLOC, DLOM</t>
  </si>
  <si>
    <t>Chapter 6 – Integrated Valuation Flow</t>
  </si>
  <si>
    <t>Income Model - Capitalization</t>
  </si>
  <si>
    <t>Chapter 7 - Income Based</t>
  </si>
  <si>
    <t>Market Multiple Model</t>
  </si>
  <si>
    <t>Chapter 8 - Market Based</t>
  </si>
  <si>
    <t>Chapter 9 - Asset Based</t>
  </si>
  <si>
    <t>Asset Based Model</t>
  </si>
  <si>
    <t>Chapters 11 – Post-Valuation Adjustments</t>
  </si>
  <si>
    <t>Chapter 12 – Communicating Findings</t>
  </si>
  <si>
    <t>Chapter 13 – Stakeholder Reporting</t>
  </si>
  <si>
    <t>SGX database</t>
  </si>
  <si>
    <t>Chapter 15 - SGX listed companies</t>
  </si>
  <si>
    <t>Peers company</t>
  </si>
  <si>
    <t>Chapter 16 - Loading of peers company</t>
  </si>
  <si>
    <t>Chapter 14</t>
  </si>
  <si>
    <t>Chapter 17</t>
  </si>
  <si>
    <t>Chapter 19</t>
  </si>
  <si>
    <r>
      <t xml:space="preserve">SME Valuation Dashboard (Sheet: </t>
    </r>
    <r>
      <rPr>
        <b/>
        <sz val="10"/>
        <color theme="1"/>
        <rFont val="Arial Unicode MS"/>
      </rPr>
      <t>00_Dashboard</t>
    </r>
    <r>
      <rPr>
        <b/>
        <sz val="18"/>
        <color theme="1"/>
        <rFont val="Calibri"/>
        <family val="2"/>
        <scheme val="minor"/>
      </rPr>
      <t>)</t>
    </r>
  </si>
  <si>
    <t>🧭 Layout Overview</t>
  </si>
  <si>
    <t>Section</t>
  </si>
  <si>
    <t>Purpose</t>
  </si>
  <si>
    <t>Formatting Tips</t>
  </si>
  <si>
    <t>A: Key Inputs</t>
  </si>
  <si>
    <r>
      <t xml:space="preserve">Show all named inputs from </t>
    </r>
    <r>
      <rPr>
        <sz val="10"/>
        <color theme="1"/>
        <rFont val="Arial Unicode MS"/>
      </rPr>
      <t>01_Inputs</t>
    </r>
  </si>
  <si>
    <t>Use light blue header, bold labels</t>
  </si>
  <si>
    <t>B: Valuation Methods</t>
  </si>
  <si>
    <t>Show FMV &amp; FV results from each method</t>
  </si>
  <si>
    <t>Use side-by-side layout, color-coded</t>
  </si>
  <si>
    <t>C: Final Summary</t>
  </si>
  <si>
    <t>Show FMV vs FV per share, DLOC/DLOM</t>
  </si>
  <si>
    <t>Use bold fonts, highlight differences</t>
  </si>
  <si>
    <t>D: Visual Snapshot</t>
  </si>
  <si>
    <t>Optional chart (FMV vs FV comparison)</t>
  </si>
  <si>
    <t>Insert bar chart or heatmap</t>
  </si>
  <si>
    <t>MAS 10Y yield</t>
  </si>
  <si>
    <t>Equity Risk Premium</t>
  </si>
  <si>
    <t>NYU Stern</t>
  </si>
  <si>
    <t>Corporate Tax Rate</t>
  </si>
  <si>
    <t>Singapore default 17%</t>
  </si>
  <si>
    <t>From Beta Estimator</t>
  </si>
  <si>
    <t>From WACC Calculator</t>
  </si>
  <si>
    <t>From Normalization sheet</t>
  </si>
  <si>
    <t>Used for per-share calc</t>
  </si>
  <si>
    <t>Discount for lack of control</t>
  </si>
  <si>
    <t>Discount for marketability</t>
  </si>
  <si>
    <t>FMV (S$)</t>
  </si>
  <si>
    <t>FV (S$)</t>
  </si>
  <si>
    <t>Terminal value applied</t>
  </si>
  <si>
    <t>Capitalization</t>
  </si>
  <si>
    <t>Based on normalized earnings</t>
  </si>
  <si>
    <t>Peer benchmarked</t>
  </si>
  <si>
    <t>Metric</t>
  </si>
  <si>
    <t>From valuation summary</t>
  </si>
  <si>
    <t>Net Debt</t>
  </si>
  <si>
    <t>Collateralized property loan</t>
  </si>
  <si>
    <t>Before discounts</t>
  </si>
  <si>
    <t>Before DLOC/DLOM</t>
  </si>
  <si>
    <t>After DLOC/DLOM (FMV only)</t>
  </si>
  <si>
    <t>📈 Section D: Visual Snapshot</t>
  </si>
  <si>
    <r>
      <t xml:space="preserve">Insert a </t>
    </r>
    <r>
      <rPr>
        <b/>
        <sz val="11"/>
        <color theme="1"/>
        <rFont val="Calibri"/>
        <family val="2"/>
        <scheme val="minor"/>
      </rPr>
      <t>clustered bar chart</t>
    </r>
    <r>
      <rPr>
        <sz val="11"/>
        <color theme="1"/>
        <rFont val="Calibri"/>
        <family val="2"/>
        <scheme val="minor"/>
      </rPr>
      <t xml:space="preserve"> comparing FMV vs FV per method</t>
    </r>
  </si>
  <si>
    <t>Use color coding:</t>
  </si>
  <si>
    <t>FMV = Blue</t>
  </si>
  <si>
    <t>FV = Green</t>
  </si>
  <si>
    <t>Label axes:</t>
  </si>
  <si>
    <t>X-axis = Valuation Method</t>
  </si>
  <si>
    <t>Y-axis = Value (S$)</t>
  </si>
  <si>
    <r>
      <t xml:space="preserve">Title: </t>
    </r>
    <r>
      <rPr>
        <i/>
        <sz val="11"/>
        <color theme="1"/>
        <rFont val="Calibri"/>
        <family val="2"/>
        <scheme val="minor"/>
      </rPr>
      <t>“FMV vs FV Comparison by Method”</t>
    </r>
  </si>
  <si>
    <t>✅ Benefits</t>
  </si>
  <si>
    <r>
      <t xml:space="preserve">Gives users a </t>
    </r>
    <r>
      <rPr>
        <b/>
        <sz val="11"/>
        <color theme="1"/>
        <rFont val="Calibri"/>
        <family val="2"/>
        <scheme val="minor"/>
      </rPr>
      <t>one-screen summary</t>
    </r>
    <r>
      <rPr>
        <sz val="11"/>
        <color theme="1"/>
        <rFont val="Calibri"/>
        <family val="2"/>
        <scheme val="minor"/>
      </rPr>
      <t xml:space="preserve"> of valuation logic and results</t>
    </r>
  </si>
  <si>
    <r>
      <t xml:space="preserve">Reinforces your </t>
    </r>
    <r>
      <rPr>
        <b/>
        <sz val="11"/>
        <color theme="1"/>
        <rFont val="Calibri"/>
        <family val="2"/>
        <scheme val="minor"/>
      </rPr>
      <t>FMV vs FV framework</t>
    </r>
  </si>
  <si>
    <r>
      <t xml:space="preserve">Makes the toolkit </t>
    </r>
    <r>
      <rPr>
        <b/>
        <sz val="11"/>
        <color theme="1"/>
        <rFont val="Calibri"/>
        <family val="2"/>
        <scheme val="minor"/>
      </rPr>
      <t>presentation-ready</t>
    </r>
    <r>
      <rPr>
        <sz val="11"/>
        <color theme="1"/>
        <rFont val="Calibri"/>
        <family val="2"/>
        <scheme val="minor"/>
      </rPr>
      <t xml:space="preserve"> for clients, stakeholders, and regulators</t>
    </r>
  </si>
  <si>
    <t>Re-Levered Beta for subject company:</t>
  </si>
  <si>
    <t>Peer Group Criteria</t>
  </si>
  <si>
    <t>Classification</t>
  </si>
  <si>
    <t>Use Case</t>
  </si>
  <si>
    <t>Mainboard &gt; USD 300m market cap</t>
  </si>
  <si>
    <t>Industry Peers</t>
  </si>
  <si>
    <t>Benchmark for beta, IRP</t>
  </si>
  <si>
    <t>Mainboard &lt; USD 300m market cap OR Catalyst stocks</t>
  </si>
  <si>
    <t>Small-Size Peers</t>
  </si>
  <si>
    <t>Apply SCP adjustments</t>
  </si>
  <si>
    <t>Note: Always check market cap classification before computing risk premium</t>
  </si>
  <si>
    <t>Default classification</t>
  </si>
  <si>
    <t>If most industry peers &gt;$1000 million market cap</t>
  </si>
  <si>
    <r>
      <t xml:space="preserve">Remaining peers &lt;$1000 million </t>
    </r>
    <r>
      <rPr>
        <sz val="11"/>
        <color theme="1"/>
        <rFont val="Calibri"/>
        <family val="2"/>
      </rPr>
      <t>→ small-size peers</t>
    </r>
  </si>
  <si>
    <t>override rule for Industry-wide scaling</t>
  </si>
  <si>
    <t>Profile</t>
  </si>
  <si>
    <t>Live streaming</t>
  </si>
  <si>
    <t>AZG</t>
  </si>
  <si>
    <t>Supply chain management</t>
  </si>
  <si>
    <t>telecom infrastructure</t>
  </si>
  <si>
    <t>F&amp;B</t>
  </si>
  <si>
    <t>remarks</t>
  </si>
  <si>
    <t>Swensen ice cream</t>
  </si>
  <si>
    <t>Print &amp; Paper Management</t>
  </si>
  <si>
    <t>Environment Solutions</t>
  </si>
  <si>
    <t>incl waste management</t>
  </si>
  <si>
    <t>Plastic Injection Moulding</t>
  </si>
  <si>
    <t>Satellite Communications</t>
  </si>
  <si>
    <t>Oil &amp; Gas</t>
  </si>
  <si>
    <t>Semiconductor</t>
  </si>
  <si>
    <t>Facilities Management, Workforce management</t>
  </si>
  <si>
    <t>Property &amp; Hospitality</t>
  </si>
  <si>
    <t>Property Development</t>
  </si>
  <si>
    <t>n</t>
  </si>
  <si>
    <t>Active, Non-active or Suspended</t>
  </si>
  <si>
    <t>Investment Holdings</t>
  </si>
  <si>
    <t>Real Estate, Investment, F&amp;B,Biomedical</t>
  </si>
  <si>
    <t>Investment Properties</t>
  </si>
  <si>
    <t>Real estate brokerage</t>
  </si>
  <si>
    <t>Property Development &amp; Investment</t>
  </si>
  <si>
    <t>Cement</t>
  </si>
  <si>
    <t>Property Development &amp; Hospitality</t>
  </si>
  <si>
    <t>Design specialty, Property Development</t>
  </si>
  <si>
    <t>Investment holdings, General Contractor</t>
  </si>
  <si>
    <t>Design specialty, Building Construction, Prefab, Property investment</t>
  </si>
  <si>
    <t>Property Development, Investment &amp; Hospitality</t>
  </si>
  <si>
    <t xml:space="preserve">Investment Holdings </t>
  </si>
  <si>
    <t>cambodia</t>
  </si>
  <si>
    <t>Cement &amp; Aluminium extrusion</t>
  </si>
  <si>
    <t>Kazasthan</t>
  </si>
  <si>
    <t>Facilities management &amp; Property Development</t>
  </si>
  <si>
    <t>Roofing &amp; wall clading supplies</t>
  </si>
  <si>
    <t>Property Development, hospitality &amp; Investment</t>
  </si>
  <si>
    <t>Manufacturing &amp; sale of building materials</t>
  </si>
  <si>
    <t>Property Investment &amp; Development</t>
  </si>
  <si>
    <t>Vietnam &amp; spore</t>
  </si>
  <si>
    <t>Investment Properties, Hospitality &amp; Development</t>
  </si>
  <si>
    <t>Investment Properties &amp; short term lodging</t>
  </si>
  <si>
    <t>1U8</t>
  </si>
  <si>
    <t>RichCapital</t>
  </si>
  <si>
    <t>Property consultancy &amp; hospitality management</t>
  </si>
  <si>
    <t>Property Investment &amp; Hospitality</t>
  </si>
  <si>
    <t>Marble material</t>
  </si>
  <si>
    <t>Property Investment &amp; Facilities management</t>
  </si>
  <si>
    <t>Property Investment &amp; Development (under MCL Land)</t>
  </si>
  <si>
    <t>Investment &amp; Property Development</t>
  </si>
  <si>
    <t>Property Management, Hotel</t>
  </si>
  <si>
    <t>Property Development, Construction &amp; Investment, Management</t>
  </si>
  <si>
    <t>Investment Property</t>
  </si>
  <si>
    <t>Selected for the risk premium calculation:</t>
  </si>
  <si>
    <t>Total Mkt Cap $m</t>
  </si>
  <si>
    <t>Yahoo/SGX data with 5Y-Beta (in Million)</t>
  </si>
  <si>
    <t>Sh price on 31 Decc 2025</t>
  </si>
  <si>
    <t>Percentage +ve drop/-ve increase (%)</t>
  </si>
  <si>
    <t>Financial Year Ending</t>
  </si>
  <si>
    <t>Average 5Y Dividend yield (%)</t>
  </si>
  <si>
    <t>Assumption:</t>
  </si>
  <si>
    <t>Malaysia Corp Tax rate (T) =</t>
  </si>
  <si>
    <t>Malaysia 1 MYR/S$ =</t>
  </si>
  <si>
    <t>Singapore Corp Tax rate (T)</t>
  </si>
  <si>
    <t>How to draw out public listed companies comparables from your toolkit:</t>
  </si>
  <si>
    <t>-In this example: Select Industry [Real Estate], SubIndustry [Real Estate Development and Real Estate Services], Profile [Property Development] [Design Specialty] [Building Material-Marble]</t>
  </si>
  <si>
    <t>1. Select Worksheet [DB_SGX_Industry]</t>
  </si>
  <si>
    <t xml:space="preserve">2. Select from [DB_SGX_Industry] -(i) "active" in column B (ii) both "m" and "c" in Column C (iii) "Real Estate" in Column D (iv) "Real Estate Development" in Column E and (v) "Property Development" &amp; "Design (vi) "SGD" &amp; "MYR" Specialty" and "Marble" </t>
  </si>
  <si>
    <t>After checking the dropdown to select items in each column with the steps (i) to (vi):</t>
  </si>
  <si>
    <t>Fill in the listed companies market and financial data into each columns.  The data can be obtained from either SGX or Yahoo Finance.</t>
  </si>
  <si>
    <t>Next After completed filled in all the data into each companies, move those companies with market capitalization of less than S$300 million in the Mainboard ("m") to the Catalyst ("c") rows:</t>
  </si>
  <si>
    <t>mainboard (m) or catalyst (c)</t>
  </si>
  <si>
    <t>Factors to adjust as of (April 2026):</t>
  </si>
  <si>
    <t>1. Cost Factor (Increase Risk)</t>
  </si>
  <si>
    <t>2. Capital Flow Factor (Decrease Risk): Heightened tensions can cause a flight to safety, where wealthy individuals and investors move capital into Singapore, increasing property demand</t>
  </si>
  <si>
    <t>3. Valuation Factor (Mixed): A prolonged conflict might cause higher inflation, raising long-term borrowing costs, which is negative for S-REITs</t>
  </si>
  <si>
    <t>4. Suggested Adjustment Magnitude:</t>
  </si>
  <si>
    <t>4a. If the REIT has high exposure to Industrial/logistics assets: -Increase beta by +0.05 to +0.10 to account for supply chain disruption risks, despite potential logistical benefits.</t>
  </si>
  <si>
    <t>4b. If the REIT is a prime office/residential "Safe Haven" play: The beta might actually remain stable or slightly decrease due to capital inflows, but the higher interest rate environment suggests a modest increase of +0.05 to account for valuation volatility.</t>
  </si>
  <si>
    <r>
      <rPr>
        <b/>
        <sz val="11"/>
        <color theme="1"/>
        <rFont val="Calibri"/>
        <family val="2"/>
        <scheme val="minor"/>
      </rPr>
      <t>Summary Recommendation</t>
    </r>
    <r>
      <rPr>
        <sz val="11"/>
        <color theme="1"/>
        <rFont val="Calibri"/>
        <family val="2"/>
        <scheme val="minor"/>
      </rPr>
      <t>: Instead of a straight addition to the final levered beta, increase the Unlevered Beta of the comparable peer set by a factor reflecting your specific risk scenario (e.g. 5-10%) higher for a moderate risk scenario then re-lever it.</t>
    </r>
  </si>
  <si>
    <r>
      <rPr>
        <b/>
        <sz val="11"/>
        <color theme="1"/>
        <rFont val="Calibri"/>
        <family val="2"/>
        <scheme val="minor"/>
      </rPr>
      <t>Adjustments</t>
    </r>
    <r>
      <rPr>
        <sz val="11"/>
        <color theme="1"/>
        <rFont val="Calibri"/>
        <family val="2"/>
        <scheme val="minor"/>
      </rPr>
      <t xml:space="preserve"> of unlevered beta (UB) due to the Middle East Conflict which may have a negative effect on the Singapore Real Estate Industry:</t>
    </r>
  </si>
  <si>
    <t>31st Dec 2025</t>
  </si>
  <si>
    <t>Market Risk Premia - Equity Risk Premium</t>
  </si>
  <si>
    <t>Target Company</t>
  </si>
  <si>
    <t>Total Equity ( e )</t>
  </si>
  <si>
    <t>Total Debt ( d )</t>
  </si>
  <si>
    <t>Unlevering target company beta based on comparable peer(s) unlevered beta using the following conversion:</t>
  </si>
  <si>
    <t>ꞵu</t>
  </si>
  <si>
    <t>ꞵu - unlevered beta of average comparables peer(s). (Obtained from Worksheet 03. Beta computation)</t>
  </si>
  <si>
    <t>d/e</t>
  </si>
  <si>
    <t>ꞵl = ꞵu [1 + (1-T)*d/e]</t>
  </si>
  <si>
    <t>ꞵl -Re-Levered beta of target company</t>
  </si>
  <si>
    <t>Therefore,   ꞵl =</t>
  </si>
  <si>
    <t>Calculate the Risk premium for Industry &amp; Small Size Companies:</t>
  </si>
  <si>
    <t>Updating the CAPM model in Worksheet [04_CAPM] :</t>
  </si>
  <si>
    <t xml:space="preserve">Setting up Market Peers Comparables.  </t>
  </si>
  <si>
    <t>In this case, there are two listed companies of the similar business activities which is Design specialty i.e. Figtree and GRC.  Compare their Gross Revenue, EBITDA, Total Assets, FCF, Total Debts and Total Equity, you will find that Figtree is the more relevant for the Market Approach method for valuation.</t>
  </si>
  <si>
    <r>
      <t>where R</t>
    </r>
    <r>
      <rPr>
        <i/>
        <sz val="11"/>
        <color theme="1"/>
        <rFont val="Calibri"/>
        <family val="2"/>
        <scheme val="minor"/>
      </rPr>
      <t>f</t>
    </r>
    <r>
      <rPr>
        <sz val="11"/>
        <color theme="1"/>
        <rFont val="Calibri"/>
        <family val="2"/>
        <scheme val="minor"/>
      </rPr>
      <t xml:space="preserve"> is the risk free rate premium, K</t>
    </r>
    <r>
      <rPr>
        <i/>
        <sz val="11"/>
        <color theme="1"/>
        <rFont val="Calibri"/>
        <family val="2"/>
        <scheme val="minor"/>
      </rPr>
      <t>e</t>
    </r>
    <r>
      <rPr>
        <sz val="11"/>
        <color theme="1"/>
        <rFont val="Calibri"/>
        <family val="2"/>
        <scheme val="minor"/>
      </rPr>
      <t xml:space="preserve"> is the Cost of Equity of the </t>
    </r>
    <r>
      <rPr>
        <u/>
        <sz val="11"/>
        <color theme="1"/>
        <rFont val="Calibri"/>
        <family val="2"/>
        <scheme val="minor"/>
      </rPr>
      <t>target company</t>
    </r>
  </si>
  <si>
    <r>
      <t xml:space="preserve">WACC (Weighted Average Cost of Capital) used with </t>
    </r>
    <r>
      <rPr>
        <b/>
        <u/>
        <sz val="11"/>
        <color theme="1"/>
        <rFont val="Calibri"/>
        <family val="2"/>
        <scheme val="minor"/>
      </rPr>
      <t>unlevered Free Cash Flow</t>
    </r>
    <r>
      <rPr>
        <sz val="11"/>
        <color theme="1"/>
        <rFont val="Calibri"/>
        <family val="2"/>
        <scheme val="minor"/>
      </rPr>
      <t xml:space="preserve"> (FCFF) to find Total Firm Value.  Whereas, Ke (cost of equity) is used with Levered FCF (FCFE).</t>
    </r>
  </si>
  <si>
    <t>Use the current yield-to-maturity (YTM) on the company's long term debt or the interest rate on similar debt in the market.  Do not use re-levered beta for the cost of debt; cost of debt is based on market interest rates, not systematic risk.</t>
  </si>
  <si>
    <r>
      <t xml:space="preserve">- </t>
    </r>
    <r>
      <rPr>
        <b/>
        <sz val="11"/>
        <color theme="1"/>
        <rFont val="Calibri"/>
        <family val="2"/>
        <scheme val="minor"/>
      </rPr>
      <t>Levered FCF (FCFE)</t>
    </r>
    <r>
      <rPr>
        <sz val="11"/>
        <color theme="1"/>
        <rFont val="Calibri"/>
        <family val="2"/>
        <scheme val="minor"/>
      </rPr>
      <t>: Cash flow available specifically to shareholders after interest payments and debt repayment.</t>
    </r>
  </si>
  <si>
    <r>
      <t xml:space="preserve">- </t>
    </r>
    <r>
      <rPr>
        <b/>
        <sz val="11"/>
        <color theme="1"/>
        <rFont val="Calibri"/>
        <family val="2"/>
        <scheme val="minor"/>
      </rPr>
      <t>Unlevered FCF (FCFF)</t>
    </r>
    <r>
      <rPr>
        <sz val="11"/>
        <color theme="1"/>
        <rFont val="Calibri"/>
        <family val="2"/>
        <scheme val="minor"/>
      </rPr>
      <t>: Cash flow available to all investors (debt and equity) before interest payments</t>
    </r>
  </si>
  <si>
    <r>
      <t>Cost of Debt (D</t>
    </r>
    <r>
      <rPr>
        <i/>
        <sz val="11"/>
        <color theme="1"/>
        <rFont val="Calibri"/>
        <family val="2"/>
        <scheme val="minor"/>
      </rPr>
      <t>e</t>
    </r>
    <r>
      <rPr>
        <sz val="11"/>
        <color theme="1"/>
        <rFont val="Calibri"/>
        <family val="2"/>
        <scheme val="minor"/>
      </rPr>
      <t>)</t>
    </r>
  </si>
  <si>
    <r>
      <t>Cost of equity (K</t>
    </r>
    <r>
      <rPr>
        <i/>
        <sz val="11"/>
        <color theme="1"/>
        <rFont val="Calibri"/>
        <family val="2"/>
        <scheme val="minor"/>
      </rPr>
      <t>e</t>
    </r>
    <r>
      <rPr>
        <sz val="11"/>
        <color theme="1"/>
        <rFont val="Calibri"/>
        <family val="2"/>
        <scheme val="minor"/>
      </rPr>
      <t>)</t>
    </r>
  </si>
  <si>
    <t>WACC for DCF Valuation Method.  WACC obtained from [05_WACC] and [10_CSRP Scoring]</t>
  </si>
  <si>
    <r>
      <t>How to arrive at the cost of debt (D</t>
    </r>
    <r>
      <rPr>
        <b/>
        <i/>
        <sz val="11"/>
        <color theme="1"/>
        <rFont val="Calibri"/>
        <family val="2"/>
        <scheme val="minor"/>
      </rPr>
      <t>e</t>
    </r>
    <r>
      <rPr>
        <b/>
        <sz val="11"/>
        <color theme="1"/>
        <rFont val="Calibri"/>
        <family val="2"/>
        <scheme val="minor"/>
      </rPr>
      <t>)?</t>
    </r>
  </si>
  <si>
    <r>
      <rPr>
        <b/>
        <sz val="11"/>
        <color theme="1"/>
        <rFont val="Calibri"/>
        <family val="2"/>
        <scheme val="minor"/>
      </rPr>
      <t>K</t>
    </r>
    <r>
      <rPr>
        <b/>
        <i/>
        <sz val="11"/>
        <color theme="1"/>
        <rFont val="Calibri"/>
        <family val="2"/>
        <scheme val="minor"/>
      </rPr>
      <t>e</t>
    </r>
    <r>
      <rPr>
        <sz val="11"/>
        <color theme="1"/>
        <rFont val="Calibri"/>
        <family val="2"/>
        <scheme val="minor"/>
      </rPr>
      <t xml:space="preserve"> therefore = Rf + (ꞵl X ERP) =</t>
    </r>
  </si>
  <si>
    <r>
      <t xml:space="preserve">Note: </t>
    </r>
    <r>
      <rPr>
        <b/>
        <sz val="11"/>
        <color theme="1"/>
        <rFont val="Calibri"/>
        <family val="2"/>
        <scheme val="minor"/>
      </rPr>
      <t>K</t>
    </r>
    <r>
      <rPr>
        <b/>
        <i/>
        <sz val="11"/>
        <color theme="1"/>
        <rFont val="Calibri"/>
        <family val="2"/>
        <scheme val="minor"/>
      </rPr>
      <t>e</t>
    </r>
    <r>
      <rPr>
        <sz val="11"/>
        <color theme="1"/>
        <rFont val="Calibri"/>
        <family val="2"/>
        <scheme val="minor"/>
      </rPr>
      <t xml:space="preserve"> is a component of WACC.  Cost of debt is usually determined by the interest rate on existing debt or yield-to-maturity on bonds.</t>
    </r>
  </si>
  <si>
    <t>Compute the Company-Specific Risk Premium (CSRP):</t>
  </si>
  <si>
    <t>Manpower</t>
  </si>
  <si>
    <t xml:space="preserve">- This figures is obtained from Worksheet [10_CSRP_Scoring]. Use your professional judgement.  </t>
  </si>
  <si>
    <t>Company Type</t>
  </si>
  <si>
    <t>Likely Decile</t>
  </si>
  <si>
    <t>Typical Size Premium (2025)</t>
  </si>
  <si>
    <t>City Developments, UOL, CapitaLand</t>
  </si>
  <si>
    <t>Decile 2–4 (large caps)</t>
  </si>
  <si>
    <t>~0.8%–1.5%</t>
  </si>
  <si>
    <t>Wing Tai, Ho Bee Land, Sing Holdings</t>
  </si>
  <si>
    <t>Decile 5–7 (mid caps)</t>
  </si>
  <si>
    <t>~1.5%–2.5%</t>
  </si>
  <si>
    <t>Oxley, Low Keng Huat, niche developers</t>
  </si>
  <si>
    <t>Decile 8–10 (small caps)</t>
  </si>
  <si>
    <t>~2.5%–4.0%</t>
  </si>
  <si>
    <t>What’s Publicly Known</t>
  </si>
  <si>
    <r>
      <t xml:space="preserve">The </t>
    </r>
    <r>
      <rPr>
        <b/>
        <sz val="11"/>
        <color theme="1"/>
        <rFont val="Calibri"/>
        <family val="2"/>
        <scheme val="minor"/>
      </rPr>
      <t>pattern</t>
    </r>
    <r>
      <rPr>
        <sz val="11"/>
        <color theme="1"/>
        <rFont val="Calibri"/>
        <family val="2"/>
        <scheme val="minor"/>
      </rPr>
      <t xml:space="preserve"> is consistent year to year: smaller firms → higher premiums.</t>
    </r>
  </si>
  <si>
    <t>For Singapore real estate developers:</t>
  </si>
  <si>
    <r>
      <t>Large caps (City Developments, UOL, CapitaLand)</t>
    </r>
    <r>
      <rPr>
        <sz val="11"/>
        <color theme="1"/>
        <rFont val="Calibri"/>
        <family val="2"/>
        <scheme val="minor"/>
      </rPr>
      <t xml:space="preserve"> → ~0.8–1.5%</t>
    </r>
  </si>
  <si>
    <r>
      <t>Mid caps (Wing Tai, Ho Bee Land)</t>
    </r>
    <r>
      <rPr>
        <sz val="11"/>
        <color theme="1"/>
        <rFont val="Calibri"/>
        <family val="2"/>
        <scheme val="minor"/>
      </rPr>
      <t xml:space="preserve"> → ~1.5–2.5%</t>
    </r>
  </si>
  <si>
    <r>
      <t>Small caps (Oxley, Low Keng Huat, niche firms)</t>
    </r>
    <r>
      <rPr>
        <sz val="11"/>
        <color theme="1"/>
        <rFont val="Calibri"/>
        <family val="2"/>
        <scheme val="minor"/>
      </rPr>
      <t xml:space="preserve"> → ~2.5–4.0%</t>
    </r>
  </si>
  <si>
    <t>My size cap risk premium is based on unlevered beta X ERP, which is not a standard:</t>
  </si>
  <si>
    <t>“Our computed size premium of 2.66% (based on SGX small-cap betas × ERP) aligns with the empirical ranges published annually by Duff &amp; Phelps (Kroll) for Decile 8–9 firms in Singapore, which typically fall between 2.5% and 4.0%.”</t>
  </si>
  <si>
    <t>How Duff &amp; Phelps / Morningstar Derive Size Premium</t>
  </si>
  <si>
    <t>Step 1: Portfolio formation</t>
  </si>
  <si>
    <t>All listed firms are ranked by market capitalization.</t>
  </si>
  <si>
    <r>
      <t xml:space="preserve">They are divided into </t>
    </r>
    <r>
      <rPr>
        <b/>
        <sz val="11"/>
        <color theme="1"/>
        <rFont val="Calibri"/>
        <family val="2"/>
        <scheme val="minor"/>
      </rPr>
      <t>deciles (10 groups)</t>
    </r>
    <r>
      <rPr>
        <sz val="11"/>
        <color theme="1"/>
        <rFont val="Calibri"/>
        <family val="2"/>
        <scheme val="minor"/>
      </rPr>
      <t xml:space="preserve"> or sometimes finer “breakpoints.”</t>
    </r>
  </si>
  <si>
    <t>Step 2: Historical return analysis</t>
  </si>
  <si>
    <r>
      <t xml:space="preserve">Each decile’s </t>
    </r>
    <r>
      <rPr>
        <b/>
        <sz val="11"/>
        <color theme="1"/>
        <rFont val="Calibri"/>
        <family val="2"/>
        <scheme val="minor"/>
      </rPr>
      <t>average historical return</t>
    </r>
    <r>
      <rPr>
        <sz val="11"/>
        <color theme="1"/>
        <rFont val="Calibri"/>
        <family val="2"/>
        <scheme val="minor"/>
      </rPr>
      <t xml:space="preserve"> is calculated over decades (using CRSP data in the U.S., then extended internationally).</t>
    </r>
  </si>
  <si>
    <t>Step 3: CAPM comparison</t>
  </si>
  <si>
    <t>For each decile, the expected return under CAPM is computed:</t>
  </si>
  <si>
    <t>E(R)=Rf+β×ERP</t>
  </si>
  <si>
    <r>
      <t xml:space="preserve">The </t>
    </r>
    <r>
      <rPr>
        <b/>
        <sz val="11"/>
        <color theme="1"/>
        <rFont val="Calibri"/>
        <family val="2"/>
        <scheme val="minor"/>
      </rPr>
      <t>actual average return</t>
    </r>
    <r>
      <rPr>
        <sz val="11"/>
        <color theme="1"/>
        <rFont val="Calibri"/>
        <family val="2"/>
        <scheme val="minor"/>
      </rPr>
      <t xml:space="preserve"> is compared against this CAPM prediction.</t>
    </r>
  </si>
  <si>
    <t>Step 4: Excess return = Size Premium</t>
  </si>
  <si>
    <r>
      <t xml:space="preserve">The difference (actual – CAPM) is the </t>
    </r>
    <r>
      <rPr>
        <b/>
        <sz val="11"/>
        <color theme="1"/>
        <rFont val="Calibri"/>
        <family val="2"/>
        <scheme val="minor"/>
      </rPr>
      <t>empirical size premium</t>
    </r>
    <r>
      <rPr>
        <sz val="11"/>
        <color theme="1"/>
        <rFont val="Calibri"/>
        <family val="2"/>
        <scheme val="minor"/>
      </rPr>
      <t>.</t>
    </r>
  </si>
  <si>
    <t>Example: If CAPM predicts 8% but the decile historically earned 10%, the size premium is 2%.</t>
  </si>
  <si>
    <t>✅ Formula (conceptual)</t>
  </si>
  <si>
    <t>Size Premium=Average Historical Return of Decile−CAPM Predicted Return</t>
  </si>
  <si>
    <t>Formula for Historical Return of a Stock</t>
  </si>
  <si>
    <t>For a given stock i in year t:</t>
  </si>
  <si>
    <t>Ri,t=Pi,t−Pi,t−1+Di,tPi,t−1</t>
  </si>
  <si>
    <t>Where:</t>
  </si>
  <si>
    <t>Pi,t = price at end of year t</t>
  </si>
  <si>
    <t>Pi,t−1 = price at end of year t−1</t>
  </si>
  <si>
    <t>Di,t = dividends paid during year t</t>
  </si>
  <si>
    <r>
      <t xml:space="preserve">This gives the </t>
    </r>
    <r>
      <rPr>
        <b/>
        <sz val="11"/>
        <color theme="1"/>
        <rFont val="Calibri"/>
        <family val="2"/>
        <scheme val="minor"/>
      </rPr>
      <t>total return</t>
    </r>
    <r>
      <rPr>
        <sz val="11"/>
        <color theme="1"/>
        <rFont val="Calibri"/>
        <family val="2"/>
        <scheme val="minor"/>
      </rPr>
      <t xml:space="preserve"> (capital gain + dividend yield).</t>
    </r>
  </si>
  <si>
    <t>📊 Portfolio (Decile) Return</t>
  </si>
  <si>
    <t>Once you have returns for all stocks in a decile (e.g., small-cap SGX firms):</t>
  </si>
  <si>
    <t>Rdecile,t=1N∑i=1NRi,t</t>
  </si>
  <si>
    <t>N = number of firms in the decile</t>
  </si>
  <si>
    <t>Ri,t = return of firm i in year t</t>
  </si>
  <si>
    <r>
      <t xml:space="preserve">This is the </t>
    </r>
    <r>
      <rPr>
        <b/>
        <sz val="11"/>
        <color theme="1"/>
        <rFont val="Calibri"/>
        <family val="2"/>
        <scheme val="minor"/>
      </rPr>
      <t>average annual return</t>
    </r>
    <r>
      <rPr>
        <sz val="11"/>
        <color theme="1"/>
        <rFont val="Calibri"/>
        <family val="2"/>
        <scheme val="minor"/>
      </rPr>
      <t xml:space="preserve"> of the decile portfolio.</t>
    </r>
  </si>
  <si>
    <t>📈 Average Historical Return</t>
  </si>
  <si>
    <t>Over multiple years (say 10–20 years):</t>
  </si>
  <si>
    <t>Rˉdecile=1T∑t=1TRdecile,t</t>
  </si>
  <si>
    <t>T = number of years in the study</t>
  </si>
  <si>
    <t>Rˉdecile = average historical return of the decile</t>
  </si>
  <si>
    <t>🔄 Next Step (Size Premium)</t>
  </si>
  <si>
    <r>
      <t xml:space="preserve">Once you have Rˉdecile, you compare it against the </t>
    </r>
    <r>
      <rPr>
        <b/>
        <sz val="11"/>
        <color theme="1"/>
        <rFont val="Calibri"/>
        <family val="2"/>
        <scheme val="minor"/>
      </rPr>
      <t>CAPM-predicted return</t>
    </r>
    <r>
      <rPr>
        <sz val="11"/>
        <color theme="1"/>
        <rFont val="Calibri"/>
        <family val="2"/>
        <scheme val="minor"/>
      </rPr>
      <t>:</t>
    </r>
  </si>
  <si>
    <t>Size Premium=Rˉdecile−(Rf+βdecile×ERP)</t>
  </si>
  <si>
    <r>
      <t xml:space="preserve">That difference is the </t>
    </r>
    <r>
      <rPr>
        <b/>
        <sz val="11"/>
        <color theme="1"/>
        <rFont val="Calibri"/>
        <family val="2"/>
        <scheme val="minor"/>
      </rPr>
      <t>empirical size premium</t>
    </r>
    <r>
      <rPr>
        <sz val="11"/>
        <color theme="1"/>
        <rFont val="Calibri"/>
        <family val="2"/>
        <scheme val="minor"/>
      </rPr>
      <t>.</t>
    </r>
  </si>
  <si>
    <t>Step 1: Formula for Annual Return</t>
  </si>
  <si>
    <t>Rt=Pt−Pt−1+DtPt−1</t>
  </si>
  <si>
    <t>Pt = price at end of year t</t>
  </si>
  <si>
    <t>Pt−1 = price at end of year t−1</t>
  </si>
  <si>
    <t>Dt = dividends paid during year t (often zero for SGX small caps)</t>
  </si>
  <si>
    <t>If no dividends:</t>
  </si>
  <si>
    <t>Rt=Pt−Pt−1Pt−1</t>
  </si>
  <si>
    <t>📊 Step 2: Example — Oxley Holdings (hypothetical prices)</t>
  </si>
  <si>
    <t>Price at end 2023: SGD 0.12</t>
  </si>
  <si>
    <t>Price at end 2024: SGD 0.15</t>
  </si>
  <si>
    <t>Price at end 2025: SGD 0.13</t>
  </si>
  <si>
    <t>Dividends: none</t>
  </si>
  <si>
    <t>2024 return:</t>
  </si>
  <si>
    <t>R2024=0.15−0.120.12=0.25=25%</t>
  </si>
  <si>
    <t>2025 return:</t>
  </si>
  <si>
    <t>R2025=0.13−0.150.15=−0.133=−13.3%</t>
  </si>
  <si>
    <t>📈 Step 3: Average Historical Return</t>
  </si>
  <si>
    <t>If we take 2024 and 2025 only:</t>
  </si>
  <si>
    <t>Rˉ=25%+(−13.3%)2=5.85%</t>
  </si>
  <si>
    <t>Over a longer horizon (say 10–20 years), you would compute this average across all years.</t>
  </si>
  <si>
    <t>🔄 Step 4: Compare Against CAPM</t>
  </si>
  <si>
    <t>Suppose Oxley’s beta = 0.8, risk-free rate = 2.2%, ERP = 4.6%:</t>
  </si>
  <si>
    <t>E(R)CAPM=2.2%+0.8×4.6%=5.88%</t>
  </si>
  <si>
    <t>Size Premium = Actual Average Return – CAPM Predicted Return</t>
  </si>
  <si>
    <t>=5.85%−5.88%≈−0.03%</t>
  </si>
  <si>
    <r>
      <t xml:space="preserve">In this short sample, the premium is negligible. But over decades, small-cap portfolios usually show </t>
    </r>
    <r>
      <rPr>
        <b/>
        <sz val="11"/>
        <color theme="1"/>
        <rFont val="Calibri"/>
        <family val="2"/>
        <scheme val="minor"/>
      </rPr>
      <t>positive excess returns</t>
    </r>
    <r>
      <rPr>
        <sz val="11"/>
        <color theme="1"/>
        <rFont val="Calibri"/>
        <family val="2"/>
        <scheme val="minor"/>
      </rPr>
      <t xml:space="preserve"> (2–4%), which is what Duff &amp; Phelps reports.</t>
    </r>
  </si>
  <si>
    <t>✅ Key Takeaway</t>
  </si>
  <si>
    <r>
      <t>Formula for historical return</t>
    </r>
    <r>
      <rPr>
        <sz val="11"/>
        <color theme="1"/>
        <rFont val="Calibri"/>
        <family val="2"/>
        <scheme val="minor"/>
      </rPr>
      <t xml:space="preserve"> is straightforward: price change ÷ prior price (plus dividends if any).</t>
    </r>
  </si>
  <si>
    <r>
      <t>Portfolio average</t>
    </r>
    <r>
      <rPr>
        <sz val="11"/>
        <color theme="1"/>
        <rFont val="Calibri"/>
        <family val="2"/>
        <scheme val="minor"/>
      </rPr>
      <t xml:space="preserve"> across small-cap firms gives the decile return.</t>
    </r>
  </si>
  <si>
    <r>
      <t>Size premium</t>
    </r>
    <r>
      <rPr>
        <sz val="11"/>
        <color theme="1"/>
        <rFont val="Calibri"/>
        <family val="2"/>
        <scheme val="minor"/>
      </rPr>
      <t xml:space="preserve"> = historical average return – CAPM predicted return.</t>
    </r>
  </si>
  <si>
    <t>Even if dividends are zero, the method works fine — you just rely on price appreciation.</t>
  </si>
  <si>
    <r>
      <t xml:space="preserve">let’s set up a </t>
    </r>
    <r>
      <rPr>
        <b/>
        <sz val="11"/>
        <color theme="1"/>
        <rFont val="Calibri"/>
        <family val="2"/>
        <scheme val="minor"/>
      </rPr>
      <t>spreadsheet-ready formula</t>
    </r>
    <r>
      <rPr>
        <sz val="11"/>
        <color theme="1"/>
        <rFont val="Calibri"/>
        <family val="2"/>
        <scheme val="minor"/>
      </rPr>
      <t xml:space="preserve"> so you can compute historical returns for SGX small-cap stocks, even when dividends are zero.</t>
    </r>
  </si>
  <si>
    <t>📌 Step 1: Annual Return Formula</t>
  </si>
  <si>
    <t>For each stock i in year t:</t>
  </si>
  <si>
    <t>Pi,t = closing price at end of year t</t>
  </si>
  <si>
    <t>Pi,t−1 = closing price at end of year t−1</t>
  </si>
  <si>
    <r>
      <t xml:space="preserve">Di,t = dividends paid during year t (often </t>
    </r>
    <r>
      <rPr>
        <b/>
        <sz val="11"/>
        <color theme="1"/>
        <rFont val="Calibri"/>
        <family val="2"/>
        <scheme val="minor"/>
      </rPr>
      <t>0</t>
    </r>
    <r>
      <rPr>
        <sz val="11"/>
        <color theme="1"/>
        <rFont val="Calibri"/>
        <family val="2"/>
        <scheme val="minor"/>
      </rPr>
      <t xml:space="preserve"> for SGX small caps)</t>
    </r>
  </si>
  <si>
    <t>👉 If no dividends:</t>
  </si>
  <si>
    <t>Ri,t=Pi,t−Pi,t−1Pi,t−1</t>
  </si>
  <si>
    <t>📊 Step 2: Portfolio (Decile) Return</t>
  </si>
  <si>
    <t>If you group several small-cap firms into a portfolio (say, Decile 9):</t>
  </si>
  <si>
    <t>Where N = number of firms in the decile.</t>
  </si>
  <si>
    <t>Over multiple years:</t>
  </si>
  <si>
    <t>Where T = number of years.</t>
  </si>
  <si>
    <t>🧮 Spreadsheet Setup</t>
  </si>
  <si>
    <t>Here’s how you can structure it in Excel:</t>
  </si>
  <si>
    <t>Year</t>
  </si>
  <si>
    <t>Price (Start)</t>
  </si>
  <si>
    <t>Price (End)</t>
  </si>
  <si>
    <t>Dividend</t>
  </si>
  <si>
    <t>Annual Return Formula</t>
  </si>
  <si>
    <t>=(0.15-0.12+0)/0.12 → 25%</t>
  </si>
  <si>
    <t>2024</t>
  </si>
  <si>
    <t>=(0.13-0.15+0)/0.15 → -13.3%</t>
  </si>
  <si>
    <r>
      <t xml:space="preserve">Then average across years: </t>
    </r>
    <r>
      <rPr>
        <sz val="10"/>
        <color theme="1"/>
        <rFont val="Arial Unicode MS"/>
      </rPr>
      <t>=AVERAGE(Return_2023, Return_2024, …)</t>
    </r>
  </si>
  <si>
    <t>🔄 Step 4: Size Premium</t>
  </si>
  <si>
    <t>Once you have the average historical return for the decile:</t>
  </si>
  <si>
    <t>✅ This way, you can replicate the Duff &amp; Phelps methodology locally using SGX data. Even if dividends are zero, the formula works fine — you just rely on price appreciation.</t>
  </si>
  <si>
    <r>
      <t xml:space="preserve">Would you like me to </t>
    </r>
    <r>
      <rPr>
        <b/>
        <sz val="11"/>
        <color theme="1"/>
        <rFont val="Calibri"/>
        <family val="2"/>
        <scheme val="minor"/>
      </rPr>
      <t>design a ready-to-use Excel template layout</t>
    </r>
    <r>
      <rPr>
        <sz val="11"/>
        <color theme="1"/>
        <rFont val="Calibri"/>
        <family val="2"/>
        <scheme val="minor"/>
      </rPr>
      <t xml:space="preserve"> (with formulas already embedded for annual return, portfolio average, and size premium) so you can drop in SGX stock prices and instantly compute the historical return series?</t>
    </r>
  </si>
  <si>
    <t>Spreadsheet Layout</t>
  </si>
  <si>
    <t>Sheet: Annual Returns</t>
  </si>
  <si>
    <t>=(C2-B2+D2)/B2 → 25%</t>
  </si>
  <si>
    <t>2025</t>
  </si>
  <si>
    <t>=(C4-B4+D4)/B4 → 7.7%</t>
  </si>
  <si>
    <r>
      <t xml:space="preserve">👉 Formula in Excel: </t>
    </r>
    <r>
      <rPr>
        <sz val="10"/>
        <color theme="1"/>
        <rFont val="Arial Unicode MS"/>
      </rPr>
      <t>=(Price_End - Price_Start + Dividend)/Price_Start</t>
    </r>
  </si>
  <si>
    <t>Sheet: Portfolio (Decile) Returns</t>
  </si>
  <si>
    <t>Firm A Return</t>
  </si>
  <si>
    <t>Firm B Return</t>
  </si>
  <si>
    <t>Firm C Return</t>
  </si>
  <si>
    <t>Portfolio Average</t>
  </si>
  <si>
    <r>
      <t xml:space="preserve">👉 Formula in Excel: </t>
    </r>
    <r>
      <rPr>
        <sz val="10"/>
        <color theme="1"/>
        <rFont val="Arial Unicode MS"/>
      </rPr>
      <t>=AVERAGE(FirmA_Return, FirmB_Return, …)</t>
    </r>
  </si>
  <si>
    <t>Sheet: Historical Average</t>
  </si>
  <si>
    <t>Portfolio</t>
  </si>
  <si>
    <t>Average Return</t>
  </si>
  <si>
    <t>CAPM Predicted Return</t>
  </si>
  <si>
    <t>Size Premium</t>
  </si>
  <si>
    <t>Small-Cap Decile</t>
  </si>
  <si>
    <t>👉 Example:</t>
  </si>
  <si>
    <t>Average Return = 6.5%</t>
  </si>
  <si>
    <t>CAPM Predicted = 5.9%</t>
  </si>
  <si>
    <t>Size Premium = 0.6%</t>
  </si>
  <si>
    <t>✅ How to Use</t>
  </si>
  <si>
    <t>1. Input yearly start/end prices (and dividends if any).</t>
  </si>
  <si>
    <t>2. Compute annual returns per firm.</t>
  </si>
  <si>
    <t>3. Average across firms to get portfolio/decile return.</t>
  </si>
  <si>
    <t>4. Average across years to get historical return.</t>
  </si>
  <si>
    <t>5. Compare against CAPM prediction to derive size premium.</t>
  </si>
  <si>
    <r>
      <t xml:space="preserve">This template mirrors the </t>
    </r>
    <r>
      <rPr>
        <b/>
        <sz val="11"/>
        <color theme="1"/>
        <rFont val="Calibri"/>
        <family val="2"/>
        <scheme val="minor"/>
      </rPr>
      <t>Duff &amp; Phelps empirical method</t>
    </r>
    <r>
      <rPr>
        <sz val="11"/>
        <color theme="1"/>
        <rFont val="Calibri"/>
        <family val="2"/>
        <scheme val="minor"/>
      </rPr>
      <t>: historical return minus CAPM prediction = size premium. Even if dividends are zero, the formula works fine with just price changes.</t>
    </r>
  </si>
  <si>
    <t>=(C3-B3+D3)/B3 → -13.3%</t>
  </si>
  <si>
    <t>=AVERAGE(B2:D2)</t>
  </si>
  <si>
    <t>=AVERAGE(B3:D3)</t>
  </si>
  <si>
    <t>=AVERAGE(B4:D4)</t>
  </si>
  <si>
    <t>=AVERAGE(Portfolio_Returns)</t>
  </si>
  <si>
    <t>=Rf + Beta*ERP</t>
  </si>
  <si>
    <t>=Average_Return - CAPM</t>
  </si>
  <si>
    <t>A. Annual Returns calculations:</t>
  </si>
  <si>
    <t>B. Portfolio (Decile) Returns</t>
  </si>
  <si>
    <t>2. Stock:</t>
  </si>
  <si>
    <t>3. Stock:</t>
  </si>
  <si>
    <t>4. Stock:</t>
  </si>
  <si>
    <t>5. Stock:</t>
  </si>
  <si>
    <t>6. Stock:</t>
  </si>
  <si>
    <t>7. Stock:</t>
  </si>
  <si>
    <t>8. Stock:</t>
  </si>
  <si>
    <t>9. Stock:</t>
  </si>
  <si>
    <t>10. Stock:</t>
  </si>
  <si>
    <t>11. Stock:</t>
  </si>
  <si>
    <t>12. Stock:</t>
  </si>
  <si>
    <t>1.:</t>
  </si>
  <si>
    <t>Stocks</t>
  </si>
  <si>
    <t>Portfolio (Yr 2025)</t>
  </si>
  <si>
    <t>Average Return =AVERAGE(Portfolio_Returns)= 6.5%</t>
  </si>
  <si>
    <t>CAPM Predicted =Rf + Beta*ERP= 5.9%</t>
  </si>
  <si>
    <t>Size Premium =Average_Return - CAPM= 0.6%</t>
  </si>
  <si>
    <t>Our 5-year SGX small-cap sample produced a negative size premium (-10.57%), reflecting extreme volatility and underperformance of microcaps in this period. However, global empirical studies (Duff &amp; Phelps, Morningstar) using longer horizons consistently show positive premiums of 2–5% for similar deciles. For conservatism and alignment with global standards, we apply a capped premium in that range.</t>
  </si>
  <si>
    <t>Note</t>
  </si>
  <si>
    <t>Stk split 11:10</t>
  </si>
  <si>
    <t>Stk split 6:5</t>
  </si>
  <si>
    <t>Stk split 1:4</t>
  </si>
  <si>
    <t>start trading Jul 2017</t>
  </si>
  <si>
    <t>Our SGX small-cap sample (2016–2025) produced a negative size premium (–6.79%), reflecting extreme volatility and underperformance of microcaps in this period. However, global empirical studies (Duff &amp; Phelps, Morningstar) using longer horizons consistently show positive premiums of 2–5% for similar deciles. For conservatism and alignment with global standards, we apply a capped premium in that range</t>
  </si>
  <si>
    <t>Our SGX small-cap portfolio (2016–2025) produced a negative size premium when including highly volatile firms such as Oxley and KOP. Excluding these outliers, the portfolio average return turns positive, aligning more closely with Duff &amp; Phelps’ long-run empirical ranges (2–5%). This demonstrates both the sensitivity of local samples and the robustness of global decile studies</t>
  </si>
  <si>
    <t>13. Stock:</t>
  </si>
  <si>
    <t>14. Stock:</t>
  </si>
  <si>
    <t>15. Stock:</t>
  </si>
  <si>
    <t>16. Stock:</t>
  </si>
  <si>
    <t>17. Stock:</t>
  </si>
  <si>
    <t>18. Stock:</t>
  </si>
  <si>
    <t>19. Stock:</t>
  </si>
  <si>
    <t>20. Stock:</t>
  </si>
  <si>
    <t>City Dev, UOL, Capitaland, Guccoland, SingaporeLand</t>
  </si>
  <si>
    <t>Wing Tai, Ho Bee Land, Sing Hold</t>
  </si>
  <si>
    <t>Oxley, Low Keng Huat, Niche Developers</t>
  </si>
  <si>
    <t>Decile 2-4</t>
  </si>
  <si>
    <t>Decile 5-7</t>
  </si>
  <si>
    <t>Decile 8-10</t>
  </si>
  <si>
    <t>abt 1.5% - 2.5%</t>
  </si>
  <si>
    <t>abt 2.5% - 4.0%</t>
  </si>
  <si>
    <t>abt 0.8% - 1.5%</t>
  </si>
  <si>
    <t>Average of 13/17 X Portfolio Average</t>
  </si>
  <si>
    <t>Average of 13 out of 17 small-cap stock</t>
  </si>
  <si>
    <t>Start date</t>
  </si>
  <si>
    <t>Start date'</t>
  </si>
  <si>
    <t>Stk split 1:2</t>
  </si>
  <si>
    <t>rel-levered beta using the industry component stocks D/L</t>
  </si>
  <si>
    <t>Average D/Average L</t>
  </si>
  <si>
    <t>Re-levered beta of small cap components average D/L</t>
  </si>
  <si>
    <t>average D/L</t>
  </si>
  <si>
    <t>Ind +Small Cap (TD)</t>
  </si>
  <si>
    <t>Ind +Small Cap (TL)</t>
  </si>
  <si>
    <t>Ind +Small Average UB</t>
  </si>
  <si>
    <t>Relevered Beta</t>
  </si>
  <si>
    <t>Ind+Small Cap (TD/TL)</t>
  </si>
  <si>
    <r>
      <t>ER</t>
    </r>
    <r>
      <rPr>
        <i/>
        <sz val="7.7"/>
        <color theme="1"/>
        <rFont val="KaTeX_Math"/>
      </rPr>
      <t>i</t>
    </r>
    <r>
      <rPr>
        <sz val="1"/>
        <color theme="1"/>
        <rFont val="Times New Roman"/>
        <family val="1"/>
      </rPr>
      <t>​</t>
    </r>
    <r>
      <rPr>
        <sz val="13"/>
        <color theme="1"/>
        <rFont val="Times New Roman"/>
        <family val="1"/>
      </rPr>
      <t>=</t>
    </r>
    <r>
      <rPr>
        <i/>
        <sz val="13"/>
        <color theme="1"/>
        <rFont val="KaTeX_Math"/>
      </rPr>
      <t>R</t>
    </r>
    <r>
      <rPr>
        <i/>
        <sz val="7.7"/>
        <color theme="1"/>
        <rFont val="KaTeX_Math"/>
      </rPr>
      <t>f</t>
    </r>
    <r>
      <rPr>
        <sz val="1"/>
        <color theme="1"/>
        <rFont val="Times New Roman"/>
        <family val="1"/>
      </rPr>
      <t>​</t>
    </r>
    <r>
      <rPr>
        <sz val="13"/>
        <color theme="1"/>
        <rFont val="Times New Roman"/>
        <family val="1"/>
      </rPr>
      <t>+</t>
    </r>
    <r>
      <rPr>
        <i/>
        <sz val="13"/>
        <color theme="1"/>
        <rFont val="KaTeX_Math"/>
      </rPr>
      <t>β</t>
    </r>
    <r>
      <rPr>
        <i/>
        <sz val="7.7"/>
        <color theme="1"/>
        <rFont val="KaTeX_Math"/>
      </rPr>
      <t>i</t>
    </r>
    <r>
      <rPr>
        <sz val="1"/>
        <color theme="1"/>
        <rFont val="Times New Roman"/>
        <family val="1"/>
      </rPr>
      <t>​</t>
    </r>
    <r>
      <rPr>
        <sz val="13"/>
        <color theme="1"/>
        <rFont val="Times New Roman"/>
        <family val="1"/>
      </rPr>
      <t>(</t>
    </r>
    <r>
      <rPr>
        <i/>
        <sz val="13"/>
        <color theme="1"/>
        <rFont val="KaTeX_Math"/>
      </rPr>
      <t>ER</t>
    </r>
    <r>
      <rPr>
        <i/>
        <sz val="7.7"/>
        <color theme="1"/>
        <rFont val="KaTeX_Math"/>
      </rPr>
      <t>m</t>
    </r>
    <r>
      <rPr>
        <sz val="1"/>
        <color theme="1"/>
        <rFont val="Times New Roman"/>
        <family val="1"/>
      </rPr>
      <t>​</t>
    </r>
    <r>
      <rPr>
        <sz val="13"/>
        <color theme="1"/>
        <rFont val="Times New Roman"/>
        <family val="1"/>
      </rPr>
      <t>−</t>
    </r>
    <r>
      <rPr>
        <i/>
        <sz val="13"/>
        <color theme="1"/>
        <rFont val="KaTeX_Math"/>
      </rPr>
      <t>R</t>
    </r>
    <r>
      <rPr>
        <i/>
        <sz val="7.7"/>
        <color theme="1"/>
        <rFont val="KaTeX_Math"/>
      </rPr>
      <t>f</t>
    </r>
    <r>
      <rPr>
        <sz val="1"/>
        <color theme="1"/>
        <rFont val="Times New Roman"/>
        <family val="1"/>
      </rPr>
      <t>​</t>
    </r>
    <r>
      <rPr>
        <sz val="13"/>
        <color theme="1"/>
        <rFont val="Times New Roman"/>
        <family val="1"/>
      </rPr>
      <t>)</t>
    </r>
    <r>
      <rPr>
        <b/>
        <sz val="13"/>
        <color theme="1"/>
        <rFont val="Times New Roman"/>
        <family val="1"/>
      </rPr>
      <t>where:</t>
    </r>
    <r>
      <rPr>
        <i/>
        <sz val="13"/>
        <color theme="1"/>
        <rFont val="KaTeX_Math"/>
      </rPr>
      <t>ER</t>
    </r>
    <r>
      <rPr>
        <i/>
        <sz val="7.7"/>
        <color theme="1"/>
        <rFont val="KaTeX_Math"/>
      </rPr>
      <t>i</t>
    </r>
    <r>
      <rPr>
        <sz val="1"/>
        <color theme="1"/>
        <rFont val="Times New Roman"/>
        <family val="1"/>
      </rPr>
      <t>​</t>
    </r>
    <r>
      <rPr>
        <sz val="13"/>
        <color theme="1"/>
        <rFont val="Times New Roman"/>
        <family val="1"/>
      </rPr>
      <t>=expected return of investment</t>
    </r>
    <r>
      <rPr>
        <i/>
        <sz val="13"/>
        <color theme="1"/>
        <rFont val="KaTeX_Math"/>
      </rPr>
      <t>R</t>
    </r>
    <r>
      <rPr>
        <i/>
        <sz val="7.7"/>
        <color theme="1"/>
        <rFont val="KaTeX_Math"/>
      </rPr>
      <t>f</t>
    </r>
    <r>
      <rPr>
        <sz val="1"/>
        <color theme="1"/>
        <rFont val="Times New Roman"/>
        <family val="1"/>
      </rPr>
      <t>​</t>
    </r>
    <r>
      <rPr>
        <sz val="13"/>
        <color theme="1"/>
        <rFont val="Times New Roman"/>
        <family val="1"/>
      </rPr>
      <t>=risk-free rate</t>
    </r>
    <r>
      <rPr>
        <i/>
        <sz val="13"/>
        <color theme="1"/>
        <rFont val="KaTeX_Math"/>
      </rPr>
      <t>β</t>
    </r>
    <r>
      <rPr>
        <i/>
        <sz val="7.7"/>
        <color theme="1"/>
        <rFont val="KaTeX_Math"/>
      </rPr>
      <t>i</t>
    </r>
    <r>
      <rPr>
        <sz val="1"/>
        <color theme="1"/>
        <rFont val="Times New Roman"/>
        <family val="1"/>
      </rPr>
      <t>​</t>
    </r>
    <r>
      <rPr>
        <sz val="13"/>
        <color theme="1"/>
        <rFont val="Times New Roman"/>
        <family val="1"/>
      </rPr>
      <t>=beta of the investment(</t>
    </r>
    <r>
      <rPr>
        <i/>
        <sz val="13"/>
        <color theme="1"/>
        <rFont val="KaTeX_Math"/>
      </rPr>
      <t>ER</t>
    </r>
    <r>
      <rPr>
        <i/>
        <sz val="7.7"/>
        <color theme="1"/>
        <rFont val="KaTeX_Math"/>
      </rPr>
      <t>m</t>
    </r>
    <r>
      <rPr>
        <sz val="1"/>
        <color theme="1"/>
        <rFont val="Times New Roman"/>
        <family val="1"/>
      </rPr>
      <t>​</t>
    </r>
    <r>
      <rPr>
        <sz val="13"/>
        <color theme="1"/>
        <rFont val="Times New Roman"/>
        <family val="1"/>
      </rPr>
      <t>−</t>
    </r>
    <r>
      <rPr>
        <i/>
        <sz val="13"/>
        <color theme="1"/>
        <rFont val="KaTeX_Math"/>
      </rPr>
      <t>R</t>
    </r>
    <r>
      <rPr>
        <i/>
        <sz val="7.7"/>
        <color theme="1"/>
        <rFont val="KaTeX_Math"/>
      </rPr>
      <t>f</t>
    </r>
    <r>
      <rPr>
        <sz val="1"/>
        <color theme="1"/>
        <rFont val="Times New Roman"/>
        <family val="1"/>
      </rPr>
      <t>​</t>
    </r>
    <r>
      <rPr>
        <sz val="13"/>
        <color theme="1"/>
        <rFont val="Times New Roman"/>
        <family val="1"/>
      </rPr>
      <t>)=market risk premium</t>
    </r>
    <r>
      <rPr>
        <sz val="1"/>
        <color theme="1"/>
        <rFont val="Times New Roman"/>
        <family val="1"/>
      </rPr>
      <t>​</t>
    </r>
  </si>
  <si>
    <t>Re-levered Beta of Small Cap</t>
  </si>
  <si>
    <t>Re-levered Beta of Industry</t>
  </si>
  <si>
    <t>times</t>
  </si>
  <si>
    <t>Middle East conflict impacts on Singapore real estate industry</t>
  </si>
  <si>
    <t>a) Re-levered average industry components unlevered beta [βL=βU×(1+(1−T)*D/E)]</t>
  </si>
  <si>
    <t>Max</t>
  </si>
  <si>
    <t>Min</t>
  </si>
  <si>
    <t>Median in Millions</t>
  </si>
  <si>
    <t>Supplier of concrete pumping services &amp; CCTV of sewer inspection services</t>
  </si>
  <si>
    <t>(a) Property development and real estate investment; and (b) Smart technologies; and (c) Print and media; and (d) Other investments.</t>
  </si>
  <si>
    <t>Sale and purchase of aircraft components; and Logistics (relating to supply chain management services and logistic solutions, including international and domestic multi-modal transportation, warehousing, distribution, customs clearance, and air cargo handling services).</t>
  </si>
  <si>
    <t>(i) conducting business impact assessments on companies and organising business recognition awards, (ii) organising trade and consumer exhibitions, and (iii) offering digital and print business media brands and organising networking events and conferences</t>
  </si>
  <si>
    <t>Specialist Relocation, Third Party Logistics, Technical &amp; Engineering</t>
  </si>
  <si>
    <t>• Investment holding • Ship repair and marine engineering activities • Logistics • Property management</t>
  </si>
  <si>
    <t>design and fabrication services, provision of interior fit-out services and the development, licensing and commercialisation of immersive location-based entertainment and experiences.</t>
  </si>
  <si>
    <t>provision of transportation, inventory management and warehousing services.</t>
  </si>
  <si>
    <t>Provision of warehousing &amp; ancillary services and trading business • Provision of freight forwarding, transportation, warehousing and logistics services • Provision of port operations and logistics services, stevedoring and freight forwarding services • Provision of indoor farming solution and growing of crops • Producing and manufacturing of environmentally friendly lightweight brick building materials and cement products • Provision of blending and manufacturing of chemical and chemical products • Provision of contracting services, sales and distribution of telecommunications mobile handsets and accessories business.</t>
  </si>
  <si>
    <t>renting of cranes, prime movers, heavy machinery and equipment, trading of cranes and heavy equipment and supply labour for container lashing/unlashing, prime movers driving services and ancillary works.</t>
  </si>
  <si>
    <t>provision of corporate marketing and other related services, design and production of interiors, exhibitions, decorations, 
museums and thematic, as well as the development and operation of experiential and themed attractions</t>
  </si>
  <si>
    <t>development of software and application pertaining to conformity assessment technology, provision of laboratory testing and assessment services, provision of
certification services, trading of scientific instruments, chemicals, media and laboratory solutions, and the
promotion and marketing of the Group’s software and online applications</t>
  </si>
  <si>
    <t>an investment holding and provide management services to its subsidiary corporations’ activities, cleaning, pest control, machinery, IFM</t>
  </si>
  <si>
    <t>Manufacturing and distribution of lab-grown diamonds; Collection and processing of food waste into animal feed, bio-fuel and other by-products, and the production and sale of agricultural machinery, fermentation and renewable resource equipment (the “Food Waste Business”); and Wholesale distribution of high-quality and affordable nutritional supplements (the “Health Supplements Business”)</t>
  </si>
  <si>
    <t>rental of premises and provision of management services to related companies.</t>
  </si>
  <si>
    <t>Aviation industry</t>
  </si>
  <si>
    <t>provision of airframe maintenance, component overhaul services and inventory technical management, the provision of line maintenance and technical ground handling services and investment holdings</t>
  </si>
  <si>
    <t>operation and provision of postal and parcel delivery services, eCommerce logistics and property, provision of delivery services and eCommerce logistics solutions, provision of integrated supply 
chain and distributions services, and investment holding</t>
  </si>
  <si>
    <t>sterilisation, decontamination and polymerisation services; hospitality management and property development</t>
  </si>
  <si>
    <t>Hiring out of cranes and transport; Selling, servicing and leasing of equipment in the petroleum, construction, shipbuilding and related industries; and Marine or transportation logistics related business</t>
  </si>
  <si>
    <t>Insurtech business, foods and beverages and distributions of fruits and vegetables segment.</t>
  </si>
  <si>
    <t>provision of advisory, consultancy and/or management services related to financial technology regulation and licensing as well as the adoption of financial technology strategies and technology (“FinTech Business”</t>
  </si>
  <si>
    <t>freight forwarding, chemical logistics, warehousing and logistics, leasing of industrial buildings, investment holding, real estate fund and property management services, financial leasing services, property development and property investment</t>
  </si>
  <si>
    <t>integrated provider of multidisciplinary professional services, organised into business units based on advisory and transactional 
services</t>
  </si>
  <si>
    <t>Market Cap</t>
  </si>
  <si>
    <t>Stk code</t>
  </si>
  <si>
    <t>Sh price on 2 Apr 2026</t>
  </si>
  <si>
    <t>s</t>
  </si>
  <si>
    <t>ComfortDelgro (C52)</t>
  </si>
  <si>
    <t>Singpost (S08)</t>
  </si>
  <si>
    <t>Genting Singapore (G13)</t>
  </si>
  <si>
    <t>HPL (H15)</t>
  </si>
  <si>
    <t>Healthway Med (5NG)</t>
  </si>
  <si>
    <t>SBS Transit (S61)</t>
  </si>
  <si>
    <t>SIA (C6L)</t>
  </si>
  <si>
    <t>Arion Ent (YYB)</t>
  </si>
  <si>
    <t>HL Global Ent (AVX)</t>
  </si>
  <si>
    <t>Memories (1H4)</t>
  </si>
  <si>
    <t>Sim Leisure (URR)</t>
  </si>
  <si>
    <t>SingMedical (507)</t>
  </si>
  <si>
    <t>Revez (RCU)</t>
  </si>
  <si>
    <t>Transportation</t>
  </si>
  <si>
    <t>Tourism &amp; Events</t>
  </si>
  <si>
    <t>Hospitality</t>
  </si>
  <si>
    <t>Design and production for exhibitions, museums, retail spaces and major events</t>
  </si>
  <si>
    <t>Concert promotion, large-scale live entertainment, event production</t>
  </si>
  <si>
    <t>Runs design schools and exhibition-related training often tied to creative events</t>
  </si>
  <si>
    <t>Aviation industry -Provides logistics, travel packages and sponsorship for global events</t>
  </si>
  <si>
    <t>Hotel &amp; convention facilities for corporate events and banquets</t>
  </si>
  <si>
    <t>Owns hotels and commercial properties with event spaces (e.g. Mandarin Orchard, Crowne Plaza)</t>
  </si>
  <si>
    <t>REIT - Hotels and serviced residences hosting conferences, weddings and corporate events\</t>
  </si>
  <si>
    <t>REIT - Hospitality assets supporting MICE tourism</t>
  </si>
  <si>
    <t>Hospitality - Owns Marina Square and other properties used for exhibitions and events</t>
  </si>
  <si>
    <t>REIT -Commercial properties with spaces for corporate events and exhibitions</t>
  </si>
  <si>
    <t>Transportation -One of the world's largest land transport companies (taxis, buses, rail - vital for event mobility)</t>
  </si>
  <si>
    <t>Provides ground handling, catering, and logistics at Changi Airport- supports international event arrivals</t>
  </si>
  <si>
    <t>Aircraft maintenance and engineering- ensures reliability of transport for event participants</t>
  </si>
  <si>
    <t>Diversified engineering group with aerospace, electronics, and transport solutions</t>
  </si>
  <si>
    <t>Regional container shipping services, supporting logistics for exhibitions and trade shows</t>
  </si>
  <si>
    <t>Provides shipping and logistics services</t>
  </si>
  <si>
    <t>Logistics and supply chain solution, including ready mix concrete for event infrastructure. Cement ready mix</t>
  </si>
  <si>
    <t>Wholesale &amp; Distribution, Manufacturing and engineering solution of energy-efficientheat-exchangers,compressor
racks and condensing units</t>
  </si>
  <si>
    <t>Construction</t>
  </si>
  <si>
    <t>Communication Services, Advertising agencies</t>
  </si>
  <si>
    <t>Arts, Entertainments &amp; Recreations</t>
  </si>
  <si>
    <t>Industrials, Aerospace &amp; Defence</t>
  </si>
  <si>
    <t>Prof, Scientific &amp; Technical Activities</t>
  </si>
  <si>
    <t>Industrials, Marine Shipping</t>
  </si>
  <si>
    <t>Transport &amp; Storage</t>
  </si>
  <si>
    <t>SICC Sub-industry</t>
  </si>
  <si>
    <t>(Profile)</t>
  </si>
  <si>
    <t>Consumer Defensive, Education &amp; Training Services</t>
  </si>
  <si>
    <t>Education</t>
  </si>
  <si>
    <t>Industrials, Conglomerates</t>
  </si>
  <si>
    <t>Manufacturing, REIT</t>
  </si>
  <si>
    <t>Industrials, Railroads</t>
  </si>
  <si>
    <t>Real Estate, Real Estate services</t>
  </si>
  <si>
    <t>Financial &amp; Insurance activities</t>
  </si>
  <si>
    <r>
      <t xml:space="preserve">assuming Rί </t>
    </r>
    <r>
      <rPr>
        <sz val="11"/>
        <color indexed="8"/>
        <rFont val="Calibri"/>
        <family val="2"/>
      </rPr>
      <t>= 1.234 re-levered beta for the Event Management industry</t>
    </r>
  </si>
  <si>
    <r>
      <t>IRP</t>
    </r>
    <r>
      <rPr>
        <b/>
        <sz val="11"/>
        <color indexed="8"/>
        <rFont val="Calibri"/>
        <family val="2"/>
      </rPr>
      <t>ί = (1.234 X 4.65) - 4.65 = 5.7381 -4.65 = 1.0881</t>
    </r>
  </si>
  <si>
    <t>Total I+S Cap</t>
  </si>
  <si>
    <t>Re-levered beta of average 9 comparables</t>
  </si>
  <si>
    <t>Industry-Specific risk Premium (Re-levered Beta X ERP)-ERP</t>
  </si>
  <si>
    <t>4:3 stock split</t>
  </si>
  <si>
    <t>8:5 Stk Split</t>
  </si>
  <si>
    <t>1:3 stk splits</t>
  </si>
  <si>
    <t>CAPM Predicted =Rf + Beta*ERP= 5.48%</t>
  </si>
  <si>
    <t>Our SGX small-cap portfolio produced a size premium of about 6.03% in 2025.  This aligns with Duff &amp; Phelps' published Decile 10 premium (4 - 6%), which are applied globally to microcap entities. For Singapore event management SMEs, we adopt a conservative premium within this range to reflect their scale disadvantage</t>
  </si>
  <si>
    <t>Cost of equity from CAPM build up model</t>
  </si>
  <si>
    <t>Industry premium = (1.346 X 4.65)-4.65</t>
  </si>
  <si>
    <t>@ 31 Dec 2026</t>
  </si>
  <si>
    <t>Free Cash Flow before dividend payment</t>
  </si>
  <si>
    <t>Free Cash Flow after Interest &amp; repayment of finance lease</t>
  </si>
  <si>
    <t>Discount for Lack of Control (DLOC)</t>
  </si>
  <si>
    <t>Concept</t>
  </si>
  <si>
    <r>
      <t xml:space="preserve">DLOC adjusts value when moving from a </t>
    </r>
    <r>
      <rPr>
        <b/>
        <sz val="11"/>
        <color theme="1"/>
        <rFont val="Calibri"/>
        <family val="2"/>
        <scheme val="minor"/>
      </rPr>
      <t>control perspective</t>
    </r>
    <r>
      <rPr>
        <sz val="11"/>
        <color theme="1"/>
        <rFont val="Calibri"/>
        <family val="2"/>
        <scheme val="minor"/>
      </rPr>
      <t xml:space="preserve"> (e.g., takeover premium) to a </t>
    </r>
    <r>
      <rPr>
        <b/>
        <sz val="11"/>
        <color theme="1"/>
        <rFont val="Calibri"/>
        <family val="2"/>
        <scheme val="minor"/>
      </rPr>
      <t>minority perspective</t>
    </r>
    <r>
      <rPr>
        <sz val="11"/>
        <color theme="1"/>
        <rFont val="Calibri"/>
        <family val="2"/>
        <scheme val="minor"/>
      </rPr>
      <t>. Formula is derived from control premiums observed in SGX takeover announcements.</t>
    </r>
  </si>
  <si>
    <t>Example – SGX Takeover Premium</t>
  </si>
  <si>
    <t>Offer price: S$0.30</t>
  </si>
  <si>
    <t>Last traded price: S$0.215 → Premium = 39.5%</t>
  </si>
  <si>
    <t>1‑month VWAP: S$0.213 → Premium = 40.8%</t>
  </si>
  <si>
    <t>3‑month VWAP: S$0.219 → Premium = 37.0%</t>
  </si>
  <si>
    <t>6‑month VWAP: S$0.225 → Premium = 33.3%</t>
  </si>
  <si>
    <t>12‑month VWAP: S$0.234 → Premium = 28.2%</t>
  </si>
  <si>
    <t>Average premium = 35.76%</t>
  </si>
  <si>
    <t>Excel Implementation</t>
  </si>
  <si>
    <r>
      <t xml:space="preserve">Result: </t>
    </r>
    <r>
      <rPr>
        <b/>
        <sz val="11"/>
        <color theme="1"/>
        <rFont val="Calibri"/>
        <family val="2"/>
        <scheme val="minor"/>
      </rPr>
      <t>0.26 → 26% DLOC</t>
    </r>
  </si>
  <si>
    <r>
      <t>If the average premium is in cell F</t>
    </r>
    <r>
      <rPr>
        <b/>
        <sz val="11"/>
        <color theme="1"/>
        <rFont val="Calibri"/>
        <family val="2"/>
        <scheme val="minor"/>
      </rPr>
      <t>21</t>
    </r>
    <r>
      <rPr>
        <sz val="11"/>
        <color theme="1"/>
        <rFont val="Calibri"/>
        <family val="2"/>
        <scheme val="minor"/>
      </rPr>
      <t xml:space="preserve"> (e.g., 0.3576):</t>
    </r>
  </si>
  <si>
    <t xml:space="preserve"> =1 - (1/(1+F21))</t>
  </si>
  <si>
    <t>2. Discount for Lack of Marketability (DLOM)</t>
  </si>
  <si>
    <t>DLOM reflects the illiquidity of private shares compared to listed shares. We benchmark against SGX private placements, preferential offerings, and pre‑IPO cases.</t>
  </si>
  <si>
    <t>Example – CapitaLand Ascendas REIT Preferential Offering</t>
  </si>
  <si>
    <t>Preferential price: S$2.35</t>
  </si>
  <si>
    <t>VWAP: S$2.5126</t>
  </si>
  <si>
    <r>
      <t xml:space="preserve">Discount = (2.35 – 2.5126) ÷ 2.5126 = –6.5% → </t>
    </r>
    <r>
      <rPr>
        <b/>
        <sz val="11"/>
        <color theme="1"/>
        <rFont val="Calibri"/>
        <family val="2"/>
        <scheme val="minor"/>
      </rPr>
      <t>6.5% discount</t>
    </r>
  </si>
  <si>
    <t>DLOM=Offering Price−Reference Market PriceReference Market Price</t>
  </si>
  <si>
    <r>
      <t xml:space="preserve">If offering price is in </t>
    </r>
    <r>
      <rPr>
        <b/>
        <sz val="11"/>
        <color theme="1"/>
        <rFont val="Calibri"/>
        <family val="2"/>
        <scheme val="minor"/>
      </rPr>
      <t>B2</t>
    </r>
    <r>
      <rPr>
        <sz val="11"/>
        <color theme="1"/>
        <rFont val="Calibri"/>
        <family val="2"/>
        <scheme val="minor"/>
      </rPr>
      <t xml:space="preserve"> and market price in </t>
    </r>
    <r>
      <rPr>
        <b/>
        <sz val="11"/>
        <color theme="1"/>
        <rFont val="Calibri"/>
        <family val="2"/>
        <scheme val="minor"/>
      </rPr>
      <t>B3</t>
    </r>
    <r>
      <rPr>
        <sz val="11"/>
        <color theme="1"/>
        <rFont val="Calibri"/>
        <family val="2"/>
        <scheme val="minor"/>
      </rPr>
      <t>:</t>
    </r>
  </si>
  <si>
    <r>
      <t xml:space="preserve">Result: </t>
    </r>
    <r>
      <rPr>
        <b/>
        <sz val="11"/>
        <color theme="1"/>
        <rFont val="Calibri"/>
        <family val="2"/>
        <scheme val="minor"/>
      </rPr>
      <t>0.065 → 6.5% discount</t>
    </r>
  </si>
  <si>
    <t>3. Floors &amp; Caps Application</t>
  </si>
  <si>
    <t>Observed discounts can be too low (e.g., 2.9% for FCT). To ensure defensibility, we apply:</t>
  </si>
  <si>
    <t>Floor = 15%</t>
  </si>
  <si>
    <t>Cap = 35%</t>
  </si>
  <si>
    <r>
      <t xml:space="preserve">If raw discount is in </t>
    </r>
    <r>
      <rPr>
        <b/>
        <sz val="11"/>
        <color theme="1"/>
        <rFont val="Calibri"/>
        <family val="2"/>
        <scheme val="minor"/>
      </rPr>
      <t>C2</t>
    </r>
    <r>
      <rPr>
        <sz val="11"/>
        <color theme="1"/>
        <rFont val="Calibri"/>
        <family val="2"/>
        <scheme val="minor"/>
      </rPr>
      <t>:</t>
    </r>
  </si>
  <si>
    <t>This ensures the applied DLOM is always between 15% and 35%.</t>
  </si>
  <si>
    <t>4. Worked Examples in Excel</t>
  </si>
  <si>
    <t>Case</t>
  </si>
  <si>
    <t>Offering Price</t>
  </si>
  <si>
    <t>Market Price</t>
  </si>
  <si>
    <t>Raw Discount Formula</t>
  </si>
  <si>
    <t>Raw Discount</t>
  </si>
  <si>
    <t>Applied DLOM</t>
  </si>
  <si>
    <t>FCT (REIT placement)</t>
  </si>
  <si>
    <t>–2.9%</t>
  </si>
  <si>
    <t>VOM (Catalist SME)</t>
  </si>
  <si>
    <t>–8.6%</t>
  </si>
  <si>
    <t>Info‑Tech (Pre‑IPO)</t>
  </si>
  <si>
    <t>–19.5%</t>
  </si>
  <si>
    <t>CLAR (Preferential)</t>
  </si>
  <si>
    <t>–6.5%</t>
  </si>
  <si>
    <t>=ABS((B2 - B3) / B3)</t>
  </si>
  <si>
    <t>=</t>
  </si>
  <si>
    <t>=MIN(MAX(C29, 0.15), 0.35)</t>
  </si>
  <si>
    <t>Sustainable long term growth rate</t>
  </si>
  <si>
    <t>Sustainable growth rate/Terminal Growth rate</t>
  </si>
  <si>
    <t>Ratio</t>
  </si>
  <si>
    <t>Section A: Key Inputs</t>
  </si>
  <si>
    <t>Section B: Valuation Methods</t>
  </si>
  <si>
    <t>Section C: Final Summary</t>
  </si>
  <si>
    <t>📘 1. Definition</t>
  </si>
  <si>
    <t>📘 2. Formula in Market Practice</t>
  </si>
  <si>
    <t>The classic formula is:</t>
  </si>
  <si>
    <t>SGR=ROE×(1−Dividend Payout Ratio)</t>
  </si>
  <si>
    <t>So:</t>
  </si>
  <si>
    <t>SGR=ROE×Retention Ratio</t>
  </si>
  <si>
    <t>📘 3. How Analysts Derive It</t>
  </si>
  <si>
    <t>📘 4. Market Practice Adjustments</t>
  </si>
  <si>
    <t>📘 5. Example</t>
  </si>
  <si>
    <t>Suppose:</t>
  </si>
  <si>
    <t>Net Income = S$1,000,000</t>
  </si>
  <si>
    <t>Equity = S$5,000,000 → ROE = 20%</t>
  </si>
  <si>
    <t>Dividend payout = 40% → Retention ratio = 60%</t>
  </si>
  <si>
    <t>SGR=20%×60%=12%</t>
  </si>
  <si>
    <t>This means the company can sustainably grow earnings at 12% per year without raising new equity or debt.</t>
  </si>
  <si>
    <t>📘 6. Excel Formula</t>
  </si>
  <si>
    <r>
      <t xml:space="preserve">The </t>
    </r>
    <r>
      <rPr>
        <b/>
        <sz val="12"/>
        <color theme="1"/>
        <rFont val="Calibri"/>
        <family val="2"/>
        <scheme val="minor"/>
      </rPr>
      <t>sustainable growth rate</t>
    </r>
    <r>
      <rPr>
        <sz val="12"/>
        <color theme="1"/>
        <rFont val="Calibri"/>
        <family val="2"/>
        <scheme val="minor"/>
      </rPr>
      <t xml:space="preserve"> is the rate at which a company can grow its earnings (or dividends) </t>
    </r>
    <r>
      <rPr>
        <b/>
        <sz val="12"/>
        <color theme="1"/>
        <rFont val="Calibri"/>
        <family val="2"/>
        <scheme val="minor"/>
      </rPr>
      <t>without changing its leverage</t>
    </r>
    <r>
      <rPr>
        <sz val="12"/>
        <color theme="1"/>
        <rFont val="Calibri"/>
        <family val="2"/>
        <scheme val="minor"/>
      </rPr>
      <t xml:space="preserve"> and while maintaining a stable capital structure. It reflects growth that can be supported internally, given profitability and reinvestment.</t>
    </r>
  </si>
  <si>
    <r>
      <t>ROE</t>
    </r>
    <r>
      <rPr>
        <sz val="12"/>
        <color theme="1"/>
        <rFont val="Calibri"/>
        <family val="2"/>
        <scheme val="minor"/>
      </rPr>
      <t xml:space="preserve"> = Return on Equity (Net Income ÷ Equity)</t>
    </r>
  </si>
  <si>
    <r>
      <t>Dividend Payout Ratio</t>
    </r>
    <r>
      <rPr>
        <sz val="12"/>
        <color theme="1"/>
        <rFont val="Calibri"/>
        <family val="2"/>
        <scheme val="minor"/>
      </rPr>
      <t xml:space="preserve"> = Dividends ÷ Net Income</t>
    </r>
  </si>
  <si>
    <r>
      <t>Retention Ratio</t>
    </r>
    <r>
      <rPr>
        <sz val="12"/>
        <color theme="1"/>
        <rFont val="Calibri"/>
        <family val="2"/>
        <scheme val="minor"/>
      </rPr>
      <t xml:space="preserve"> = (1 – Dividend Payout Ratio), i.e. the proportion of earnings reinvested.</t>
    </r>
  </si>
  <si>
    <r>
      <t>Step 1:</t>
    </r>
    <r>
      <rPr>
        <sz val="12"/>
        <color theme="1"/>
        <rFont val="Calibri"/>
        <family val="2"/>
        <scheme val="minor"/>
      </rPr>
      <t xml:space="preserve"> Calculate ROE from latest audited accounts.</t>
    </r>
  </si>
  <si>
    <r>
      <t>Step 2:</t>
    </r>
    <r>
      <rPr>
        <sz val="12"/>
        <color theme="1"/>
        <rFont val="Calibri"/>
        <family val="2"/>
        <scheme val="minor"/>
      </rPr>
      <t xml:space="preserve"> Identify dividend payout ratio (or assume 0 for SMEs that reinvest all earnings).</t>
    </r>
  </si>
  <si>
    <r>
      <t>Step 3:</t>
    </r>
    <r>
      <rPr>
        <sz val="12"/>
        <color theme="1"/>
        <rFont val="Calibri"/>
        <family val="2"/>
        <scheme val="minor"/>
      </rPr>
      <t xml:space="preserve"> Multiply ROE by retention ratio.</t>
    </r>
  </si>
  <si>
    <r>
      <t>Step 4:</t>
    </r>
    <r>
      <rPr>
        <sz val="12"/>
        <color theme="1"/>
        <rFont val="Calibri"/>
        <family val="2"/>
        <scheme val="minor"/>
      </rPr>
      <t xml:space="preserve"> Cross‑check against industry averages and macroeconomic growth expectations.</t>
    </r>
  </si>
  <si>
    <r>
      <t>Cap at industry growth:</t>
    </r>
    <r>
      <rPr>
        <sz val="12"/>
        <color theme="1"/>
        <rFont val="Calibri"/>
        <family val="2"/>
        <scheme val="minor"/>
      </rPr>
      <t xml:space="preserve"> Even if ROE × retention suggests 20%, you cap it at a realistic industry growth rate (e.g. 5–12%).</t>
    </r>
  </si>
  <si>
    <r>
      <t>Terminal growth rate alignment:</t>
    </r>
    <r>
      <rPr>
        <sz val="12"/>
        <color theme="1"/>
        <rFont val="Calibri"/>
        <family val="2"/>
        <scheme val="minor"/>
      </rPr>
      <t xml:space="preserve"> For DCF models, sustainable growth is often set equal to or slightly below long‑term GDP growth or inflation expectations (≈2–4% in mature markets, higher in emerging).</t>
    </r>
  </si>
  <si>
    <r>
      <t>SME practice:</t>
    </r>
    <r>
      <rPr>
        <sz val="12"/>
        <color theme="1"/>
        <rFont val="Calibri"/>
        <family val="2"/>
        <scheme val="minor"/>
      </rPr>
      <t xml:space="preserve"> In Singapore SME valuations, practitioners often normalize SGR between </t>
    </r>
    <r>
      <rPr>
        <b/>
        <sz val="12"/>
        <color theme="1"/>
        <rFont val="Calibri"/>
        <family val="2"/>
        <scheme val="minor"/>
      </rPr>
      <t>3–5%</t>
    </r>
    <r>
      <rPr>
        <sz val="12"/>
        <color theme="1"/>
        <rFont val="Calibri"/>
        <family val="2"/>
        <scheme val="minor"/>
      </rPr>
      <t xml:space="preserve"> for terminal value, unless there is strong evidence of higher reinvestment capacity.</t>
    </r>
  </si>
  <si>
    <r>
      <t xml:space="preserve">If ROE is in cell </t>
    </r>
    <r>
      <rPr>
        <b/>
        <sz val="12"/>
        <color theme="1"/>
        <rFont val="Calibri"/>
        <family val="2"/>
        <scheme val="minor"/>
      </rPr>
      <t>B2</t>
    </r>
    <r>
      <rPr>
        <sz val="12"/>
        <color theme="1"/>
        <rFont val="Calibri"/>
        <family val="2"/>
        <scheme val="minor"/>
      </rPr>
      <t xml:space="preserve"> and payout ratio in </t>
    </r>
    <r>
      <rPr>
        <b/>
        <sz val="12"/>
        <color theme="1"/>
        <rFont val="Calibri"/>
        <family val="2"/>
        <scheme val="minor"/>
      </rPr>
      <t>B3</t>
    </r>
    <r>
      <rPr>
        <sz val="12"/>
        <color theme="1"/>
        <rFont val="Calibri"/>
        <family val="2"/>
        <scheme val="minor"/>
      </rPr>
      <t>:</t>
    </r>
  </si>
  <si>
    <r>
      <t xml:space="preserve">Example: </t>
    </r>
    <r>
      <rPr>
        <sz val="12"/>
        <color theme="1"/>
        <rFont val="Arial Unicode MS"/>
      </rPr>
      <t>=0.20 * (1 - 0.40)</t>
    </r>
    <r>
      <rPr>
        <sz val="12"/>
        <color theme="1"/>
        <rFont val="Calibri"/>
        <family val="2"/>
        <scheme val="minor"/>
      </rPr>
      <t xml:space="preserve"> → 0.12 (12%).</t>
    </r>
  </si>
  <si>
    <r>
      <t xml:space="preserve">✅ </t>
    </r>
    <r>
      <rPr>
        <b/>
        <sz val="12"/>
        <color theme="1"/>
        <rFont val="Calibri"/>
        <family val="2"/>
        <scheme val="minor"/>
      </rPr>
      <t>Bottom line:</t>
    </r>
    <r>
      <rPr>
        <sz val="12"/>
        <color theme="1"/>
        <rFont val="Calibri"/>
        <family val="2"/>
        <scheme val="minor"/>
      </rPr>
      <t xml:space="preserve"> In market practice, the sustainable growth rate is derived from </t>
    </r>
    <r>
      <rPr>
        <b/>
        <sz val="12"/>
        <color theme="1"/>
        <rFont val="Calibri"/>
        <family val="2"/>
        <scheme val="minor"/>
      </rPr>
      <t>ROE × retention ratio</t>
    </r>
    <r>
      <rPr>
        <sz val="12"/>
        <color theme="1"/>
        <rFont val="Calibri"/>
        <family val="2"/>
        <scheme val="minor"/>
      </rPr>
      <t>, then cross‑checked against industry and macro benchmarks. For terminal value in SME valuations, it’s usually normalized to a conservative long‑term rate (≈3–5%), even if the raw formula suggests higher.</t>
    </r>
  </si>
  <si>
    <t>used:</t>
  </si>
  <si>
    <t>(5%)</t>
  </si>
  <si>
    <t>Revenue</t>
  </si>
  <si>
    <t>Dividend Payout Ratio</t>
  </si>
  <si>
    <t>Retention Ratio = (1-Dividend Payout Ratio)</t>
  </si>
  <si>
    <t>Return on Equity (ROE)=Net Income/Equity</t>
  </si>
  <si>
    <t>Sustainable Long term Growth Rate (ROE X Retention Ratio)</t>
  </si>
  <si>
    <t>Although the company’s historical sustainable growth averaged 24%, the terminal growth rate has been capped at 3% to align with Singapore’s long‑term economic growth expectations.</t>
  </si>
  <si>
    <t>In our example under 02_Normalization worksheet:</t>
  </si>
  <si>
    <t>UB = LB / (1+ (1-T)* (D/E))</t>
  </si>
  <si>
    <t>D %age of debts          [Total Debt / (Total Equity + Total Debt)]</t>
  </si>
  <si>
    <t>E %age of equity              [Total Equity / (Total Equity + Total Debt)]</t>
  </si>
  <si>
    <t>Therefore, adopted SGR:</t>
  </si>
  <si>
    <t>Small and Micro Cap Stocks</t>
  </si>
  <si>
    <t>Data/Information from SGX or Yahoo Finance website</t>
  </si>
  <si>
    <t>Mid and Large Cap Stock</t>
  </si>
  <si>
    <t>Total Industry + Small Cap</t>
  </si>
  <si>
    <t>Total re-levered beta</t>
  </si>
  <si>
    <t>Total average D/L</t>
  </si>
  <si>
    <t>Sh price on 31 Dec 2025</t>
  </si>
  <si>
    <t>Sh price on 3 Apr 2026</t>
  </si>
  <si>
    <t>Disclaimer: This guidebook and its companion toolkit are provided for educational purposes only. They are not intended as financial advice. Users should apply professional judgment and consult relevant standards, regulations, and authorities when performing valuations.</t>
  </si>
  <si>
    <t>Income Based - Capitalization Method</t>
  </si>
  <si>
    <t>Asset Based - Excess Earning Method</t>
  </si>
  <si>
    <t>Sensitivity Table Layout</t>
  </si>
  <si>
    <r>
      <t>=(R</t>
    </r>
    <r>
      <rPr>
        <i/>
        <sz val="11"/>
        <color theme="1"/>
        <rFont val="Calibri"/>
        <family val="2"/>
        <scheme val="minor"/>
      </rPr>
      <t>d</t>
    </r>
    <r>
      <rPr>
        <sz val="11"/>
        <color theme="1"/>
        <rFont val="Calibri"/>
        <family val="2"/>
        <scheme val="minor"/>
      </rPr>
      <t>*(1-T)</t>
    </r>
  </si>
  <si>
    <t>This represents the contribution of intangible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</si>
</sst>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quot;$&quot;#,##0.00_);[Red]\(&quot;$&quot;#,##0.00\)"/>
    <numFmt numFmtId="43" formatCode="_(* #,##0.00_);_(* \(#,##0.00\);_(* &quot;-&quot;??_);_(@_)"/>
    <numFmt numFmtId="164" formatCode="_(* #,##0.000_);_(* \(#,##0.000\);_(* &quot;-&quot;??_);_(@_)"/>
    <numFmt numFmtId="165" formatCode="_-* #,##0.0000_-;\-* #,##0.0000_-;_-* &quot;-&quot;??_-;_-@_-"/>
    <numFmt numFmtId="166" formatCode="0.000"/>
    <numFmt numFmtId="167" formatCode="_(* #,##0_);_(* \(#,##0\);_(* &quot;-&quot;??_);_(@_)"/>
    <numFmt numFmtId="168" formatCode="_(* #,##0.0000_);_(* \(#,##0.0000\);_(* &quot;-&quot;??_);_(@_)"/>
    <numFmt numFmtId="169" formatCode="_-* #,##0_-;\-* #,##0_-;_-* &quot;-&quot;??_-;_-@_-"/>
    <numFmt numFmtId="170" formatCode="[$-F800]dddd\,\ mmmm\ dd\,\ yyyy"/>
    <numFmt numFmtId="171" formatCode="_(* #,##0.0_);_(* \(#,##0.0\);_(* &quot;-&quot;??_);_(@_)"/>
    <numFmt numFmtId="172" formatCode="0.0%"/>
    <numFmt numFmtId="173" formatCode="0.0000"/>
    <numFmt numFmtId="174" formatCode="_-* #,##0.000_-;\-* #,##0.000_-;_-* &quot;-&quot;??_-;_-@_-"/>
  </numFmts>
  <fonts count="46">
    <font>
      <sz val="11"/>
      <color theme="1"/>
      <name val="Calibri"/>
      <family val="2"/>
      <scheme val="minor"/>
    </font>
    <font>
      <u/>
      <sz val="11"/>
      <color theme="10"/>
      <name val="Calibri"/>
      <family val="2"/>
      <scheme val="minor"/>
    </font>
    <font>
      <sz val="8"/>
      <color theme="1"/>
      <name val="Inherit"/>
    </font>
    <font>
      <sz val="8"/>
      <color theme="1"/>
      <name val="Calibri"/>
      <family val="2"/>
      <scheme val="minor"/>
    </font>
    <font>
      <sz val="11"/>
      <color rgb="FFFF0000"/>
      <name val="Calibri"/>
      <family val="2"/>
      <scheme val="minor"/>
    </font>
    <font>
      <sz val="11"/>
      <name val="Calibri"/>
      <family val="2"/>
      <scheme val="minor"/>
    </font>
    <font>
      <sz val="11"/>
      <color theme="1"/>
      <name val="Calibri"/>
      <family val="2"/>
      <scheme val="minor"/>
    </font>
    <font>
      <b/>
      <sz val="11"/>
      <color theme="1"/>
      <name val="Calibri"/>
      <family val="2"/>
      <scheme val="minor"/>
    </font>
    <font>
      <sz val="12"/>
      <color rgb="FF4A4A4A"/>
      <name val="Times New Roman"/>
      <family val="1"/>
    </font>
    <font>
      <sz val="12"/>
      <color theme="1"/>
      <name val="Times New Roman"/>
      <family val="1"/>
    </font>
    <font>
      <i/>
      <sz val="11"/>
      <color theme="1"/>
      <name val="Calibri"/>
      <family val="2"/>
      <scheme val="minor"/>
    </font>
    <font>
      <sz val="11"/>
      <color indexed="8"/>
      <name val="Calibri"/>
      <family val="2"/>
    </font>
    <font>
      <b/>
      <sz val="11"/>
      <color indexed="8"/>
      <name val="Calibri"/>
      <family val="2"/>
    </font>
    <font>
      <sz val="10"/>
      <color theme="1"/>
      <name val="Calibri"/>
      <family val="2"/>
      <scheme val="minor"/>
    </font>
    <font>
      <sz val="10"/>
      <color indexed="8"/>
      <name val="Calibri"/>
      <family val="2"/>
    </font>
    <font>
      <b/>
      <u/>
      <sz val="11"/>
      <color theme="1"/>
      <name val="Calibri"/>
      <family val="2"/>
      <scheme val="minor"/>
    </font>
    <font>
      <b/>
      <sz val="9"/>
      <color indexed="8"/>
      <name val="Calibri"/>
      <family val="2"/>
    </font>
    <font>
      <i/>
      <sz val="10"/>
      <color theme="1"/>
      <name val="Calibri"/>
      <family val="2"/>
      <scheme val="minor"/>
    </font>
    <font>
      <i/>
      <sz val="10"/>
      <color indexed="8"/>
      <name val="Calibri"/>
      <family val="2"/>
    </font>
    <font>
      <sz val="10"/>
      <color theme="1"/>
      <name val="Arial Unicode MS"/>
    </font>
    <font>
      <b/>
      <sz val="13.5"/>
      <color theme="1"/>
      <name val="Calibri"/>
      <family val="2"/>
      <scheme val="minor"/>
    </font>
    <font>
      <b/>
      <sz val="9"/>
      <color theme="1"/>
      <name val="Calibri"/>
      <family val="2"/>
      <scheme val="minor"/>
    </font>
    <font>
      <b/>
      <i/>
      <sz val="11"/>
      <color theme="1"/>
      <name val="Calibri"/>
      <family val="2"/>
      <scheme val="minor"/>
    </font>
    <font>
      <sz val="9"/>
      <color rgb="FF000000"/>
      <name val="Arial"/>
      <family val="2"/>
    </font>
    <font>
      <b/>
      <sz val="18"/>
      <color theme="1"/>
      <name val="Calibri"/>
      <family val="2"/>
      <scheme val="minor"/>
    </font>
    <font>
      <sz val="10"/>
      <color theme="1"/>
      <name val="Times New Roman"/>
      <family val="1"/>
    </font>
    <font>
      <sz val="11"/>
      <color theme="1"/>
      <name val="Times New Roman"/>
      <family val="1"/>
    </font>
    <font>
      <b/>
      <sz val="24"/>
      <color theme="1"/>
      <name val="Calibri"/>
      <family val="2"/>
      <scheme val="minor"/>
    </font>
    <font>
      <b/>
      <sz val="10"/>
      <color theme="1"/>
      <name val="Arial Unicode MS"/>
    </font>
    <font>
      <sz val="11"/>
      <color theme="1"/>
      <name val="Calibri"/>
      <family val="2"/>
    </font>
    <font>
      <b/>
      <sz val="11"/>
      <name val="Calibri"/>
      <family val="2"/>
      <scheme val="minor"/>
    </font>
    <font>
      <u/>
      <sz val="11"/>
      <color theme="1"/>
      <name val="Calibri"/>
      <family val="2"/>
      <scheme val="minor"/>
    </font>
    <font>
      <sz val="13"/>
      <color theme="1"/>
      <name val="Times New Roman"/>
      <family val="1"/>
    </font>
    <font>
      <i/>
      <sz val="13"/>
      <color theme="1"/>
      <name val="KaTeX_Math"/>
    </font>
    <font>
      <i/>
      <sz val="7.7"/>
      <color theme="1"/>
      <name val="KaTeX_Math"/>
    </font>
    <font>
      <sz val="1"/>
      <color theme="1"/>
      <name val="Times New Roman"/>
      <family val="1"/>
    </font>
    <font>
      <b/>
      <sz val="13"/>
      <color theme="1"/>
      <name val="Times New Roman"/>
      <family val="1"/>
    </font>
    <font>
      <b/>
      <sz val="12"/>
      <color theme="1"/>
      <name val="Calibri"/>
      <family val="2"/>
      <scheme val="minor"/>
    </font>
    <font>
      <sz val="12"/>
      <color theme="1"/>
      <name val="Calibri"/>
      <family val="2"/>
      <scheme val="minor"/>
    </font>
    <font>
      <sz val="12"/>
      <color theme="1"/>
      <name val="Arial Unicode MS"/>
    </font>
    <font>
      <sz val="8"/>
      <name val="Calibri"/>
      <family val="2"/>
      <scheme val="minor"/>
    </font>
    <font>
      <b/>
      <sz val="12"/>
      <color theme="1"/>
      <name val="Times New Roman"/>
      <family val="1"/>
    </font>
    <font>
      <b/>
      <sz val="11"/>
      <color rgb="FFFF0000"/>
      <name val="Calibri"/>
      <family val="2"/>
      <scheme val="minor"/>
    </font>
    <font>
      <sz val="12"/>
      <color rgb="FFFF0000"/>
      <name val="Calibri"/>
      <family val="2"/>
      <scheme val="minor"/>
    </font>
    <font>
      <b/>
      <sz val="12"/>
      <color rgb="FFFF0000"/>
      <name val="Calibri"/>
      <family val="2"/>
      <scheme val="minor"/>
    </font>
    <font>
      <b/>
      <sz val="10"/>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79998168889431442"/>
        <bgColor indexed="64"/>
      </patternFill>
    </fill>
  </fills>
  <borders count="19">
    <border>
      <left/>
      <right/>
      <top/>
      <bottom/>
      <diagonal/>
    </border>
    <border>
      <left style="medium">
        <color rgb="FF000000"/>
      </left>
      <right style="medium">
        <color rgb="FF000000"/>
      </right>
      <top/>
      <bottom style="medium">
        <color rgb="FF000000"/>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s>
  <cellStyleXfs count="4">
    <xf numFmtId="0" fontId="0" fillId="0" borderId="0"/>
    <xf numFmtId="0" fontId="1" fillId="0" borderId="0" applyNumberForma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331">
    <xf numFmtId="0" fontId="0" fillId="0" borderId="0" xfId="0"/>
    <xf numFmtId="0" fontId="1" fillId="0" borderId="0" xfId="1"/>
    <xf numFmtId="0" fontId="0" fillId="0" borderId="1" xfId="0" applyBorder="1" applyAlignment="1">
      <alignment vertical="center"/>
    </xf>
    <xf numFmtId="0" fontId="2" fillId="0" borderId="0" xfId="0" applyFont="1" applyAlignment="1">
      <alignment vertical="center" wrapText="1"/>
    </xf>
    <xf numFmtId="0" fontId="3" fillId="0" borderId="0" xfId="0" applyFont="1" applyAlignment="1">
      <alignment wrapText="1"/>
    </xf>
    <xf numFmtId="0" fontId="0" fillId="0" borderId="0" xfId="0" applyBorder="1" applyAlignment="1">
      <alignment vertical="center"/>
    </xf>
    <xf numFmtId="0" fontId="1" fillId="0" borderId="0" xfId="1" applyBorder="1"/>
    <xf numFmtId="0" fontId="0" fillId="0" borderId="0" xfId="0" applyAlignment="1">
      <alignment horizontal="center"/>
    </xf>
    <xf numFmtId="0" fontId="4" fillId="0" borderId="0" xfId="0" applyFont="1"/>
    <xf numFmtId="0" fontId="4" fillId="0" borderId="0" xfId="0" applyFont="1" applyAlignment="1">
      <alignment horizontal="center"/>
    </xf>
    <xf numFmtId="0" fontId="5" fillId="0" borderId="0" xfId="0" applyFont="1" applyAlignment="1">
      <alignment horizontal="center"/>
    </xf>
    <xf numFmtId="11" fontId="0" fillId="0" borderId="0" xfId="0" quotePrefix="1" applyNumberFormat="1" applyAlignment="1">
      <alignment horizontal="center"/>
    </xf>
    <xf numFmtId="0" fontId="0" fillId="0" borderId="0" xfId="0" applyAlignment="1">
      <alignment vertical="top" wrapText="1"/>
    </xf>
    <xf numFmtId="0" fontId="9" fillId="0" borderId="0" xfId="0" applyFont="1"/>
    <xf numFmtId="0" fontId="10" fillId="0" borderId="0" xfId="0" applyFont="1"/>
    <xf numFmtId="0" fontId="7" fillId="0" borderId="2" xfId="0" applyFont="1" applyBorder="1"/>
    <xf numFmtId="0" fontId="7" fillId="0" borderId="0" xfId="0" applyFont="1" applyBorder="1"/>
    <xf numFmtId="0" fontId="0" fillId="0" borderId="0" xfId="0" applyAlignment="1">
      <alignment horizontal="center" vertical="center" wrapText="1"/>
    </xf>
    <xf numFmtId="43" fontId="6" fillId="0" borderId="0" xfId="2" applyFont="1"/>
    <xf numFmtId="165" fontId="0" fillId="0" borderId="0" xfId="0" applyNumberFormat="1"/>
    <xf numFmtId="43" fontId="6" fillId="0" borderId="3" xfId="2" applyFont="1" applyBorder="1"/>
    <xf numFmtId="0" fontId="0" fillId="0" borderId="0" xfId="0" applyAlignment="1">
      <alignment horizontal="right"/>
    </xf>
    <xf numFmtId="0" fontId="7" fillId="0" borderId="0" xfId="0" applyFont="1" applyAlignment="1">
      <alignment horizontal="right"/>
    </xf>
    <xf numFmtId="166" fontId="0" fillId="0" borderId="4" xfId="0" applyNumberFormat="1" applyBorder="1"/>
    <xf numFmtId="0" fontId="7" fillId="0" borderId="0" xfId="0" applyFont="1"/>
    <xf numFmtId="164" fontId="7" fillId="0" borderId="0" xfId="0" applyNumberFormat="1" applyFont="1"/>
    <xf numFmtId="0" fontId="0" fillId="0" borderId="0" xfId="0" applyFill="1"/>
    <xf numFmtId="0" fontId="13" fillId="0" borderId="0" xfId="0" applyFont="1"/>
    <xf numFmtId="0" fontId="15" fillId="0" borderId="0" xfId="0" applyFont="1"/>
    <xf numFmtId="166" fontId="7" fillId="0" borderId="0" xfId="0" applyNumberFormat="1" applyFont="1"/>
    <xf numFmtId="166" fontId="7" fillId="0" borderId="4" xfId="0" applyNumberFormat="1" applyFont="1" applyBorder="1"/>
    <xf numFmtId="0" fontId="17" fillId="0" borderId="0" xfId="0" applyFont="1"/>
    <xf numFmtId="0" fontId="0" fillId="0" borderId="2" xfId="0" applyBorder="1"/>
    <xf numFmtId="2" fontId="0" fillId="0" borderId="0" xfId="0" applyNumberFormat="1"/>
    <xf numFmtId="0" fontId="7" fillId="0" borderId="0" xfId="0" applyFont="1" applyAlignment="1">
      <alignment horizontal="center" wrapText="1"/>
    </xf>
    <xf numFmtId="43" fontId="0" fillId="0" borderId="0" xfId="0" applyNumberFormat="1"/>
    <xf numFmtId="0" fontId="0" fillId="0" borderId="0" xfId="0" applyAlignment="1">
      <alignment horizontal="center" wrapText="1"/>
    </xf>
    <xf numFmtId="0" fontId="0" fillId="0" borderId="0" xfId="0" applyAlignment="1">
      <alignment wrapText="1"/>
    </xf>
    <xf numFmtId="166" fontId="0" fillId="0" borderId="3" xfId="0" applyNumberFormat="1" applyBorder="1"/>
    <xf numFmtId="10" fontId="0" fillId="0" borderId="3" xfId="0" applyNumberFormat="1" applyBorder="1"/>
    <xf numFmtId="0" fontId="7" fillId="0" borderId="0" xfId="0" applyFont="1" applyAlignment="1">
      <alignment horizontal="center" vertical="center" wrapText="1"/>
    </xf>
    <xf numFmtId="9" fontId="6" fillId="0" borderId="3" xfId="3" applyFont="1" applyBorder="1"/>
    <xf numFmtId="2" fontId="0" fillId="0" borderId="3" xfId="0" applyNumberFormat="1" applyBorder="1"/>
    <xf numFmtId="167" fontId="6" fillId="0" borderId="0" xfId="2" applyNumberFormat="1" applyFont="1"/>
    <xf numFmtId="167" fontId="6" fillId="0" borderId="2" xfId="2" applyNumberFormat="1" applyFont="1" applyBorder="1"/>
    <xf numFmtId="0" fontId="7" fillId="0" borderId="0" xfId="0" applyFont="1" applyBorder="1" applyAlignment="1">
      <alignment horizontal="center"/>
    </xf>
    <xf numFmtId="167" fontId="0" fillId="0" borderId="0" xfId="0" applyNumberFormat="1"/>
    <xf numFmtId="167" fontId="0" fillId="0" borderId="0" xfId="2" applyNumberFormat="1" applyFont="1"/>
    <xf numFmtId="38" fontId="0" fillId="0" borderId="0" xfId="0" applyNumberFormat="1"/>
    <xf numFmtId="0" fontId="0" fillId="0" borderId="0" xfId="0" applyAlignment="1">
      <alignment vertical="center" wrapText="1"/>
    </xf>
    <xf numFmtId="0" fontId="7" fillId="0" borderId="0" xfId="0" applyFont="1" applyAlignment="1">
      <alignment vertical="center" wrapText="1"/>
    </xf>
    <xf numFmtId="0" fontId="19" fillId="0" borderId="0" xfId="0" applyFont="1" applyAlignment="1">
      <alignment vertical="center" wrapText="1"/>
    </xf>
    <xf numFmtId="0" fontId="7" fillId="0" borderId="0" xfId="0" applyFont="1" applyAlignment="1">
      <alignment horizontal="center"/>
    </xf>
    <xf numFmtId="0" fontId="7" fillId="0" borderId="0" xfId="0" applyFont="1" applyAlignment="1">
      <alignment wrapText="1"/>
    </xf>
    <xf numFmtId="0" fontId="20" fillId="0" borderId="0" xfId="0" applyFont="1" applyAlignment="1">
      <alignment vertical="center"/>
    </xf>
    <xf numFmtId="0" fontId="0" fillId="0" borderId="0" xfId="0" applyAlignment="1">
      <alignment horizontal="left" vertical="center" indent="1"/>
    </xf>
    <xf numFmtId="0" fontId="7" fillId="0" borderId="2" xfId="0" applyFont="1" applyBorder="1" applyAlignment="1">
      <alignment wrapText="1"/>
    </xf>
    <xf numFmtId="0" fontId="7" fillId="0" borderId="2" xfId="0" applyFont="1" applyBorder="1" applyAlignment="1">
      <alignment horizontal="center" wrapText="1"/>
    </xf>
    <xf numFmtId="9" fontId="0" fillId="0" borderId="0" xfId="0" applyNumberFormat="1"/>
    <xf numFmtId="43" fontId="0" fillId="0" borderId="0" xfId="2" applyFont="1"/>
    <xf numFmtId="168" fontId="6" fillId="0" borderId="0" xfId="2" applyNumberFormat="1" applyFont="1"/>
    <xf numFmtId="0" fontId="0" fillId="3" borderId="0" xfId="0" applyFill="1"/>
    <xf numFmtId="43" fontId="6" fillId="2" borderId="0" xfId="2" applyFont="1" applyFill="1"/>
    <xf numFmtId="43" fontId="6" fillId="3" borderId="0" xfId="2" applyFont="1" applyFill="1"/>
    <xf numFmtId="0" fontId="7" fillId="3" borderId="0" xfId="0" quotePrefix="1" applyFont="1" applyFill="1" applyAlignment="1">
      <alignment horizontal="center" vertical="center" wrapText="1"/>
    </xf>
    <xf numFmtId="0" fontId="7" fillId="3" borderId="0" xfId="0" applyFont="1" applyFill="1" applyAlignment="1">
      <alignment horizontal="center" vertical="center" wrapText="1"/>
    </xf>
    <xf numFmtId="165" fontId="0" fillId="3" borderId="0" xfId="0" applyNumberFormat="1" applyFill="1"/>
    <xf numFmtId="43" fontId="0" fillId="3" borderId="0" xfId="2" applyFont="1" applyFill="1"/>
    <xf numFmtId="0" fontId="7" fillId="2" borderId="0" xfId="0" applyFont="1" applyFill="1" applyAlignment="1">
      <alignment horizontal="center" wrapText="1"/>
    </xf>
    <xf numFmtId="43" fontId="0" fillId="2" borderId="0" xfId="0" applyNumberFormat="1" applyFill="1"/>
    <xf numFmtId="0" fontId="7" fillId="3" borderId="0" xfId="0" applyFont="1" applyFill="1" applyAlignment="1">
      <alignment horizontal="center" wrapText="1"/>
    </xf>
    <xf numFmtId="10" fontId="0" fillId="3" borderId="0" xfId="0" applyNumberFormat="1" applyFill="1"/>
    <xf numFmtId="166" fontId="6" fillId="3" borderId="0" xfId="2" applyNumberFormat="1" applyFont="1" applyFill="1"/>
    <xf numFmtId="166" fontId="6" fillId="3" borderId="0" xfId="3" applyNumberFormat="1" applyFont="1" applyFill="1"/>
    <xf numFmtId="10" fontId="6" fillId="3" borderId="0" xfId="2" applyNumberFormat="1" applyFont="1" applyFill="1"/>
    <xf numFmtId="43" fontId="0" fillId="3" borderId="0" xfId="0" applyNumberFormat="1" applyFill="1"/>
    <xf numFmtId="167" fontId="6" fillId="2" borderId="0" xfId="2" applyNumberFormat="1" applyFont="1" applyFill="1"/>
    <xf numFmtId="167" fontId="6" fillId="2" borderId="2" xfId="2" applyNumberFormat="1" applyFont="1" applyFill="1" applyBorder="1"/>
    <xf numFmtId="0" fontId="0" fillId="3" borderId="0" xfId="0" applyFill="1" applyAlignment="1">
      <alignment wrapText="1"/>
    </xf>
    <xf numFmtId="0" fontId="22" fillId="0" borderId="0" xfId="0" applyFont="1"/>
    <xf numFmtId="0" fontId="0" fillId="0" borderId="0" xfId="0" applyAlignment="1">
      <alignment horizontal="left" wrapText="1"/>
    </xf>
    <xf numFmtId="0" fontId="7" fillId="0" borderId="2" xfId="0" applyFont="1" applyBorder="1" applyAlignment="1">
      <alignment horizontal="center"/>
    </xf>
    <xf numFmtId="15" fontId="7" fillId="0" borderId="2" xfId="0" applyNumberFormat="1" applyFont="1" applyBorder="1" applyAlignment="1">
      <alignment horizontal="center"/>
    </xf>
    <xf numFmtId="167" fontId="7" fillId="0" borderId="0" xfId="2" applyNumberFormat="1" applyFont="1"/>
    <xf numFmtId="167" fontId="6" fillId="0" borderId="5" xfId="2" applyNumberFormat="1" applyFont="1" applyBorder="1"/>
    <xf numFmtId="167" fontId="6" fillId="0" borderId="6" xfId="2" applyNumberFormat="1" applyFont="1" applyBorder="1"/>
    <xf numFmtId="167" fontId="6" fillId="0" borderId="7" xfId="2" applyNumberFormat="1" applyFont="1" applyBorder="1"/>
    <xf numFmtId="167" fontId="6" fillId="0" borderId="8" xfId="2" applyNumberFormat="1" applyFont="1" applyBorder="1"/>
    <xf numFmtId="0" fontId="0" fillId="0" borderId="0" xfId="0" applyFont="1" applyFill="1" applyBorder="1"/>
    <xf numFmtId="167" fontId="6" fillId="0" borderId="9" xfId="2" applyNumberFormat="1" applyFont="1" applyBorder="1"/>
    <xf numFmtId="167" fontId="6" fillId="0" borderId="10" xfId="2" applyNumberFormat="1" applyFont="1" applyBorder="1"/>
    <xf numFmtId="167" fontId="6" fillId="0" borderId="11" xfId="2" applyNumberFormat="1" applyFont="1" applyBorder="1"/>
    <xf numFmtId="167" fontId="6" fillId="0" borderId="0" xfId="2" applyNumberFormat="1" applyFont="1" applyBorder="1"/>
    <xf numFmtId="167" fontId="6" fillId="0" borderId="12" xfId="2" applyNumberFormat="1" applyFont="1" applyBorder="1"/>
    <xf numFmtId="167" fontId="6" fillId="0" borderId="13" xfId="2" applyNumberFormat="1" applyFont="1" applyBorder="1"/>
    <xf numFmtId="167" fontId="6" fillId="0" borderId="14" xfId="2" applyNumberFormat="1" applyFont="1" applyBorder="1"/>
    <xf numFmtId="167" fontId="7" fillId="0" borderId="0" xfId="2" applyNumberFormat="1" applyFont="1" applyBorder="1"/>
    <xf numFmtId="0" fontId="0" fillId="0" borderId="11" xfId="0" applyBorder="1"/>
    <xf numFmtId="0" fontId="0" fillId="0" borderId="11" xfId="0" applyFill="1" applyBorder="1"/>
    <xf numFmtId="0" fontId="0" fillId="0" borderId="12" xfId="0" applyBorder="1"/>
    <xf numFmtId="0" fontId="0" fillId="0" borderId="13" xfId="0" applyBorder="1"/>
    <xf numFmtId="167" fontId="7" fillId="0" borderId="0" xfId="0" applyNumberFormat="1" applyFont="1" applyBorder="1"/>
    <xf numFmtId="0" fontId="0" fillId="0" borderId="0" xfId="0" applyAlignment="1">
      <alignment vertical="top"/>
    </xf>
    <xf numFmtId="0" fontId="0" fillId="0" borderId="0" xfId="0" applyAlignment="1">
      <alignment horizontal="center" vertical="top"/>
    </xf>
    <xf numFmtId="0" fontId="23" fillId="0" borderId="0" xfId="0" applyFont="1" applyAlignment="1">
      <alignment horizontal="center" vertical="top" wrapText="1"/>
    </xf>
    <xf numFmtId="164" fontId="6" fillId="0" borderId="0" xfId="2" applyNumberFormat="1" applyFont="1" applyAlignment="1">
      <alignment vertical="top"/>
    </xf>
    <xf numFmtId="43" fontId="6" fillId="0" borderId="0" xfId="2" applyFont="1" applyAlignment="1">
      <alignment wrapText="1"/>
    </xf>
    <xf numFmtId="167" fontId="6" fillId="0" borderId="3" xfId="2" applyNumberFormat="1" applyFont="1" applyBorder="1"/>
    <xf numFmtId="167" fontId="6" fillId="0" borderId="15" xfId="2" applyNumberFormat="1" applyFont="1" applyBorder="1"/>
    <xf numFmtId="167" fontId="0" fillId="0" borderId="3" xfId="0" applyNumberFormat="1" applyBorder="1"/>
    <xf numFmtId="0" fontId="7" fillId="0" borderId="0" xfId="0" quotePrefix="1" applyFont="1" applyAlignment="1">
      <alignment horizontal="center" wrapText="1"/>
    </xf>
    <xf numFmtId="15" fontId="0" fillId="0" borderId="0" xfId="0" applyNumberFormat="1"/>
    <xf numFmtId="0" fontId="7" fillId="0" borderId="0" xfId="0" quotePrefix="1" applyFont="1" applyAlignment="1">
      <alignment horizontal="center"/>
    </xf>
    <xf numFmtId="0" fontId="0" fillId="0" borderId="0" xfId="0" applyFont="1"/>
    <xf numFmtId="0" fontId="7" fillId="0" borderId="0" xfId="0" applyFont="1" applyFill="1" applyAlignment="1">
      <alignment horizontal="center"/>
    </xf>
    <xf numFmtId="0" fontId="24" fillId="0" borderId="0" xfId="0" applyFont="1" applyAlignment="1">
      <alignment vertical="center"/>
    </xf>
    <xf numFmtId="0" fontId="7" fillId="0" borderId="0" xfId="0" applyFont="1" applyAlignment="1">
      <alignment horizontal="left" vertical="center" indent="1"/>
    </xf>
    <xf numFmtId="0" fontId="0" fillId="0" borderId="0" xfId="0" applyAlignment="1">
      <alignment horizontal="left" vertical="center" wrapText="1"/>
    </xf>
    <xf numFmtId="15" fontId="0" fillId="0" borderId="0" xfId="0" applyNumberFormat="1" applyAlignment="1">
      <alignment horizontal="left" vertical="center" wrapText="1"/>
    </xf>
    <xf numFmtId="0" fontId="19" fillId="0" borderId="0" xfId="0" applyFont="1" applyAlignment="1">
      <alignment horizontal="left" vertical="center" indent="1"/>
    </xf>
    <xf numFmtId="0" fontId="0" fillId="0" borderId="0" xfId="0" applyAlignment="1">
      <alignment horizontal="left" vertical="center" indent="2"/>
    </xf>
    <xf numFmtId="166" fontId="0" fillId="0" borderId="0" xfId="0" applyNumberFormat="1"/>
    <xf numFmtId="0" fontId="0" fillId="0" borderId="0" xfId="0" applyAlignment="1">
      <alignment horizontal="center"/>
    </xf>
    <xf numFmtId="0" fontId="25" fillId="0" borderId="0" xfId="0" applyFont="1"/>
    <xf numFmtId="0" fontId="25" fillId="0" borderId="0" xfId="0" applyFont="1" applyBorder="1" applyAlignment="1">
      <alignment vertical="top" wrapText="1"/>
    </xf>
    <xf numFmtId="0" fontId="25" fillId="0" borderId="0" xfId="0" applyFont="1" applyBorder="1"/>
    <xf numFmtId="0" fontId="0" fillId="0" borderId="0" xfId="0" applyBorder="1"/>
    <xf numFmtId="0" fontId="25" fillId="0" borderId="0" xfId="0" applyFont="1" applyBorder="1" applyAlignment="1">
      <alignment vertical="center" wrapText="1"/>
    </xf>
    <xf numFmtId="43" fontId="0" fillId="0" borderId="8" xfId="2" applyFont="1" applyBorder="1"/>
    <xf numFmtId="2" fontId="0" fillId="0" borderId="0" xfId="2" applyNumberFormat="1" applyFont="1"/>
    <xf numFmtId="43" fontId="0" fillId="0" borderId="15" xfId="2" applyFont="1" applyBorder="1"/>
    <xf numFmtId="0" fontId="26" fillId="0" borderId="0" xfId="0" applyFont="1"/>
    <xf numFmtId="0" fontId="26" fillId="0" borderId="0" xfId="0" applyFont="1" applyAlignment="1">
      <alignment horizontal="left" vertical="top" wrapText="1"/>
    </xf>
    <xf numFmtId="0" fontId="26" fillId="0" borderId="17" xfId="0" applyFont="1" applyBorder="1" applyAlignment="1">
      <alignment vertical="center" wrapText="1"/>
    </xf>
    <xf numFmtId="0" fontId="0" fillId="0" borderId="2" xfId="0" applyBorder="1" applyAlignment="1">
      <alignment horizontal="center"/>
    </xf>
    <xf numFmtId="167" fontId="0" fillId="0" borderId="15" xfId="2" applyNumberFormat="1" applyFont="1" applyBorder="1"/>
    <xf numFmtId="167" fontId="0" fillId="0" borderId="8" xfId="2" applyNumberFormat="1" applyFont="1" applyBorder="1"/>
    <xf numFmtId="169" fontId="7" fillId="0" borderId="15" xfId="0" applyNumberFormat="1" applyFont="1" applyBorder="1"/>
    <xf numFmtId="167" fontId="0" fillId="0" borderId="0" xfId="2" applyNumberFormat="1" applyFont="1" applyFill="1"/>
    <xf numFmtId="164" fontId="0" fillId="0" borderId="0" xfId="2" applyNumberFormat="1" applyFont="1"/>
    <xf numFmtId="1" fontId="0" fillId="0" borderId="0" xfId="2" applyNumberFormat="1" applyFont="1" applyAlignment="1">
      <alignment horizontal="left" vertical="top"/>
    </xf>
    <xf numFmtId="170" fontId="0" fillId="0" borderId="0" xfId="0" applyNumberFormat="1"/>
    <xf numFmtId="164" fontId="0" fillId="0" borderId="0" xfId="0" applyNumberFormat="1"/>
    <xf numFmtId="0" fontId="27" fillId="0" borderId="0" xfId="0" applyFont="1" applyAlignment="1">
      <alignment vertical="center"/>
    </xf>
    <xf numFmtId="43" fontId="7" fillId="0" borderId="0" xfId="0" applyNumberFormat="1" applyFont="1"/>
    <xf numFmtId="38" fontId="7" fillId="0" borderId="0" xfId="0" applyNumberFormat="1" applyFont="1" applyAlignment="1">
      <alignment horizontal="center" vertical="center" wrapText="1"/>
    </xf>
    <xf numFmtId="43" fontId="19" fillId="0" borderId="0" xfId="0" applyNumberFormat="1" applyFont="1" applyAlignment="1">
      <alignment vertical="center" wrapText="1"/>
    </xf>
    <xf numFmtId="43" fontId="19" fillId="0" borderId="0" xfId="2" applyFont="1" applyAlignment="1">
      <alignment vertical="center" wrapText="1"/>
    </xf>
    <xf numFmtId="167" fontId="19" fillId="0" borderId="0" xfId="2" applyNumberFormat="1" applyFont="1" applyAlignment="1">
      <alignment vertical="center" wrapText="1"/>
    </xf>
    <xf numFmtId="38" fontId="0" fillId="0" borderId="2" xfId="0" applyNumberFormat="1" applyBorder="1"/>
    <xf numFmtId="38" fontId="0" fillId="0" borderId="15" xfId="0" applyNumberFormat="1" applyBorder="1"/>
    <xf numFmtId="167" fontId="19" fillId="0" borderId="0" xfId="0" applyNumberFormat="1" applyFont="1" applyAlignment="1">
      <alignment vertical="center" wrapText="1"/>
    </xf>
    <xf numFmtId="0" fontId="7" fillId="0" borderId="0" xfId="0" applyFont="1" applyAlignment="1">
      <alignment horizontal="left" vertical="center" indent="2"/>
    </xf>
    <xf numFmtId="10" fontId="0" fillId="0" borderId="0" xfId="0" applyNumberFormat="1"/>
    <xf numFmtId="43" fontId="0" fillId="0" borderId="0" xfId="0" applyNumberFormat="1" applyAlignment="1">
      <alignment vertical="center" wrapText="1"/>
    </xf>
    <xf numFmtId="0" fontId="20" fillId="0" borderId="0" xfId="0" applyFont="1"/>
    <xf numFmtId="0" fontId="19" fillId="0" borderId="0" xfId="0" applyFont="1" applyAlignment="1">
      <alignment vertical="center"/>
    </xf>
    <xf numFmtId="9" fontId="7" fillId="0" borderId="0" xfId="0" applyNumberFormat="1" applyFont="1" applyAlignment="1">
      <alignment horizontal="center" vertical="center" wrapText="1"/>
    </xf>
    <xf numFmtId="9" fontId="7" fillId="0" borderId="0" xfId="0" applyNumberFormat="1" applyFont="1" applyAlignment="1">
      <alignment vertical="center" wrapText="1"/>
    </xf>
    <xf numFmtId="0" fontId="7" fillId="0" borderId="16" xfId="0" applyFont="1" applyBorder="1" applyAlignment="1">
      <alignment horizontal="center" vertical="center" wrapText="1"/>
    </xf>
    <xf numFmtId="9" fontId="0" fillId="0" borderId="16" xfId="0" applyNumberFormat="1" applyBorder="1"/>
    <xf numFmtId="0" fontId="0" fillId="0" borderId="16" xfId="0" applyBorder="1" applyAlignment="1">
      <alignment vertical="center" wrapText="1"/>
    </xf>
    <xf numFmtId="3" fontId="0" fillId="0" borderId="16" xfId="0" applyNumberFormat="1" applyBorder="1" applyAlignment="1">
      <alignment vertical="center" wrapText="1"/>
    </xf>
    <xf numFmtId="0" fontId="19" fillId="0" borderId="16" xfId="0" applyFont="1" applyBorder="1" applyAlignment="1">
      <alignment vertical="center" wrapText="1"/>
    </xf>
    <xf numFmtId="0" fontId="0" fillId="0" borderId="16" xfId="0" applyBorder="1" applyAlignment="1">
      <alignment horizontal="center" vertical="center" wrapText="1"/>
    </xf>
    <xf numFmtId="167" fontId="19" fillId="0" borderId="16" xfId="2" applyNumberFormat="1" applyFont="1" applyBorder="1" applyAlignment="1">
      <alignment vertical="center" wrapText="1"/>
    </xf>
    <xf numFmtId="0" fontId="7" fillId="0" borderId="0" xfId="0" applyFont="1" applyAlignment="1">
      <alignment vertical="center"/>
    </xf>
    <xf numFmtId="0" fontId="28" fillId="0" borderId="0" xfId="0" applyFont="1" applyAlignment="1">
      <alignment vertical="center"/>
    </xf>
    <xf numFmtId="10" fontId="0" fillId="0" borderId="16" xfId="0" applyNumberFormat="1" applyBorder="1"/>
    <xf numFmtId="0" fontId="7" fillId="0" borderId="0" xfId="0" applyFont="1" applyAlignment="1">
      <alignment horizontal="center"/>
    </xf>
    <xf numFmtId="0" fontId="0" fillId="0" borderId="0" xfId="0" applyFont="1" applyAlignment="1">
      <alignment vertical="center"/>
    </xf>
    <xf numFmtId="168" fontId="6" fillId="4" borderId="0" xfId="2" applyNumberFormat="1" applyFont="1" applyFill="1"/>
    <xf numFmtId="0" fontId="7" fillId="0" borderId="0" xfId="0" applyFont="1" applyBorder="1" applyAlignment="1">
      <alignment horizontal="center" vertical="center"/>
    </xf>
    <xf numFmtId="0" fontId="5" fillId="0" borderId="0" xfId="0" applyFont="1"/>
    <xf numFmtId="0" fontId="0" fillId="0" borderId="0" xfId="0" applyAlignment="1">
      <alignment horizontal="center"/>
    </xf>
    <xf numFmtId="0" fontId="0" fillId="0" borderId="0" xfId="0" applyNumberFormat="1"/>
    <xf numFmtId="171" fontId="0" fillId="0" borderId="0" xfId="2" applyNumberFormat="1" applyFont="1"/>
    <xf numFmtId="168" fontId="0" fillId="0" borderId="0" xfId="2" applyNumberFormat="1" applyFont="1"/>
    <xf numFmtId="0" fontId="0" fillId="6" borderId="0" xfId="0" applyFill="1" applyAlignment="1">
      <alignment horizontal="center" vertical="center" wrapText="1"/>
    </xf>
    <xf numFmtId="0" fontId="0" fillId="7" borderId="0" xfId="0" applyFill="1" applyAlignment="1">
      <alignment horizontal="center" vertical="center" wrapText="1"/>
    </xf>
    <xf numFmtId="0" fontId="7" fillId="6" borderId="2" xfId="0" applyFont="1" applyFill="1" applyBorder="1" applyAlignment="1">
      <alignment horizontal="center" vertical="center" wrapText="1"/>
    </xf>
    <xf numFmtId="0" fontId="7" fillId="6" borderId="0" xfId="0" applyFont="1" applyFill="1" applyBorder="1" applyAlignment="1">
      <alignment horizontal="center" vertical="center" wrapText="1"/>
    </xf>
    <xf numFmtId="0" fontId="7" fillId="6" borderId="0" xfId="0" applyFont="1" applyFill="1" applyAlignment="1">
      <alignment horizontal="center" vertical="center" wrapText="1"/>
    </xf>
    <xf numFmtId="0" fontId="7" fillId="8" borderId="2" xfId="0" applyFont="1" applyFill="1" applyBorder="1" applyAlignment="1">
      <alignment horizontal="center" vertical="center" wrapText="1"/>
    </xf>
    <xf numFmtId="0" fontId="7" fillId="8" borderId="0" xfId="0" quotePrefix="1" applyFont="1" applyFill="1" applyAlignment="1">
      <alignment horizontal="center" vertical="center" wrapText="1"/>
    </xf>
    <xf numFmtId="0" fontId="7" fillId="8" borderId="0" xfId="0" applyFont="1" applyFill="1" applyAlignment="1">
      <alignment horizontal="center" vertical="center" wrapText="1"/>
    </xf>
    <xf numFmtId="0" fontId="1" fillId="5" borderId="18" xfId="1" applyFont="1" applyFill="1" applyBorder="1"/>
    <xf numFmtId="0" fontId="0" fillId="0" borderId="2" xfId="0" applyBorder="1" applyAlignment="1">
      <alignment horizontal="left" vertical="center" indent="1"/>
    </xf>
    <xf numFmtId="15" fontId="0" fillId="0" borderId="2" xfId="0" applyNumberFormat="1" applyBorder="1"/>
    <xf numFmtId="0" fontId="21" fillId="8" borderId="2" xfId="0" applyFont="1" applyFill="1" applyBorder="1" applyAlignment="1">
      <alignment horizontal="center" vertical="center" wrapText="1"/>
    </xf>
    <xf numFmtId="0" fontId="0" fillId="0" borderId="0" xfId="0" applyAlignment="1">
      <alignment horizontal="center"/>
    </xf>
    <xf numFmtId="0" fontId="0" fillId="0" borderId="0" xfId="0" quotePrefix="1"/>
    <xf numFmtId="166" fontId="7" fillId="0" borderId="3" xfId="0" applyNumberFormat="1" applyFont="1" applyBorder="1"/>
    <xf numFmtId="164" fontId="6" fillId="3" borderId="0" xfId="2" applyNumberFormat="1" applyFont="1" applyFill="1"/>
    <xf numFmtId="2" fontId="0" fillId="6" borderId="0" xfId="0" applyNumberFormat="1" applyFill="1"/>
    <xf numFmtId="2" fontId="0" fillId="6" borderId="2" xfId="0" applyNumberFormat="1" applyFill="1" applyBorder="1"/>
    <xf numFmtId="0" fontId="29" fillId="0" borderId="0" xfId="0" applyFont="1"/>
    <xf numFmtId="0" fontId="30" fillId="0" borderId="0" xfId="1" applyFont="1"/>
    <xf numFmtId="0" fontId="0" fillId="0" borderId="4" xfId="0" applyBorder="1" applyAlignment="1">
      <alignment wrapText="1"/>
    </xf>
    <xf numFmtId="43" fontId="0" fillId="0" borderId="0" xfId="2" applyFont="1" applyAlignment="1">
      <alignment wrapText="1"/>
    </xf>
    <xf numFmtId="0" fontId="0" fillId="0" borderId="0" xfId="0" applyAlignment="1">
      <alignment horizontal="center" wrapText="1"/>
    </xf>
    <xf numFmtId="9" fontId="0" fillId="0" borderId="0" xfId="0" applyNumberFormat="1" applyAlignment="1">
      <alignment vertical="center" wrapText="1"/>
    </xf>
    <xf numFmtId="10" fontId="0" fillId="0" borderId="0" xfId="0" applyNumberFormat="1" applyAlignment="1">
      <alignment vertical="center" wrapText="1"/>
    </xf>
    <xf numFmtId="0" fontId="0" fillId="0" borderId="0" xfId="0" quotePrefix="1" applyAlignment="1">
      <alignment vertical="center" wrapText="1"/>
    </xf>
    <xf numFmtId="0" fontId="0" fillId="0" borderId="0" xfId="0" applyAlignment="1"/>
    <xf numFmtId="0" fontId="0" fillId="0" borderId="0" xfId="0" applyNumberFormat="1" applyAlignment="1">
      <alignment horizontal="right" vertical="center" wrapText="1"/>
    </xf>
    <xf numFmtId="0" fontId="7" fillId="0" borderId="0" xfId="0" applyFont="1" applyAlignment="1"/>
    <xf numFmtId="0" fontId="7" fillId="0" borderId="0" xfId="0" applyFont="1" applyAlignment="1">
      <alignment horizontal="left"/>
    </xf>
    <xf numFmtId="172" fontId="0" fillId="0" borderId="0" xfId="3" applyNumberFormat="1" applyFont="1"/>
    <xf numFmtId="10" fontId="0" fillId="0" borderId="0" xfId="3" applyNumberFormat="1" applyFont="1"/>
    <xf numFmtId="10" fontId="0" fillId="0" borderId="0" xfId="3" applyNumberFormat="1" applyFont="1" applyAlignment="1"/>
    <xf numFmtId="10" fontId="7" fillId="0" borderId="0" xfId="3" applyNumberFormat="1" applyFont="1" applyAlignment="1">
      <alignment horizontal="center" vertical="center" wrapText="1"/>
    </xf>
    <xf numFmtId="0" fontId="0" fillId="6" borderId="0" xfId="0" applyFill="1" applyAlignment="1">
      <alignment horizontal="right"/>
    </xf>
    <xf numFmtId="0" fontId="0" fillId="6" borderId="0" xfId="0" applyFill="1"/>
    <xf numFmtId="0" fontId="7" fillId="0" borderId="0" xfId="0" applyFont="1" applyAlignment="1">
      <alignment horizontal="center" vertical="center" wrapText="1"/>
    </xf>
    <xf numFmtId="10" fontId="0" fillId="0" borderId="0" xfId="3" quotePrefix="1" applyNumberFormat="1" applyFont="1" applyAlignment="1">
      <alignment vertical="center" wrapText="1"/>
    </xf>
    <xf numFmtId="10" fontId="0" fillId="0" borderId="0" xfId="0" quotePrefix="1" applyNumberFormat="1" applyAlignment="1">
      <alignment vertical="center" wrapText="1"/>
    </xf>
    <xf numFmtId="0" fontId="0" fillId="0" borderId="0" xfId="0" applyFont="1" applyAlignment="1">
      <alignment horizontal="right" vertical="center" wrapText="1"/>
    </xf>
    <xf numFmtId="0" fontId="7" fillId="0" borderId="0" xfId="0" applyFont="1" applyAlignment="1">
      <alignment horizontal="right" vertical="center" wrapText="1"/>
    </xf>
    <xf numFmtId="10" fontId="0" fillId="6" borderId="0" xfId="0" applyNumberFormat="1" applyFont="1" applyFill="1" applyAlignment="1">
      <alignment horizontal="right" vertical="center" wrapText="1"/>
    </xf>
    <xf numFmtId="0" fontId="0" fillId="0" borderId="0" xfId="0" applyFont="1" applyAlignment="1">
      <alignment horizontal="right"/>
    </xf>
    <xf numFmtId="43" fontId="0" fillId="0" borderId="0" xfId="2" applyFont="1" applyAlignment="1">
      <alignment horizontal="right"/>
    </xf>
    <xf numFmtId="172" fontId="0" fillId="0" borderId="3" xfId="0" applyNumberFormat="1" applyBorder="1"/>
    <xf numFmtId="0" fontId="7" fillId="9" borderId="0" xfId="0" applyFont="1" applyFill="1" applyAlignment="1">
      <alignment horizontal="center" vertical="center" wrapText="1"/>
    </xf>
    <xf numFmtId="10" fontId="0" fillId="9" borderId="0" xfId="0" applyNumberFormat="1" applyFill="1"/>
    <xf numFmtId="10" fontId="0" fillId="0" borderId="0" xfId="0" applyNumberFormat="1" applyFill="1"/>
    <xf numFmtId="43" fontId="0" fillId="6" borderId="0" xfId="2" applyFont="1" applyFill="1" applyAlignment="1">
      <alignment horizontal="center" vertical="center" wrapText="1"/>
    </xf>
    <xf numFmtId="9" fontId="0" fillId="0" borderId="0" xfId="3" applyFont="1"/>
    <xf numFmtId="43" fontId="0" fillId="0" borderId="0" xfId="2" applyFont="1" applyFill="1"/>
    <xf numFmtId="43" fontId="6" fillId="0" borderId="0" xfId="2" applyFont="1" applyFill="1"/>
    <xf numFmtId="43" fontId="0" fillId="0" borderId="0" xfId="0" applyNumberFormat="1" applyFill="1"/>
    <xf numFmtId="166" fontId="0" fillId="0" borderId="0" xfId="0" applyNumberFormat="1" applyFill="1"/>
    <xf numFmtId="0" fontId="33" fillId="0" borderId="0" xfId="0" applyFont="1"/>
    <xf numFmtId="10" fontId="0" fillId="0" borderId="0" xfId="2" quotePrefix="1" applyNumberFormat="1" applyFont="1" applyAlignment="1">
      <alignment vertical="center" wrapText="1"/>
    </xf>
    <xf numFmtId="172" fontId="0" fillId="0" borderId="0" xfId="3" quotePrefix="1" applyNumberFormat="1" applyFont="1" applyAlignment="1">
      <alignment vertical="center" wrapText="1"/>
    </xf>
    <xf numFmtId="0" fontId="0" fillId="6" borderId="0" xfId="3" applyNumberFormat="1" applyFont="1" applyFill="1"/>
    <xf numFmtId="0" fontId="0" fillId="6" borderId="0" xfId="2" applyNumberFormat="1" applyFont="1" applyFill="1"/>
    <xf numFmtId="173" fontId="0" fillId="0" borderId="0" xfId="0" applyNumberFormat="1"/>
    <xf numFmtId="2" fontId="0" fillId="6" borderId="0" xfId="3" applyNumberFormat="1" applyFont="1" applyFill="1"/>
    <xf numFmtId="0" fontId="0" fillId="0" borderId="0" xfId="0" applyAlignment="1">
      <alignment horizontal="center"/>
    </xf>
    <xf numFmtId="0" fontId="0" fillId="0" borderId="0" xfId="0" applyAlignment="1">
      <alignment horizontal="center"/>
    </xf>
    <xf numFmtId="43" fontId="5" fillId="0" borderId="0" xfId="2" applyFont="1" applyFill="1"/>
    <xf numFmtId="0" fontId="0" fillId="0" borderId="0" xfId="0" applyAlignment="1">
      <alignment horizontal="center"/>
    </xf>
    <xf numFmtId="43" fontId="0" fillId="0" borderId="0" xfId="2" applyNumberFormat="1" applyFont="1"/>
    <xf numFmtId="0" fontId="0" fillId="0" borderId="0" xfId="0" applyAlignment="1">
      <alignment horizontal="center"/>
    </xf>
    <xf numFmtId="0" fontId="0" fillId="0" borderId="0" xfId="0" applyFill="1" applyAlignment="1">
      <alignment horizontal="center" vertical="center" wrapText="1"/>
    </xf>
    <xf numFmtId="174" fontId="0" fillId="3" borderId="0" xfId="0" applyNumberFormat="1" applyFill="1"/>
    <xf numFmtId="0" fontId="0" fillId="9" borderId="0" xfId="0" applyFill="1"/>
    <xf numFmtId="0" fontId="1" fillId="9" borderId="0" xfId="1" applyFill="1"/>
    <xf numFmtId="43" fontId="0" fillId="9" borderId="0" xfId="2" applyFont="1" applyFill="1"/>
    <xf numFmtId="164" fontId="0" fillId="9" borderId="0" xfId="2" applyNumberFormat="1" applyFont="1" applyFill="1"/>
    <xf numFmtId="171" fontId="0" fillId="9" borderId="0" xfId="2" applyNumberFormat="1" applyFont="1" applyFill="1"/>
    <xf numFmtId="168" fontId="0" fillId="9" borderId="0" xfId="2" applyNumberFormat="1" applyFont="1" applyFill="1"/>
    <xf numFmtId="43" fontId="0" fillId="9" borderId="0" xfId="2" applyNumberFormat="1" applyFont="1" applyFill="1"/>
    <xf numFmtId="15" fontId="0" fillId="9" borderId="0" xfId="0" applyNumberFormat="1" applyFill="1"/>
    <xf numFmtId="0" fontId="0" fillId="9" borderId="0" xfId="0" applyFill="1" applyAlignment="1">
      <alignment horizontal="center"/>
    </xf>
    <xf numFmtId="166" fontId="7" fillId="0" borderId="0" xfId="0" applyNumberFormat="1" applyFont="1" applyAlignment="1">
      <alignment horizontal="right"/>
    </xf>
    <xf numFmtId="0" fontId="0" fillId="0" borderId="4" xfId="0" applyBorder="1"/>
    <xf numFmtId="8" fontId="0" fillId="0" borderId="0" xfId="0" applyNumberFormat="1"/>
    <xf numFmtId="0" fontId="19" fillId="0" borderId="0" xfId="0" quotePrefix="1" applyFont="1" applyAlignment="1">
      <alignment vertical="center"/>
    </xf>
    <xf numFmtId="0" fontId="7" fillId="0" borderId="0" xfId="0" applyFont="1" applyAlignment="1">
      <alignment horizontal="center" vertical="center" wrapText="1"/>
    </xf>
    <xf numFmtId="167" fontId="0" fillId="0" borderId="0" xfId="0" applyNumberFormat="1" applyAlignment="1">
      <alignment vertical="center" wrapText="1"/>
    </xf>
    <xf numFmtId="43" fontId="0" fillId="0" borderId="0" xfId="2" applyFont="1" applyAlignment="1">
      <alignment vertical="center" wrapText="1"/>
    </xf>
    <xf numFmtId="164" fontId="0" fillId="0" borderId="0" xfId="2" applyNumberFormat="1" applyFont="1" applyAlignment="1">
      <alignment vertical="center" wrapText="1"/>
    </xf>
    <xf numFmtId="167" fontId="0" fillId="0" borderId="0" xfId="2" applyNumberFormat="1" applyFont="1" applyAlignment="1">
      <alignment vertical="center" wrapText="1"/>
    </xf>
    <xf numFmtId="0" fontId="37" fillId="0" borderId="0" xfId="0" applyFont="1" applyAlignment="1">
      <alignment vertical="center"/>
    </xf>
    <xf numFmtId="0" fontId="38" fillId="0" borderId="0" xfId="0" applyFont="1"/>
    <xf numFmtId="9" fontId="38" fillId="0" borderId="0" xfId="0" applyNumberFormat="1" applyFont="1" applyAlignment="1">
      <alignment horizontal="right"/>
    </xf>
    <xf numFmtId="9" fontId="38" fillId="0" borderId="0" xfId="0" applyNumberFormat="1" applyFont="1"/>
    <xf numFmtId="0" fontId="38" fillId="0" borderId="0" xfId="0" applyFont="1" applyAlignment="1">
      <alignment horizontal="left" vertical="center" indent="1"/>
    </xf>
    <xf numFmtId="0" fontId="37" fillId="0" borderId="0" xfId="0" applyFont="1" applyAlignment="1">
      <alignment horizontal="left" vertical="center" indent="1"/>
    </xf>
    <xf numFmtId="0" fontId="39" fillId="0" borderId="0" xfId="0" applyFont="1" applyAlignment="1">
      <alignment vertical="center"/>
    </xf>
    <xf numFmtId="0" fontId="0" fillId="0" borderId="0" xfId="0" applyAlignment="1">
      <alignment horizontal="center"/>
    </xf>
    <xf numFmtId="9" fontId="38" fillId="0" borderId="0" xfId="0" quotePrefix="1" applyNumberFormat="1" applyFont="1"/>
    <xf numFmtId="0" fontId="0" fillId="0" borderId="0" xfId="0" applyAlignment="1">
      <alignment horizontal="center"/>
    </xf>
    <xf numFmtId="0" fontId="41" fillId="0" borderId="0" xfId="0" applyFont="1" applyAlignment="1">
      <alignment horizontal="left" vertical="center" indent="1"/>
    </xf>
    <xf numFmtId="2" fontId="0" fillId="0" borderId="0" xfId="3" applyNumberFormat="1" applyFont="1" applyAlignment="1">
      <alignment wrapText="1"/>
    </xf>
    <xf numFmtId="9" fontId="6" fillId="2" borderId="0" xfId="2" applyNumberFormat="1" applyFont="1" applyFill="1"/>
    <xf numFmtId="0" fontId="42" fillId="0" borderId="0" xfId="0" applyFont="1"/>
    <xf numFmtId="0" fontId="43" fillId="0" borderId="0" xfId="0" applyFont="1"/>
    <xf numFmtId="43" fontId="38" fillId="0" borderId="0" xfId="2" applyFont="1"/>
    <xf numFmtId="0" fontId="44" fillId="0" borderId="0" xfId="0" applyFont="1"/>
    <xf numFmtId="43" fontId="44" fillId="0" borderId="0" xfId="2" applyFont="1"/>
    <xf numFmtId="0" fontId="0" fillId="10" borderId="0" xfId="0" applyFill="1"/>
    <xf numFmtId="0" fontId="13" fillId="10" borderId="0" xfId="0" applyFont="1" applyFill="1" applyAlignment="1">
      <alignment wrapText="1"/>
    </xf>
    <xf numFmtId="0" fontId="13" fillId="0" borderId="0" xfId="0" applyFont="1" applyAlignment="1">
      <alignment wrapText="1"/>
    </xf>
    <xf numFmtId="0" fontId="45" fillId="6" borderId="0" xfId="0" applyFont="1" applyFill="1" applyAlignment="1">
      <alignment horizontal="center" vertical="center" wrapText="1"/>
    </xf>
    <xf numFmtId="164" fontId="45" fillId="6" borderId="0" xfId="2" applyNumberFormat="1" applyFont="1" applyFill="1" applyAlignment="1">
      <alignment horizontal="center" vertical="center" wrapText="1"/>
    </xf>
    <xf numFmtId="0" fontId="45" fillId="0" borderId="0" xfId="0" applyFont="1" applyAlignment="1">
      <alignment horizontal="center" vertical="center" wrapText="1"/>
    </xf>
    <xf numFmtId="164" fontId="0" fillId="10" borderId="0" xfId="2" applyNumberFormat="1" applyFont="1" applyFill="1"/>
    <xf numFmtId="164" fontId="0" fillId="0" borderId="0" xfId="2" applyNumberFormat="1" applyFont="1" applyFill="1"/>
    <xf numFmtId="0" fontId="7" fillId="10" borderId="0" xfId="0" applyFont="1" applyFill="1"/>
    <xf numFmtId="0" fontId="0" fillId="9" borderId="0" xfId="0" applyFill="1" applyAlignment="1">
      <alignment horizontal="center" vertical="center" wrapText="1"/>
    </xf>
    <xf numFmtId="0" fontId="0" fillId="9" borderId="0" xfId="0" applyFill="1" applyAlignment="1">
      <alignment vertical="center" wrapText="1"/>
    </xf>
    <xf numFmtId="164" fontId="0" fillId="0" borderId="0" xfId="2" quotePrefix="1" applyNumberFormat="1" applyFont="1" applyAlignment="1">
      <alignment vertical="center" wrapText="1"/>
    </xf>
    <xf numFmtId="0" fontId="7" fillId="0" borderId="0" xfId="0" applyFont="1" applyBorder="1" applyAlignment="1">
      <alignment horizontal="center"/>
    </xf>
    <xf numFmtId="0" fontId="0" fillId="0" borderId="0" xfId="0" applyBorder="1" applyAlignment="1">
      <alignment horizontal="center"/>
    </xf>
    <xf numFmtId="15" fontId="7" fillId="0" borderId="0" xfId="0" applyNumberFormat="1" applyFont="1" applyBorder="1" applyAlignment="1">
      <alignment horizontal="center"/>
    </xf>
    <xf numFmtId="167" fontId="0" fillId="0" borderId="0" xfId="0" applyNumberFormat="1" applyBorder="1"/>
    <xf numFmtId="0" fontId="7" fillId="8" borderId="2" xfId="0" applyFont="1" applyFill="1" applyBorder="1" applyAlignment="1">
      <alignment horizontal="center"/>
    </xf>
    <xf numFmtId="0" fontId="0" fillId="8" borderId="0" xfId="0" applyFill="1" applyAlignment="1">
      <alignment horizontal="center" vertical="center" wrapText="1"/>
    </xf>
    <xf numFmtId="0" fontId="7"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22" fillId="0" borderId="0" xfId="0" applyFont="1" applyAlignment="1">
      <alignment horizontal="left" vertical="top" wrapText="1"/>
    </xf>
    <xf numFmtId="0" fontId="23" fillId="0" borderId="0" xfId="0" applyFont="1" applyAlignment="1">
      <alignment horizontal="center" vertical="top" wrapText="1"/>
    </xf>
    <xf numFmtId="0" fontId="7" fillId="0" borderId="0" xfId="0" applyFont="1" applyAlignment="1">
      <alignment horizontal="center" wrapText="1"/>
    </xf>
    <xf numFmtId="0" fontId="0" fillId="0" borderId="0" xfId="0" applyAlignment="1">
      <alignment horizontal="center"/>
    </xf>
    <xf numFmtId="0" fontId="0" fillId="0" borderId="0" xfId="0" applyAlignment="1">
      <alignment horizontal="left" wrapText="1"/>
    </xf>
    <xf numFmtId="0" fontId="7" fillId="0" borderId="0" xfId="0" applyFont="1" applyBorder="1" applyAlignment="1">
      <alignment horizontal="center" wrapText="1"/>
    </xf>
    <xf numFmtId="0" fontId="42" fillId="0" borderId="0" xfId="0" applyFont="1" applyAlignment="1">
      <alignment horizontal="left" vertical="top" wrapText="1"/>
    </xf>
    <xf numFmtId="0" fontId="0" fillId="8" borderId="0" xfId="0" applyFill="1" applyAlignment="1">
      <alignment horizontal="center"/>
    </xf>
    <xf numFmtId="0" fontId="0" fillId="0" borderId="0" xfId="0" applyAlignment="1">
      <alignment horizontal="center" vertical="center"/>
    </xf>
    <xf numFmtId="0" fontId="0" fillId="0" borderId="16" xfId="0" applyBorder="1" applyAlignment="1">
      <alignment horizontal="center" vertical="center"/>
    </xf>
    <xf numFmtId="0" fontId="7" fillId="0" borderId="0" xfId="0" applyFont="1" applyAlignment="1">
      <alignment horizontal="center" vertical="center" wrapText="1"/>
    </xf>
    <xf numFmtId="0" fontId="0" fillId="6" borderId="16" xfId="0" applyFill="1" applyBorder="1" applyAlignment="1">
      <alignment horizontal="center"/>
    </xf>
    <xf numFmtId="0" fontId="0" fillId="0" borderId="16" xfId="0" applyBorder="1" applyAlignment="1">
      <alignment horizont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wrapText="1"/>
    </xf>
    <xf numFmtId="0" fontId="8" fillId="0" borderId="0" xfId="0" applyFont="1" applyAlignment="1">
      <alignment horizontal="left" vertical="center" wrapText="1"/>
    </xf>
    <xf numFmtId="0" fontId="7" fillId="0" borderId="0" xfId="0" applyFont="1" applyBorder="1" applyAlignment="1">
      <alignment horizontal="center"/>
    </xf>
    <xf numFmtId="0" fontId="37" fillId="0" borderId="0" xfId="0" applyFont="1" applyAlignment="1">
      <alignment horizontal="left" vertical="top" wrapText="1"/>
    </xf>
    <xf numFmtId="0" fontId="38" fillId="0" borderId="0" xfId="0" applyFont="1" applyAlignment="1">
      <alignment horizontal="left" vertical="top" wrapText="1"/>
    </xf>
    <xf numFmtId="0" fontId="37" fillId="0" borderId="0" xfId="0" applyFont="1" applyAlignment="1">
      <alignment horizontal="center" vertical="top" wrapText="1"/>
    </xf>
    <xf numFmtId="0" fontId="22" fillId="0" borderId="0" xfId="0" applyFont="1" applyAlignment="1">
      <alignment horizontal="left"/>
    </xf>
    <xf numFmtId="0" fontId="7" fillId="6" borderId="16" xfId="0" applyFont="1" applyFill="1" applyBorder="1" applyAlignment="1">
      <alignment horizontal="center" vertical="center"/>
    </xf>
    <xf numFmtId="0" fontId="7" fillId="6" borderId="16" xfId="0" applyFont="1" applyFill="1" applyBorder="1" applyAlignment="1">
      <alignment horizontal="center" vertical="center" wrapText="1"/>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cellXfs>
  <cellStyles count="4">
    <cellStyle name="Comma" xfId="2" builtinId="3"/>
    <cellStyle name="Hyperlink" xfId="1" builtinId="8"/>
    <cellStyle name="Normal" xfId="0" builtinId="0"/>
    <cellStyle name="Percent" xfId="3" builtinId="5"/>
  </cellStyles>
  <dxfs count="8">
    <dxf>
      <font>
        <u/>
      </font>
    </dxf>
    <dxf>
      <font>
        <u/>
      </font>
    </dxf>
    <dxf>
      <font>
        <u/>
      </font>
    </dxf>
    <dxf>
      <font>
        <u/>
      </font>
    </dxf>
    <dxf>
      <font>
        <u/>
      </font>
    </dxf>
    <dxf>
      <font>
        <u/>
      </font>
    </dxf>
    <dxf>
      <alignment horizontal="center" vertical="bottom" textRotation="0" wrapText="0" indent="0" justifyLastLine="0" shrinkToFit="0" readingOrder="0"/>
    </dxf>
    <dxf>
      <fill>
        <patternFill patternType="solid">
          <fgColor indexed="64"/>
          <bgColor theme="2"/>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6.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xdr:col>
      <xdr:colOff>60961</xdr:colOff>
      <xdr:row>12</xdr:row>
      <xdr:rowOff>76200</xdr:rowOff>
    </xdr:from>
    <xdr:to>
      <xdr:col>13</xdr:col>
      <xdr:colOff>33715</xdr:colOff>
      <xdr:row>23</xdr:row>
      <xdr:rowOff>167640</xdr:rowOff>
    </xdr:to>
    <xdr:pic>
      <xdr:nvPicPr>
        <xdr:cNvPr id="3" name="Picture 2">
          <a:extLst>
            <a:ext uri="{FF2B5EF4-FFF2-40B4-BE49-F238E27FC236}">
              <a16:creationId xmlns:a16="http://schemas.microsoft.com/office/drawing/2014/main" id="{69A43BEB-7786-E864-D6FC-AC0C2796AFD3}"/>
            </a:ext>
          </a:extLst>
        </xdr:cNvPr>
        <xdr:cNvPicPr>
          <a:picLocks noChangeAspect="1"/>
        </xdr:cNvPicPr>
      </xdr:nvPicPr>
      <xdr:blipFill>
        <a:blip xmlns:r="http://schemas.openxmlformats.org/officeDocument/2006/relationships" r:embed="rId1"/>
        <a:stretch>
          <a:fillRect/>
        </a:stretch>
      </xdr:blipFill>
      <xdr:spPr>
        <a:xfrm>
          <a:off x="571501" y="2270760"/>
          <a:ext cx="7287954" cy="2103120"/>
        </a:xfrm>
        <a:prstGeom prst="rect">
          <a:avLst/>
        </a:prstGeom>
      </xdr:spPr>
    </xdr:pic>
    <xdr:clientData/>
  </xdr:twoCellAnchor>
  <xdr:twoCellAnchor editAs="oneCell">
    <xdr:from>
      <xdr:col>5</xdr:col>
      <xdr:colOff>220980</xdr:colOff>
      <xdr:row>2</xdr:row>
      <xdr:rowOff>152400</xdr:rowOff>
    </xdr:from>
    <xdr:to>
      <xdr:col>8</xdr:col>
      <xdr:colOff>228759</xdr:colOff>
      <xdr:row>8</xdr:row>
      <xdr:rowOff>61054</xdr:rowOff>
    </xdr:to>
    <xdr:pic>
      <xdr:nvPicPr>
        <xdr:cNvPr id="4" name="Picture 3">
          <a:extLst>
            <a:ext uri="{FF2B5EF4-FFF2-40B4-BE49-F238E27FC236}">
              <a16:creationId xmlns:a16="http://schemas.microsoft.com/office/drawing/2014/main" id="{CE5E186C-1C19-36A4-BA96-1D141B52536A}"/>
            </a:ext>
          </a:extLst>
        </xdr:cNvPr>
        <xdr:cNvPicPr>
          <a:picLocks noChangeAspect="1"/>
        </xdr:cNvPicPr>
      </xdr:nvPicPr>
      <xdr:blipFill>
        <a:blip xmlns:r="http://schemas.openxmlformats.org/officeDocument/2006/relationships" r:embed="rId2"/>
        <a:stretch>
          <a:fillRect/>
        </a:stretch>
      </xdr:blipFill>
      <xdr:spPr>
        <a:xfrm>
          <a:off x="3169920" y="518160"/>
          <a:ext cx="1836579" cy="1005934"/>
        </a:xfrm>
        <a:prstGeom prst="rect">
          <a:avLst/>
        </a:prstGeom>
      </xdr:spPr>
    </xdr:pic>
    <xdr:clientData/>
  </xdr:twoCellAnchor>
  <xdr:twoCellAnchor>
    <xdr:from>
      <xdr:col>0</xdr:col>
      <xdr:colOff>205740</xdr:colOff>
      <xdr:row>6</xdr:row>
      <xdr:rowOff>53340</xdr:rowOff>
    </xdr:from>
    <xdr:to>
      <xdr:col>0</xdr:col>
      <xdr:colOff>434340</xdr:colOff>
      <xdr:row>6</xdr:row>
      <xdr:rowOff>175260</xdr:rowOff>
    </xdr:to>
    <xdr:sp macro="" textlink="">
      <xdr:nvSpPr>
        <xdr:cNvPr id="5" name="Arrow: Right 4">
          <a:extLst>
            <a:ext uri="{FF2B5EF4-FFF2-40B4-BE49-F238E27FC236}">
              <a16:creationId xmlns:a16="http://schemas.microsoft.com/office/drawing/2014/main" id="{EB58A5BD-2B47-D1D8-F9FE-A8638ECC2948}"/>
            </a:ext>
          </a:extLst>
        </xdr:cNvPr>
        <xdr:cNvSpPr/>
      </xdr:nvSpPr>
      <xdr:spPr>
        <a:xfrm>
          <a:off x="205740" y="115062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xdr:from>
      <xdr:col>0</xdr:col>
      <xdr:colOff>190500</xdr:colOff>
      <xdr:row>27</xdr:row>
      <xdr:rowOff>53340</xdr:rowOff>
    </xdr:from>
    <xdr:to>
      <xdr:col>0</xdr:col>
      <xdr:colOff>419100</xdr:colOff>
      <xdr:row>27</xdr:row>
      <xdr:rowOff>175260</xdr:rowOff>
    </xdr:to>
    <xdr:sp macro="" textlink="">
      <xdr:nvSpPr>
        <xdr:cNvPr id="6" name="Arrow: Right 5">
          <a:extLst>
            <a:ext uri="{FF2B5EF4-FFF2-40B4-BE49-F238E27FC236}">
              <a16:creationId xmlns:a16="http://schemas.microsoft.com/office/drawing/2014/main" id="{8D05EFCD-41C1-114A-AA27-AD02D5562467}"/>
            </a:ext>
          </a:extLst>
        </xdr:cNvPr>
        <xdr:cNvSpPr/>
      </xdr:nvSpPr>
      <xdr:spPr>
        <a:xfrm>
          <a:off x="190500" y="499110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xdr:from>
      <xdr:col>0</xdr:col>
      <xdr:colOff>205740</xdr:colOff>
      <xdr:row>10</xdr:row>
      <xdr:rowOff>15240</xdr:rowOff>
    </xdr:from>
    <xdr:to>
      <xdr:col>0</xdr:col>
      <xdr:colOff>434340</xdr:colOff>
      <xdr:row>10</xdr:row>
      <xdr:rowOff>137160</xdr:rowOff>
    </xdr:to>
    <xdr:sp macro="" textlink="">
      <xdr:nvSpPr>
        <xdr:cNvPr id="9" name="Arrow: Right 8">
          <a:extLst>
            <a:ext uri="{FF2B5EF4-FFF2-40B4-BE49-F238E27FC236}">
              <a16:creationId xmlns:a16="http://schemas.microsoft.com/office/drawing/2014/main" id="{61CD96AA-B1DD-42CA-AD7A-2EA815E82CF3}"/>
            </a:ext>
          </a:extLst>
        </xdr:cNvPr>
        <xdr:cNvSpPr/>
      </xdr:nvSpPr>
      <xdr:spPr>
        <a:xfrm>
          <a:off x="205740" y="184404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editAs="oneCell">
    <xdr:from>
      <xdr:col>0</xdr:col>
      <xdr:colOff>510539</xdr:colOff>
      <xdr:row>29</xdr:row>
      <xdr:rowOff>0</xdr:rowOff>
    </xdr:from>
    <xdr:to>
      <xdr:col>12</xdr:col>
      <xdr:colOff>493164</xdr:colOff>
      <xdr:row>43</xdr:row>
      <xdr:rowOff>0</xdr:rowOff>
    </xdr:to>
    <xdr:pic>
      <xdr:nvPicPr>
        <xdr:cNvPr id="11" name="Picture 10">
          <a:extLst>
            <a:ext uri="{FF2B5EF4-FFF2-40B4-BE49-F238E27FC236}">
              <a16:creationId xmlns:a16="http://schemas.microsoft.com/office/drawing/2014/main" id="{AF162948-1A2D-BE77-947F-C7E13BF51C21}"/>
            </a:ext>
          </a:extLst>
        </xdr:cNvPr>
        <xdr:cNvPicPr>
          <a:picLocks noChangeAspect="1"/>
        </xdr:cNvPicPr>
      </xdr:nvPicPr>
      <xdr:blipFill>
        <a:blip xmlns:r="http://schemas.openxmlformats.org/officeDocument/2006/relationships" r:embed="rId3"/>
        <a:stretch>
          <a:fillRect/>
        </a:stretch>
      </xdr:blipFill>
      <xdr:spPr>
        <a:xfrm>
          <a:off x="510539" y="5494020"/>
          <a:ext cx="7198765" cy="2560320"/>
        </a:xfrm>
        <a:prstGeom prst="rect">
          <a:avLst/>
        </a:prstGeom>
      </xdr:spPr>
    </xdr:pic>
    <xdr:clientData/>
  </xdr:twoCellAnchor>
  <xdr:twoCellAnchor>
    <xdr:from>
      <xdr:col>0</xdr:col>
      <xdr:colOff>144780</xdr:colOff>
      <xdr:row>45</xdr:row>
      <xdr:rowOff>0</xdr:rowOff>
    </xdr:from>
    <xdr:to>
      <xdr:col>0</xdr:col>
      <xdr:colOff>373380</xdr:colOff>
      <xdr:row>45</xdr:row>
      <xdr:rowOff>121920</xdr:rowOff>
    </xdr:to>
    <xdr:sp macro="" textlink="">
      <xdr:nvSpPr>
        <xdr:cNvPr id="12" name="Arrow: Right 11">
          <a:extLst>
            <a:ext uri="{FF2B5EF4-FFF2-40B4-BE49-F238E27FC236}">
              <a16:creationId xmlns:a16="http://schemas.microsoft.com/office/drawing/2014/main" id="{68237DC8-F72E-485E-8434-60743226769A}"/>
            </a:ext>
          </a:extLst>
        </xdr:cNvPr>
        <xdr:cNvSpPr/>
      </xdr:nvSpPr>
      <xdr:spPr>
        <a:xfrm>
          <a:off x="144780" y="842010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editAs="oneCell">
    <xdr:from>
      <xdr:col>1</xdr:col>
      <xdr:colOff>0</xdr:colOff>
      <xdr:row>47</xdr:row>
      <xdr:rowOff>0</xdr:rowOff>
    </xdr:from>
    <xdr:to>
      <xdr:col>13</xdr:col>
      <xdr:colOff>34599</xdr:colOff>
      <xdr:row>65</xdr:row>
      <xdr:rowOff>0</xdr:rowOff>
    </xdr:to>
    <xdr:pic>
      <xdr:nvPicPr>
        <xdr:cNvPr id="13" name="Picture 12">
          <a:extLst>
            <a:ext uri="{FF2B5EF4-FFF2-40B4-BE49-F238E27FC236}">
              <a16:creationId xmlns:a16="http://schemas.microsoft.com/office/drawing/2014/main" id="{1185ED48-1420-CCBD-346A-73FA20CC096B}"/>
            </a:ext>
          </a:extLst>
        </xdr:cNvPr>
        <xdr:cNvPicPr>
          <a:picLocks noChangeAspect="1"/>
        </xdr:cNvPicPr>
      </xdr:nvPicPr>
      <xdr:blipFill>
        <a:blip xmlns:r="http://schemas.openxmlformats.org/officeDocument/2006/relationships" r:embed="rId4"/>
        <a:stretch>
          <a:fillRect/>
        </a:stretch>
      </xdr:blipFill>
      <xdr:spPr>
        <a:xfrm>
          <a:off x="510540" y="8785860"/>
          <a:ext cx="7349799" cy="3291840"/>
        </a:xfrm>
        <a:prstGeom prst="rect">
          <a:avLst/>
        </a:prstGeom>
      </xdr:spPr>
    </xdr:pic>
    <xdr:clientData/>
  </xdr:twoCellAnchor>
  <xdr:twoCellAnchor>
    <xdr:from>
      <xdr:col>0</xdr:col>
      <xdr:colOff>144780</xdr:colOff>
      <xdr:row>67</xdr:row>
      <xdr:rowOff>30480</xdr:rowOff>
    </xdr:from>
    <xdr:to>
      <xdr:col>0</xdr:col>
      <xdr:colOff>373380</xdr:colOff>
      <xdr:row>67</xdr:row>
      <xdr:rowOff>152400</xdr:rowOff>
    </xdr:to>
    <xdr:sp macro="" textlink="">
      <xdr:nvSpPr>
        <xdr:cNvPr id="14" name="Arrow: Right 13">
          <a:extLst>
            <a:ext uri="{FF2B5EF4-FFF2-40B4-BE49-F238E27FC236}">
              <a16:creationId xmlns:a16="http://schemas.microsoft.com/office/drawing/2014/main" id="{C20D5A4F-183E-44DF-83AE-D0B1E8CC5431}"/>
            </a:ext>
          </a:extLst>
        </xdr:cNvPr>
        <xdr:cNvSpPr/>
      </xdr:nvSpPr>
      <xdr:spPr>
        <a:xfrm>
          <a:off x="144780" y="1247394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editAs="oneCell">
    <xdr:from>
      <xdr:col>1</xdr:col>
      <xdr:colOff>0</xdr:colOff>
      <xdr:row>69</xdr:row>
      <xdr:rowOff>0</xdr:rowOff>
    </xdr:from>
    <xdr:to>
      <xdr:col>12</xdr:col>
      <xdr:colOff>579120</xdr:colOff>
      <xdr:row>83</xdr:row>
      <xdr:rowOff>45479</xdr:rowOff>
    </xdr:to>
    <xdr:pic>
      <xdr:nvPicPr>
        <xdr:cNvPr id="15" name="Picture 14">
          <a:extLst>
            <a:ext uri="{FF2B5EF4-FFF2-40B4-BE49-F238E27FC236}">
              <a16:creationId xmlns:a16="http://schemas.microsoft.com/office/drawing/2014/main" id="{AD9EC293-E377-4111-AD85-B170BCAFBE24}"/>
            </a:ext>
          </a:extLst>
        </xdr:cNvPr>
        <xdr:cNvPicPr>
          <a:picLocks noChangeAspect="1"/>
        </xdr:cNvPicPr>
      </xdr:nvPicPr>
      <xdr:blipFill>
        <a:blip xmlns:r="http://schemas.openxmlformats.org/officeDocument/2006/relationships" r:embed="rId5"/>
        <a:stretch>
          <a:fillRect/>
        </a:stretch>
      </xdr:blipFill>
      <xdr:spPr>
        <a:xfrm>
          <a:off x="510540" y="13144500"/>
          <a:ext cx="7284720" cy="2605799"/>
        </a:xfrm>
        <a:prstGeom prst="rect">
          <a:avLst/>
        </a:prstGeom>
      </xdr:spPr>
    </xdr:pic>
    <xdr:clientData/>
  </xdr:twoCellAnchor>
  <xdr:twoCellAnchor>
    <xdr:from>
      <xdr:col>0</xdr:col>
      <xdr:colOff>137160</xdr:colOff>
      <xdr:row>85</xdr:row>
      <xdr:rowOff>45720</xdr:rowOff>
    </xdr:from>
    <xdr:to>
      <xdr:col>0</xdr:col>
      <xdr:colOff>365760</xdr:colOff>
      <xdr:row>85</xdr:row>
      <xdr:rowOff>167640</xdr:rowOff>
    </xdr:to>
    <xdr:sp macro="" textlink="">
      <xdr:nvSpPr>
        <xdr:cNvPr id="16" name="Arrow: Right 15">
          <a:extLst>
            <a:ext uri="{FF2B5EF4-FFF2-40B4-BE49-F238E27FC236}">
              <a16:creationId xmlns:a16="http://schemas.microsoft.com/office/drawing/2014/main" id="{A4B86866-ED1B-4338-BA60-34E72DD2C1CF}"/>
            </a:ext>
          </a:extLst>
        </xdr:cNvPr>
        <xdr:cNvSpPr/>
      </xdr:nvSpPr>
      <xdr:spPr>
        <a:xfrm>
          <a:off x="137160" y="1611630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editAs="oneCell">
    <xdr:from>
      <xdr:col>1</xdr:col>
      <xdr:colOff>0</xdr:colOff>
      <xdr:row>87</xdr:row>
      <xdr:rowOff>0</xdr:rowOff>
    </xdr:from>
    <xdr:to>
      <xdr:col>12</xdr:col>
      <xdr:colOff>472440</xdr:colOff>
      <xdr:row>104</xdr:row>
      <xdr:rowOff>4274</xdr:rowOff>
    </xdr:to>
    <xdr:pic>
      <xdr:nvPicPr>
        <xdr:cNvPr id="19" name="Picture 18">
          <a:extLst>
            <a:ext uri="{FF2B5EF4-FFF2-40B4-BE49-F238E27FC236}">
              <a16:creationId xmlns:a16="http://schemas.microsoft.com/office/drawing/2014/main" id="{86FFFFCE-5705-999F-4603-2F0C4F565E58}"/>
            </a:ext>
          </a:extLst>
        </xdr:cNvPr>
        <xdr:cNvPicPr>
          <a:picLocks noChangeAspect="1"/>
        </xdr:cNvPicPr>
      </xdr:nvPicPr>
      <xdr:blipFill>
        <a:blip xmlns:r="http://schemas.openxmlformats.org/officeDocument/2006/relationships" r:embed="rId6"/>
        <a:stretch>
          <a:fillRect/>
        </a:stretch>
      </xdr:blipFill>
      <xdr:spPr>
        <a:xfrm>
          <a:off x="510540" y="16436340"/>
          <a:ext cx="7178040" cy="3113234"/>
        </a:xfrm>
        <a:prstGeom prst="rect">
          <a:avLst/>
        </a:prstGeom>
      </xdr:spPr>
    </xdr:pic>
    <xdr:clientData/>
  </xdr:twoCellAnchor>
  <xdr:twoCellAnchor>
    <xdr:from>
      <xdr:col>0</xdr:col>
      <xdr:colOff>205740</xdr:colOff>
      <xdr:row>119</xdr:row>
      <xdr:rowOff>45720</xdr:rowOff>
    </xdr:from>
    <xdr:to>
      <xdr:col>0</xdr:col>
      <xdr:colOff>434340</xdr:colOff>
      <xdr:row>119</xdr:row>
      <xdr:rowOff>167640</xdr:rowOff>
    </xdr:to>
    <xdr:sp macro="" textlink="">
      <xdr:nvSpPr>
        <xdr:cNvPr id="21" name="Arrow: Right 20">
          <a:extLst>
            <a:ext uri="{FF2B5EF4-FFF2-40B4-BE49-F238E27FC236}">
              <a16:creationId xmlns:a16="http://schemas.microsoft.com/office/drawing/2014/main" id="{C506CC97-EB26-4384-93BB-C019EFCA3AA1}"/>
            </a:ext>
          </a:extLst>
        </xdr:cNvPr>
        <xdr:cNvSpPr/>
      </xdr:nvSpPr>
      <xdr:spPr>
        <a:xfrm>
          <a:off x="205740" y="2233422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editAs="oneCell">
    <xdr:from>
      <xdr:col>1</xdr:col>
      <xdr:colOff>1</xdr:colOff>
      <xdr:row>105</xdr:row>
      <xdr:rowOff>0</xdr:rowOff>
    </xdr:from>
    <xdr:to>
      <xdr:col>12</xdr:col>
      <xdr:colOff>533401</xdr:colOff>
      <xdr:row>117</xdr:row>
      <xdr:rowOff>54127</xdr:rowOff>
    </xdr:to>
    <xdr:pic>
      <xdr:nvPicPr>
        <xdr:cNvPr id="22" name="Picture 21">
          <a:extLst>
            <a:ext uri="{FF2B5EF4-FFF2-40B4-BE49-F238E27FC236}">
              <a16:creationId xmlns:a16="http://schemas.microsoft.com/office/drawing/2014/main" id="{71CBE4DD-ECE7-87E1-0003-964F1B51A37A}"/>
            </a:ext>
          </a:extLst>
        </xdr:cNvPr>
        <xdr:cNvPicPr>
          <a:picLocks noChangeAspect="1"/>
        </xdr:cNvPicPr>
      </xdr:nvPicPr>
      <xdr:blipFill>
        <a:blip xmlns:r="http://schemas.openxmlformats.org/officeDocument/2006/relationships" r:embed="rId7"/>
        <a:stretch>
          <a:fillRect/>
        </a:stretch>
      </xdr:blipFill>
      <xdr:spPr>
        <a:xfrm>
          <a:off x="510541" y="19728180"/>
          <a:ext cx="7239000" cy="2248687"/>
        </a:xfrm>
        <a:prstGeom prst="rect">
          <a:avLst/>
        </a:prstGeom>
      </xdr:spPr>
    </xdr:pic>
    <xdr:clientData/>
  </xdr:twoCellAnchor>
  <xdr:twoCellAnchor>
    <xdr:from>
      <xdr:col>0</xdr:col>
      <xdr:colOff>167640</xdr:colOff>
      <xdr:row>143</xdr:row>
      <xdr:rowOff>22860</xdr:rowOff>
    </xdr:from>
    <xdr:to>
      <xdr:col>0</xdr:col>
      <xdr:colOff>396240</xdr:colOff>
      <xdr:row>143</xdr:row>
      <xdr:rowOff>144780</xdr:rowOff>
    </xdr:to>
    <xdr:sp macro="" textlink="">
      <xdr:nvSpPr>
        <xdr:cNvPr id="26" name="Arrow: Right 25">
          <a:extLst>
            <a:ext uri="{FF2B5EF4-FFF2-40B4-BE49-F238E27FC236}">
              <a16:creationId xmlns:a16="http://schemas.microsoft.com/office/drawing/2014/main" id="{D7DFD6E8-D7F7-402F-9EA9-E84309F03163}"/>
            </a:ext>
          </a:extLst>
        </xdr:cNvPr>
        <xdr:cNvSpPr/>
      </xdr:nvSpPr>
      <xdr:spPr>
        <a:xfrm>
          <a:off x="167640" y="2689860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editAs="oneCell">
    <xdr:from>
      <xdr:col>1</xdr:col>
      <xdr:colOff>0</xdr:colOff>
      <xdr:row>145</xdr:row>
      <xdr:rowOff>1</xdr:rowOff>
    </xdr:from>
    <xdr:to>
      <xdr:col>12</xdr:col>
      <xdr:colOff>491160</xdr:colOff>
      <xdr:row>161</xdr:row>
      <xdr:rowOff>22861</xdr:rowOff>
    </xdr:to>
    <xdr:pic>
      <xdr:nvPicPr>
        <xdr:cNvPr id="27" name="Picture 26">
          <a:extLst>
            <a:ext uri="{FF2B5EF4-FFF2-40B4-BE49-F238E27FC236}">
              <a16:creationId xmlns:a16="http://schemas.microsoft.com/office/drawing/2014/main" id="{D6D49B97-AB22-5612-58FE-FDB2E1C14D0D}"/>
            </a:ext>
          </a:extLst>
        </xdr:cNvPr>
        <xdr:cNvPicPr>
          <a:picLocks noChangeAspect="1"/>
        </xdr:cNvPicPr>
      </xdr:nvPicPr>
      <xdr:blipFill>
        <a:blip xmlns:r="http://schemas.openxmlformats.org/officeDocument/2006/relationships" r:embed="rId8"/>
        <a:stretch>
          <a:fillRect/>
        </a:stretch>
      </xdr:blipFill>
      <xdr:spPr>
        <a:xfrm>
          <a:off x="510540" y="27241501"/>
          <a:ext cx="7196760" cy="2948940"/>
        </a:xfrm>
        <a:prstGeom prst="rect">
          <a:avLst/>
        </a:prstGeom>
      </xdr:spPr>
    </xdr:pic>
    <xdr:clientData/>
  </xdr:twoCellAnchor>
  <xdr:twoCellAnchor>
    <xdr:from>
      <xdr:col>0</xdr:col>
      <xdr:colOff>129540</xdr:colOff>
      <xdr:row>163</xdr:row>
      <xdr:rowOff>38100</xdr:rowOff>
    </xdr:from>
    <xdr:to>
      <xdr:col>0</xdr:col>
      <xdr:colOff>358140</xdr:colOff>
      <xdr:row>163</xdr:row>
      <xdr:rowOff>160020</xdr:rowOff>
    </xdr:to>
    <xdr:sp macro="" textlink="">
      <xdr:nvSpPr>
        <xdr:cNvPr id="28" name="Arrow: Right 27">
          <a:extLst>
            <a:ext uri="{FF2B5EF4-FFF2-40B4-BE49-F238E27FC236}">
              <a16:creationId xmlns:a16="http://schemas.microsoft.com/office/drawing/2014/main" id="{58AA85B1-BE0A-40A6-9000-A2C515FB3F7C}"/>
            </a:ext>
          </a:extLst>
        </xdr:cNvPr>
        <xdr:cNvSpPr/>
      </xdr:nvSpPr>
      <xdr:spPr>
        <a:xfrm>
          <a:off x="129540" y="3057144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editAs="oneCell">
    <xdr:from>
      <xdr:col>1</xdr:col>
      <xdr:colOff>0</xdr:colOff>
      <xdr:row>167</xdr:row>
      <xdr:rowOff>0</xdr:rowOff>
    </xdr:from>
    <xdr:to>
      <xdr:col>11</xdr:col>
      <xdr:colOff>579698</xdr:colOff>
      <xdr:row>190</xdr:row>
      <xdr:rowOff>137536</xdr:rowOff>
    </xdr:to>
    <xdr:pic>
      <xdr:nvPicPr>
        <xdr:cNvPr id="29" name="Picture 28">
          <a:extLst>
            <a:ext uri="{FF2B5EF4-FFF2-40B4-BE49-F238E27FC236}">
              <a16:creationId xmlns:a16="http://schemas.microsoft.com/office/drawing/2014/main" id="{43244AB8-9AC2-3991-F00D-5E035C19FEEA}"/>
            </a:ext>
          </a:extLst>
        </xdr:cNvPr>
        <xdr:cNvPicPr>
          <a:picLocks noChangeAspect="1"/>
        </xdr:cNvPicPr>
      </xdr:nvPicPr>
      <xdr:blipFill>
        <a:blip xmlns:r="http://schemas.openxmlformats.org/officeDocument/2006/relationships" r:embed="rId9"/>
        <a:stretch>
          <a:fillRect/>
        </a:stretch>
      </xdr:blipFill>
      <xdr:spPr>
        <a:xfrm>
          <a:off x="510540" y="30899100"/>
          <a:ext cx="6675698" cy="4343776"/>
        </a:xfrm>
        <a:prstGeom prst="rect">
          <a:avLst/>
        </a:prstGeom>
      </xdr:spPr>
    </xdr:pic>
    <xdr:clientData/>
  </xdr:twoCellAnchor>
  <xdr:twoCellAnchor editAs="oneCell">
    <xdr:from>
      <xdr:col>1</xdr:col>
      <xdr:colOff>0</xdr:colOff>
      <xdr:row>192</xdr:row>
      <xdr:rowOff>0</xdr:rowOff>
    </xdr:from>
    <xdr:to>
      <xdr:col>12</xdr:col>
      <xdr:colOff>518160</xdr:colOff>
      <xdr:row>205</xdr:row>
      <xdr:rowOff>86155</xdr:rowOff>
    </xdr:to>
    <xdr:pic>
      <xdr:nvPicPr>
        <xdr:cNvPr id="30" name="Picture 29">
          <a:extLst>
            <a:ext uri="{FF2B5EF4-FFF2-40B4-BE49-F238E27FC236}">
              <a16:creationId xmlns:a16="http://schemas.microsoft.com/office/drawing/2014/main" id="{9EC4DA4D-4282-7D2E-39B0-8D952970198E}"/>
            </a:ext>
          </a:extLst>
        </xdr:cNvPr>
        <xdr:cNvPicPr>
          <a:picLocks noChangeAspect="1"/>
        </xdr:cNvPicPr>
      </xdr:nvPicPr>
      <xdr:blipFill>
        <a:blip xmlns:r="http://schemas.openxmlformats.org/officeDocument/2006/relationships" r:embed="rId10"/>
        <a:stretch>
          <a:fillRect/>
        </a:stretch>
      </xdr:blipFill>
      <xdr:spPr>
        <a:xfrm>
          <a:off x="510540" y="35471100"/>
          <a:ext cx="7223760" cy="2463595"/>
        </a:xfrm>
        <a:prstGeom prst="rect">
          <a:avLst/>
        </a:prstGeom>
      </xdr:spPr>
    </xdr:pic>
    <xdr:clientData/>
  </xdr:twoCellAnchor>
  <xdr:twoCellAnchor>
    <xdr:from>
      <xdr:col>0</xdr:col>
      <xdr:colOff>152400</xdr:colOff>
      <xdr:row>207</xdr:row>
      <xdr:rowOff>30480</xdr:rowOff>
    </xdr:from>
    <xdr:to>
      <xdr:col>0</xdr:col>
      <xdr:colOff>381000</xdr:colOff>
      <xdr:row>207</xdr:row>
      <xdr:rowOff>152400</xdr:rowOff>
    </xdr:to>
    <xdr:sp macro="" textlink="">
      <xdr:nvSpPr>
        <xdr:cNvPr id="17" name="Arrow: Right 16">
          <a:extLst>
            <a:ext uri="{FF2B5EF4-FFF2-40B4-BE49-F238E27FC236}">
              <a16:creationId xmlns:a16="http://schemas.microsoft.com/office/drawing/2014/main" id="{0A938ED4-C603-444B-BA2E-972FA3605A6A}"/>
            </a:ext>
          </a:extLst>
        </xdr:cNvPr>
        <xdr:cNvSpPr/>
      </xdr:nvSpPr>
      <xdr:spPr>
        <a:xfrm>
          <a:off x="152400" y="38968680"/>
          <a:ext cx="228600" cy="121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kern="1200"/>
        </a:p>
      </xdr:txBody>
    </xdr:sp>
    <xdr:clientData/>
  </xdr:twoCellAnchor>
  <xdr:twoCellAnchor editAs="oneCell">
    <xdr:from>
      <xdr:col>0</xdr:col>
      <xdr:colOff>502920</xdr:colOff>
      <xdr:row>230</xdr:row>
      <xdr:rowOff>22860</xdr:rowOff>
    </xdr:from>
    <xdr:to>
      <xdr:col>12</xdr:col>
      <xdr:colOff>236220</xdr:colOff>
      <xdr:row>249</xdr:row>
      <xdr:rowOff>97940</xdr:rowOff>
    </xdr:to>
    <xdr:pic>
      <xdr:nvPicPr>
        <xdr:cNvPr id="18" name="Picture 17">
          <a:extLst>
            <a:ext uri="{FF2B5EF4-FFF2-40B4-BE49-F238E27FC236}">
              <a16:creationId xmlns:a16="http://schemas.microsoft.com/office/drawing/2014/main" id="{5EF38CD9-91B5-2766-41A3-EB44FF203099}"/>
            </a:ext>
          </a:extLst>
        </xdr:cNvPr>
        <xdr:cNvPicPr>
          <a:picLocks noChangeAspect="1"/>
        </xdr:cNvPicPr>
      </xdr:nvPicPr>
      <xdr:blipFill>
        <a:blip xmlns:r="http://schemas.openxmlformats.org/officeDocument/2006/relationships" r:embed="rId11"/>
        <a:stretch>
          <a:fillRect/>
        </a:stretch>
      </xdr:blipFill>
      <xdr:spPr>
        <a:xfrm>
          <a:off x="502920" y="43167300"/>
          <a:ext cx="6949440" cy="3549800"/>
        </a:xfrm>
        <a:prstGeom prst="rect">
          <a:avLst/>
        </a:prstGeom>
      </xdr:spPr>
    </xdr:pic>
    <xdr:clientData/>
  </xdr:twoCellAnchor>
  <xdr:twoCellAnchor editAs="oneCell">
    <xdr:from>
      <xdr:col>1</xdr:col>
      <xdr:colOff>0</xdr:colOff>
      <xdr:row>209</xdr:row>
      <xdr:rowOff>15240</xdr:rowOff>
    </xdr:from>
    <xdr:to>
      <xdr:col>13</xdr:col>
      <xdr:colOff>160020</xdr:colOff>
      <xdr:row>228</xdr:row>
      <xdr:rowOff>156911</xdr:rowOff>
    </xdr:to>
    <xdr:pic>
      <xdr:nvPicPr>
        <xdr:cNvPr id="20" name="Picture 19">
          <a:extLst>
            <a:ext uri="{FF2B5EF4-FFF2-40B4-BE49-F238E27FC236}">
              <a16:creationId xmlns:a16="http://schemas.microsoft.com/office/drawing/2014/main" id="{8012C184-3B42-48B1-A569-19F77E7FD0AA}"/>
            </a:ext>
          </a:extLst>
        </xdr:cNvPr>
        <xdr:cNvPicPr>
          <a:picLocks noChangeAspect="1"/>
        </xdr:cNvPicPr>
      </xdr:nvPicPr>
      <xdr:blipFill>
        <a:blip xmlns:r="http://schemas.openxmlformats.org/officeDocument/2006/relationships" r:embed="rId12"/>
        <a:stretch>
          <a:fillRect/>
        </a:stretch>
      </xdr:blipFill>
      <xdr:spPr>
        <a:xfrm>
          <a:off x="510540" y="39319200"/>
          <a:ext cx="7475220" cy="3616391"/>
        </a:xfrm>
        <a:prstGeom prst="rect">
          <a:avLst/>
        </a:prstGeom>
      </xdr:spPr>
    </xdr:pic>
    <xdr:clientData/>
  </xdr:twoCellAnchor>
  <xdr:twoCellAnchor editAs="oneCell">
    <xdr:from>
      <xdr:col>1</xdr:col>
      <xdr:colOff>1</xdr:colOff>
      <xdr:row>121</xdr:row>
      <xdr:rowOff>0</xdr:rowOff>
    </xdr:from>
    <xdr:to>
      <xdr:col>8</xdr:col>
      <xdr:colOff>403861</xdr:colOff>
      <xdr:row>141</xdr:row>
      <xdr:rowOff>137294</xdr:rowOff>
    </xdr:to>
    <xdr:pic>
      <xdr:nvPicPr>
        <xdr:cNvPr id="31" name="Picture 30">
          <a:extLst>
            <a:ext uri="{FF2B5EF4-FFF2-40B4-BE49-F238E27FC236}">
              <a16:creationId xmlns:a16="http://schemas.microsoft.com/office/drawing/2014/main" id="{7AC0CE2E-42F4-3C36-7137-08B9BFD3BCE6}"/>
            </a:ext>
          </a:extLst>
        </xdr:cNvPr>
        <xdr:cNvPicPr>
          <a:picLocks noChangeAspect="1"/>
        </xdr:cNvPicPr>
      </xdr:nvPicPr>
      <xdr:blipFill>
        <a:blip xmlns:r="http://schemas.openxmlformats.org/officeDocument/2006/relationships" r:embed="rId13"/>
        <a:stretch>
          <a:fillRect/>
        </a:stretch>
      </xdr:blipFill>
      <xdr:spPr>
        <a:xfrm>
          <a:off x="510541" y="22852380"/>
          <a:ext cx="4671060" cy="3794894"/>
        </a:xfrm>
        <a:prstGeom prst="rect">
          <a:avLst/>
        </a:prstGeom>
      </xdr:spPr>
    </xdr:pic>
    <xdr:clientData/>
  </xdr:twoCellAnchor>
  <xdr:twoCellAnchor>
    <xdr:from>
      <xdr:col>2</xdr:col>
      <xdr:colOff>276225</xdr:colOff>
      <xdr:row>220</xdr:row>
      <xdr:rowOff>133350</xdr:rowOff>
    </xdr:from>
    <xdr:to>
      <xdr:col>3</xdr:col>
      <xdr:colOff>438150</xdr:colOff>
      <xdr:row>245</xdr:row>
      <xdr:rowOff>114300</xdr:rowOff>
    </xdr:to>
    <xdr:cxnSp macro="">
      <xdr:nvCxnSpPr>
        <xdr:cNvPr id="33" name="Straight Arrow Connector 32">
          <a:extLst>
            <a:ext uri="{FF2B5EF4-FFF2-40B4-BE49-F238E27FC236}">
              <a16:creationId xmlns:a16="http://schemas.microsoft.com/office/drawing/2014/main" id="{3099BBC6-9DEE-58F1-A9FD-DAAD81CBA620}"/>
            </a:ext>
          </a:extLst>
        </xdr:cNvPr>
        <xdr:cNvCxnSpPr/>
      </xdr:nvCxnSpPr>
      <xdr:spPr>
        <a:xfrm flipH="1">
          <a:off x="1400175" y="41043225"/>
          <a:ext cx="771525" cy="4505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xdr:colOff>
      <xdr:row>5</xdr:row>
      <xdr:rowOff>0</xdr:rowOff>
    </xdr:from>
    <xdr:to>
      <xdr:col>14</xdr:col>
      <xdr:colOff>457201</xdr:colOff>
      <xdr:row>25</xdr:row>
      <xdr:rowOff>133581</xdr:rowOff>
    </xdr:to>
    <xdr:pic>
      <xdr:nvPicPr>
        <xdr:cNvPr id="4" name="Picture 3">
          <a:extLst>
            <a:ext uri="{FF2B5EF4-FFF2-40B4-BE49-F238E27FC236}">
              <a16:creationId xmlns:a16="http://schemas.microsoft.com/office/drawing/2014/main" id="{E3436B00-8BEE-99ED-F95E-477A0E8FE287}"/>
            </a:ext>
          </a:extLst>
        </xdr:cNvPr>
        <xdr:cNvPicPr>
          <a:picLocks noChangeAspect="1"/>
        </xdr:cNvPicPr>
      </xdr:nvPicPr>
      <xdr:blipFill>
        <a:blip xmlns:r="http://schemas.openxmlformats.org/officeDocument/2006/relationships" r:embed="rId1"/>
        <a:stretch>
          <a:fillRect/>
        </a:stretch>
      </xdr:blipFill>
      <xdr:spPr>
        <a:xfrm>
          <a:off x="5669281" y="922020"/>
          <a:ext cx="5334000" cy="4027401"/>
        </a:xfrm>
        <a:prstGeom prst="rect">
          <a:avLst/>
        </a:prstGeom>
      </xdr:spPr>
    </xdr:pic>
    <xdr:clientData/>
  </xdr:twoCellAnchor>
  <xdr:twoCellAnchor editAs="oneCell">
    <xdr:from>
      <xdr:col>1</xdr:col>
      <xdr:colOff>0</xdr:colOff>
      <xdr:row>28</xdr:row>
      <xdr:rowOff>0</xdr:rowOff>
    </xdr:from>
    <xdr:to>
      <xdr:col>3</xdr:col>
      <xdr:colOff>859971</xdr:colOff>
      <xdr:row>52</xdr:row>
      <xdr:rowOff>23337</xdr:rowOff>
    </xdr:to>
    <xdr:pic>
      <xdr:nvPicPr>
        <xdr:cNvPr id="2" name="Picture 1">
          <a:extLst>
            <a:ext uri="{FF2B5EF4-FFF2-40B4-BE49-F238E27FC236}">
              <a16:creationId xmlns:a16="http://schemas.microsoft.com/office/drawing/2014/main" id="{A286037A-94DD-1A06-BA0E-194A8A24A4E2}"/>
            </a:ext>
          </a:extLst>
        </xdr:cNvPr>
        <xdr:cNvPicPr>
          <a:picLocks noChangeAspect="1"/>
        </xdr:cNvPicPr>
      </xdr:nvPicPr>
      <xdr:blipFill>
        <a:blip xmlns:r="http://schemas.openxmlformats.org/officeDocument/2006/relationships" r:embed="rId2"/>
        <a:stretch>
          <a:fillRect/>
        </a:stretch>
      </xdr:blipFill>
      <xdr:spPr>
        <a:xfrm>
          <a:off x="293914" y="5421086"/>
          <a:ext cx="4833257" cy="4464708"/>
        </a:xfrm>
        <a:prstGeom prst="rect">
          <a:avLst/>
        </a:prstGeom>
      </xdr:spPr>
    </xdr:pic>
    <xdr:clientData/>
  </xdr:twoCellAnchor>
  <xdr:twoCellAnchor editAs="oneCell">
    <xdr:from>
      <xdr:col>16</xdr:col>
      <xdr:colOff>0</xdr:colOff>
      <xdr:row>2</xdr:row>
      <xdr:rowOff>0</xdr:rowOff>
    </xdr:from>
    <xdr:to>
      <xdr:col>25</xdr:col>
      <xdr:colOff>213854</xdr:colOff>
      <xdr:row>34</xdr:row>
      <xdr:rowOff>179074</xdr:rowOff>
    </xdr:to>
    <xdr:pic>
      <xdr:nvPicPr>
        <xdr:cNvPr id="3" name="Picture 2">
          <a:extLst>
            <a:ext uri="{FF2B5EF4-FFF2-40B4-BE49-F238E27FC236}">
              <a16:creationId xmlns:a16="http://schemas.microsoft.com/office/drawing/2014/main" id="{003608AB-B6EB-BF6F-EFD3-235A273F7FDB}"/>
            </a:ext>
          </a:extLst>
        </xdr:cNvPr>
        <xdr:cNvPicPr>
          <a:picLocks noChangeAspect="1"/>
        </xdr:cNvPicPr>
      </xdr:nvPicPr>
      <xdr:blipFill>
        <a:blip xmlns:r="http://schemas.openxmlformats.org/officeDocument/2006/relationships" r:embed="rId3"/>
        <a:stretch>
          <a:fillRect/>
        </a:stretch>
      </xdr:blipFill>
      <xdr:spPr>
        <a:xfrm>
          <a:off x="12137571" y="370114"/>
          <a:ext cx="5700254" cy="63403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9524</xdr:colOff>
      <xdr:row>1</xdr:row>
      <xdr:rowOff>76199</xdr:rowOff>
    </xdr:from>
    <xdr:to>
      <xdr:col>13</xdr:col>
      <xdr:colOff>495299</xdr:colOff>
      <xdr:row>19</xdr:row>
      <xdr:rowOff>254000</xdr:rowOff>
    </xdr:to>
    <xdr:pic>
      <xdr:nvPicPr>
        <xdr:cNvPr id="3" name="Picture 2">
          <a:extLst>
            <a:ext uri="{FF2B5EF4-FFF2-40B4-BE49-F238E27FC236}">
              <a16:creationId xmlns:a16="http://schemas.microsoft.com/office/drawing/2014/main" id="{1C70D2BD-005C-2E6D-5FCB-595C6DDBCA7A}"/>
            </a:ext>
          </a:extLst>
        </xdr:cNvPr>
        <xdr:cNvPicPr>
          <a:picLocks noChangeAspect="1"/>
        </xdr:cNvPicPr>
      </xdr:nvPicPr>
      <xdr:blipFill>
        <a:blip xmlns:r="http://schemas.openxmlformats.org/officeDocument/2006/relationships" r:embed="rId1"/>
        <a:stretch>
          <a:fillRect/>
        </a:stretch>
      </xdr:blipFill>
      <xdr:spPr>
        <a:xfrm>
          <a:off x="8410574" y="257174"/>
          <a:ext cx="3533775" cy="57213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182880</xdr:colOff>
      <xdr:row>23</xdr:row>
      <xdr:rowOff>30480</xdr:rowOff>
    </xdr:from>
    <xdr:to>
      <xdr:col>3</xdr:col>
      <xdr:colOff>175260</xdr:colOff>
      <xdr:row>25</xdr:row>
      <xdr:rowOff>146068</xdr:rowOff>
    </xdr:to>
    <xdr:pic>
      <xdr:nvPicPr>
        <xdr:cNvPr id="3" name="Picture 2">
          <a:extLst>
            <a:ext uri="{FF2B5EF4-FFF2-40B4-BE49-F238E27FC236}">
              <a16:creationId xmlns:a16="http://schemas.microsoft.com/office/drawing/2014/main" id="{1FBE49E3-B1AD-2664-45CE-4657D1B6D154}"/>
            </a:ext>
          </a:extLst>
        </xdr:cNvPr>
        <xdr:cNvPicPr>
          <a:picLocks noChangeAspect="1"/>
        </xdr:cNvPicPr>
      </xdr:nvPicPr>
      <xdr:blipFill>
        <a:blip xmlns:r="http://schemas.openxmlformats.org/officeDocument/2006/relationships" r:embed="rId1"/>
        <a:stretch>
          <a:fillRect/>
        </a:stretch>
      </xdr:blipFill>
      <xdr:spPr>
        <a:xfrm>
          <a:off x="182880" y="4488180"/>
          <a:ext cx="1821180" cy="4813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205740</xdr:colOff>
      <xdr:row>15</xdr:row>
      <xdr:rowOff>190500</xdr:rowOff>
    </xdr:from>
    <xdr:to>
      <xdr:col>4</xdr:col>
      <xdr:colOff>594675</xdr:colOff>
      <xdr:row>19</xdr:row>
      <xdr:rowOff>63</xdr:rowOff>
    </xdr:to>
    <xdr:pic>
      <xdr:nvPicPr>
        <xdr:cNvPr id="3" name="Picture 2">
          <a:extLst>
            <a:ext uri="{FF2B5EF4-FFF2-40B4-BE49-F238E27FC236}">
              <a16:creationId xmlns:a16="http://schemas.microsoft.com/office/drawing/2014/main" id="{66932797-2517-F21F-0703-784499CC4239}"/>
            </a:ext>
          </a:extLst>
        </xdr:cNvPr>
        <xdr:cNvPicPr>
          <a:picLocks noChangeAspect="1"/>
        </xdr:cNvPicPr>
      </xdr:nvPicPr>
      <xdr:blipFill>
        <a:blip xmlns:r="http://schemas.openxmlformats.org/officeDocument/2006/relationships" r:embed="rId1"/>
        <a:stretch>
          <a:fillRect/>
        </a:stretch>
      </xdr:blipFill>
      <xdr:spPr>
        <a:xfrm>
          <a:off x="205740" y="3589020"/>
          <a:ext cx="3635055" cy="7239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xdr:colOff>
      <xdr:row>215</xdr:row>
      <xdr:rowOff>0</xdr:rowOff>
    </xdr:from>
    <xdr:to>
      <xdr:col>5</xdr:col>
      <xdr:colOff>266700</xdr:colOff>
      <xdr:row>227</xdr:row>
      <xdr:rowOff>55307</xdr:rowOff>
    </xdr:to>
    <xdr:pic>
      <xdr:nvPicPr>
        <xdr:cNvPr id="3" name="Picture 2">
          <a:extLst>
            <a:ext uri="{FF2B5EF4-FFF2-40B4-BE49-F238E27FC236}">
              <a16:creationId xmlns:a16="http://schemas.microsoft.com/office/drawing/2014/main" id="{3EE3B2AF-18B9-F97B-8E9D-C6C946129CF9}"/>
            </a:ext>
          </a:extLst>
        </xdr:cNvPr>
        <xdr:cNvPicPr>
          <a:picLocks noChangeAspect="1"/>
        </xdr:cNvPicPr>
      </xdr:nvPicPr>
      <xdr:blipFill>
        <a:blip xmlns:r="http://schemas.openxmlformats.org/officeDocument/2006/relationships" r:embed="rId1"/>
        <a:stretch>
          <a:fillRect/>
        </a:stretch>
      </xdr:blipFill>
      <xdr:spPr>
        <a:xfrm>
          <a:off x="4175761" y="41346120"/>
          <a:ext cx="3299459" cy="2249867"/>
        </a:xfrm>
        <a:prstGeom prst="rect">
          <a:avLst/>
        </a:prstGeom>
      </xdr:spPr>
    </xdr:pic>
    <xdr:clientData/>
  </xdr:twoCellAnchor>
  <xdr:twoCellAnchor editAs="oneCell">
    <xdr:from>
      <xdr:col>3</xdr:col>
      <xdr:colOff>0</xdr:colOff>
      <xdr:row>230</xdr:row>
      <xdr:rowOff>0</xdr:rowOff>
    </xdr:from>
    <xdr:to>
      <xdr:col>5</xdr:col>
      <xdr:colOff>272051</xdr:colOff>
      <xdr:row>237</xdr:row>
      <xdr:rowOff>182880</xdr:rowOff>
    </xdr:to>
    <xdr:pic>
      <xdr:nvPicPr>
        <xdr:cNvPr id="4" name="Picture 3">
          <a:extLst>
            <a:ext uri="{FF2B5EF4-FFF2-40B4-BE49-F238E27FC236}">
              <a16:creationId xmlns:a16="http://schemas.microsoft.com/office/drawing/2014/main" id="{363A19D0-FA83-BBFB-C260-565EC338FA46}"/>
            </a:ext>
          </a:extLst>
        </xdr:cNvPr>
        <xdr:cNvPicPr>
          <a:picLocks noChangeAspect="1"/>
        </xdr:cNvPicPr>
      </xdr:nvPicPr>
      <xdr:blipFill>
        <a:blip xmlns:r="http://schemas.openxmlformats.org/officeDocument/2006/relationships" r:embed="rId2"/>
        <a:stretch>
          <a:fillRect/>
        </a:stretch>
      </xdr:blipFill>
      <xdr:spPr>
        <a:xfrm>
          <a:off x="4175760" y="44135040"/>
          <a:ext cx="3304811" cy="1463040"/>
        </a:xfrm>
        <a:prstGeom prst="rect">
          <a:avLst/>
        </a:prstGeom>
      </xdr:spPr>
    </xdr:pic>
    <xdr:clientData/>
  </xdr:twoCellAnchor>
  <xdr:twoCellAnchor editAs="oneCell">
    <xdr:from>
      <xdr:col>3</xdr:col>
      <xdr:colOff>1</xdr:colOff>
      <xdr:row>239</xdr:row>
      <xdr:rowOff>1</xdr:rowOff>
    </xdr:from>
    <xdr:to>
      <xdr:col>5</xdr:col>
      <xdr:colOff>304801</xdr:colOff>
      <xdr:row>247</xdr:row>
      <xdr:rowOff>69817</xdr:rowOff>
    </xdr:to>
    <xdr:pic>
      <xdr:nvPicPr>
        <xdr:cNvPr id="5" name="Picture 4">
          <a:extLst>
            <a:ext uri="{FF2B5EF4-FFF2-40B4-BE49-F238E27FC236}">
              <a16:creationId xmlns:a16="http://schemas.microsoft.com/office/drawing/2014/main" id="{D9C2C469-7D73-3B12-CAD0-5055483B25EF}"/>
            </a:ext>
          </a:extLst>
        </xdr:cNvPr>
        <xdr:cNvPicPr>
          <a:picLocks noChangeAspect="1"/>
        </xdr:cNvPicPr>
      </xdr:nvPicPr>
      <xdr:blipFill>
        <a:blip xmlns:r="http://schemas.openxmlformats.org/officeDocument/2006/relationships" r:embed="rId3"/>
        <a:stretch>
          <a:fillRect/>
        </a:stretch>
      </xdr:blipFill>
      <xdr:spPr>
        <a:xfrm>
          <a:off x="4175761" y="45826681"/>
          <a:ext cx="3337560" cy="1578576"/>
        </a:xfrm>
        <a:prstGeom prst="rect">
          <a:avLst/>
        </a:prstGeom>
      </xdr:spPr>
    </xdr:pic>
    <xdr:clientData/>
  </xdr:twoCellAnchor>
  <xdr:twoCellAnchor editAs="oneCell">
    <xdr:from>
      <xdr:col>5</xdr:col>
      <xdr:colOff>1</xdr:colOff>
      <xdr:row>248</xdr:row>
      <xdr:rowOff>0</xdr:rowOff>
    </xdr:from>
    <xdr:to>
      <xdr:col>7</xdr:col>
      <xdr:colOff>403861</xdr:colOff>
      <xdr:row>258</xdr:row>
      <xdr:rowOff>73513</xdr:rowOff>
    </xdr:to>
    <xdr:pic>
      <xdr:nvPicPr>
        <xdr:cNvPr id="6" name="Picture 5">
          <a:extLst>
            <a:ext uri="{FF2B5EF4-FFF2-40B4-BE49-F238E27FC236}">
              <a16:creationId xmlns:a16="http://schemas.microsoft.com/office/drawing/2014/main" id="{EFC5BCF4-760A-4148-A5A4-A6DD39652D4A}"/>
            </a:ext>
          </a:extLst>
        </xdr:cNvPr>
        <xdr:cNvPicPr>
          <a:picLocks noChangeAspect="1"/>
        </xdr:cNvPicPr>
      </xdr:nvPicPr>
      <xdr:blipFill>
        <a:blip xmlns:r="http://schemas.openxmlformats.org/officeDocument/2006/relationships" r:embed="rId4"/>
        <a:stretch>
          <a:fillRect/>
        </a:stretch>
      </xdr:blipFill>
      <xdr:spPr>
        <a:xfrm>
          <a:off x="7208521" y="47518320"/>
          <a:ext cx="4221480" cy="1948033"/>
        </a:xfrm>
        <a:prstGeom prst="rect">
          <a:avLst/>
        </a:prstGeom>
      </xdr:spPr>
    </xdr:pic>
    <xdr:clientData/>
  </xdr:twoCellAnchor>
  <xdr:twoCellAnchor editAs="oneCell">
    <xdr:from>
      <xdr:col>2</xdr:col>
      <xdr:colOff>457200</xdr:colOff>
      <xdr:row>255</xdr:row>
      <xdr:rowOff>7620</xdr:rowOff>
    </xdr:from>
    <xdr:to>
      <xdr:col>4</xdr:col>
      <xdr:colOff>1447800</xdr:colOff>
      <xdr:row>259</xdr:row>
      <xdr:rowOff>112174</xdr:rowOff>
    </xdr:to>
    <xdr:pic>
      <xdr:nvPicPr>
        <xdr:cNvPr id="8" name="Picture 7">
          <a:extLst>
            <a:ext uri="{FF2B5EF4-FFF2-40B4-BE49-F238E27FC236}">
              <a16:creationId xmlns:a16="http://schemas.microsoft.com/office/drawing/2014/main" id="{6CE34CEB-CEB4-D5F9-7656-227B7F546BEA}"/>
            </a:ext>
          </a:extLst>
        </xdr:cNvPr>
        <xdr:cNvPicPr>
          <a:picLocks noChangeAspect="1"/>
        </xdr:cNvPicPr>
      </xdr:nvPicPr>
      <xdr:blipFill>
        <a:blip xmlns:r="http://schemas.openxmlformats.org/officeDocument/2006/relationships" r:embed="rId5"/>
        <a:stretch>
          <a:fillRect/>
        </a:stretch>
      </xdr:blipFill>
      <xdr:spPr>
        <a:xfrm>
          <a:off x="3383280" y="48806100"/>
          <a:ext cx="3299460" cy="881794"/>
        </a:xfrm>
        <a:prstGeom prst="rect">
          <a:avLst/>
        </a:prstGeom>
      </xdr:spPr>
    </xdr:pic>
    <xdr:clientData/>
  </xdr:twoCellAnchor>
  <xdr:twoCellAnchor editAs="oneCell">
    <xdr:from>
      <xdr:col>5</xdr:col>
      <xdr:colOff>0</xdr:colOff>
      <xdr:row>282</xdr:row>
      <xdr:rowOff>1</xdr:rowOff>
    </xdr:from>
    <xdr:to>
      <xdr:col>8</xdr:col>
      <xdr:colOff>342900</xdr:colOff>
      <xdr:row>292</xdr:row>
      <xdr:rowOff>8203</xdr:rowOff>
    </xdr:to>
    <xdr:pic>
      <xdr:nvPicPr>
        <xdr:cNvPr id="10" name="Picture 9">
          <a:extLst>
            <a:ext uri="{FF2B5EF4-FFF2-40B4-BE49-F238E27FC236}">
              <a16:creationId xmlns:a16="http://schemas.microsoft.com/office/drawing/2014/main" id="{643AF8F2-B572-ED62-894A-ED59DE67F9F9}"/>
            </a:ext>
          </a:extLst>
        </xdr:cNvPr>
        <xdr:cNvPicPr>
          <a:picLocks noChangeAspect="1"/>
        </xdr:cNvPicPr>
      </xdr:nvPicPr>
      <xdr:blipFill>
        <a:blip xmlns:r="http://schemas.openxmlformats.org/officeDocument/2006/relationships" r:embed="rId6"/>
        <a:stretch>
          <a:fillRect/>
        </a:stretch>
      </xdr:blipFill>
      <xdr:spPr>
        <a:xfrm>
          <a:off x="7208520" y="53827681"/>
          <a:ext cx="4770120" cy="2202762"/>
        </a:xfrm>
        <a:prstGeom prst="rect">
          <a:avLst/>
        </a:prstGeom>
      </xdr:spPr>
    </xdr:pic>
    <xdr:clientData/>
  </xdr:twoCellAnchor>
  <xdr:twoCellAnchor editAs="oneCell">
    <xdr:from>
      <xdr:col>5</xdr:col>
      <xdr:colOff>1</xdr:colOff>
      <xdr:row>293</xdr:row>
      <xdr:rowOff>1</xdr:rowOff>
    </xdr:from>
    <xdr:to>
      <xdr:col>8</xdr:col>
      <xdr:colOff>350521</xdr:colOff>
      <xdr:row>306</xdr:row>
      <xdr:rowOff>114375</xdr:rowOff>
    </xdr:to>
    <xdr:pic>
      <xdr:nvPicPr>
        <xdr:cNvPr id="11" name="Picture 10">
          <a:extLst>
            <a:ext uri="{FF2B5EF4-FFF2-40B4-BE49-F238E27FC236}">
              <a16:creationId xmlns:a16="http://schemas.microsoft.com/office/drawing/2014/main" id="{F85C4115-4196-3A11-D34E-66675113F90C}"/>
            </a:ext>
          </a:extLst>
        </xdr:cNvPr>
        <xdr:cNvPicPr>
          <a:picLocks noChangeAspect="1"/>
        </xdr:cNvPicPr>
      </xdr:nvPicPr>
      <xdr:blipFill>
        <a:blip xmlns:r="http://schemas.openxmlformats.org/officeDocument/2006/relationships" r:embed="rId7"/>
        <a:stretch>
          <a:fillRect/>
        </a:stretch>
      </xdr:blipFill>
      <xdr:spPr>
        <a:xfrm>
          <a:off x="7208521" y="56205121"/>
          <a:ext cx="4777740" cy="2537534"/>
        </a:xfrm>
        <a:prstGeom prst="rect">
          <a:avLst/>
        </a:prstGeom>
      </xdr:spPr>
    </xdr:pic>
    <xdr:clientData/>
  </xdr:twoCellAnchor>
  <xdr:twoCellAnchor editAs="oneCell">
    <xdr:from>
      <xdr:col>5</xdr:col>
      <xdr:colOff>0</xdr:colOff>
      <xdr:row>268</xdr:row>
      <xdr:rowOff>0</xdr:rowOff>
    </xdr:from>
    <xdr:to>
      <xdr:col>8</xdr:col>
      <xdr:colOff>358140</xdr:colOff>
      <xdr:row>281</xdr:row>
      <xdr:rowOff>90908</xdr:rowOff>
    </xdr:to>
    <xdr:pic>
      <xdr:nvPicPr>
        <xdr:cNvPr id="12" name="Picture 11">
          <a:extLst>
            <a:ext uri="{FF2B5EF4-FFF2-40B4-BE49-F238E27FC236}">
              <a16:creationId xmlns:a16="http://schemas.microsoft.com/office/drawing/2014/main" id="{B5CB9B30-3ADD-DAB3-0C9A-AEF6A53103B4}"/>
            </a:ext>
          </a:extLst>
        </xdr:cNvPr>
        <xdr:cNvPicPr>
          <a:picLocks noChangeAspect="1"/>
        </xdr:cNvPicPr>
      </xdr:nvPicPr>
      <xdr:blipFill>
        <a:blip xmlns:r="http://schemas.openxmlformats.org/officeDocument/2006/relationships" r:embed="rId8"/>
        <a:stretch>
          <a:fillRect/>
        </a:stretch>
      </xdr:blipFill>
      <xdr:spPr>
        <a:xfrm>
          <a:off x="7208520" y="51267360"/>
          <a:ext cx="4785360" cy="24683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10</xdr:col>
      <xdr:colOff>0</xdr:colOff>
      <xdr:row>22</xdr:row>
      <xdr:rowOff>0</xdr:rowOff>
    </xdr:to>
    <xdr:pic>
      <xdr:nvPicPr>
        <xdr:cNvPr id="3" name="Picture 2" descr="Flow diagram of SME Valuation Toolkit Excel workbook: Start at 00_ReadMe (navigation). Flows to 01_Inputs (manual + linked assumptions). Then to 02_Normalization (adjusted financials). From there, arrows to 03_BetaCalc (peer beta analysis) and 08_Asset-Based Valuation. 03_BetaCalc flows into 04_CAPM (cost of equity). 04_CAPM flows into 05_WACC (weighted average cost of capital). 05_WACC flows into 09_Income-Based Valuation (two branches: DCF method and Capitalization method). 02_Normalization also flows into 07_Market Multiple. Finally, 07, 08, and 09 all feed into 13_Valuation Summary, which applies DLOC/DLOM adjustments and outputs final valuation. Case Study sheet is separate, feeding illustrative data into 02_Normalization. Diagram style: clean, professional, boxes with arrows, clear labels.">
          <a:extLst>
            <a:ext uri="{FF2B5EF4-FFF2-40B4-BE49-F238E27FC236}">
              <a16:creationId xmlns:a16="http://schemas.microsoft.com/office/drawing/2014/main" id="{49192785-AA64-4917-B804-FC51324261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7720" y="365760"/>
          <a:ext cx="3657600"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BBA74F-C417-4113-87B4-18B8D9B24E2C}" name="Table2" displayName="Table2" ref="A3:I24" totalsRowShown="0" headerRowDxfId="7">
  <autoFilter ref="A3:I24" xr:uid="{CCBBA74F-C417-4113-87B4-18B8D9B24E2C}"/>
  <tableColumns count="9">
    <tableColumn id="1" xr3:uid="{DF27BEE2-58FE-409C-8885-350853B8E384}" name="Entities" dataCellStyle="Hyperlink"/>
    <tableColumn id="2" xr3:uid="{7B494F9C-A807-43AB-9196-DFC87614E952}" name="Active, Non-active or Suspended"/>
    <tableColumn id="3" xr3:uid="{CA1CD37C-D408-456B-93BE-E22AC3482237}" name="Mainboard (m) or Catalyst ( c )"/>
    <tableColumn id="4" xr3:uid="{60750B47-B215-4191-9F33-F4A9F9A8404E}" name="Industry"/>
    <tableColumn id="5" xr3:uid="{894B32B7-B9CD-460C-892F-9B5D389B901D}" name="Sub-industry"/>
    <tableColumn id="6" xr3:uid="{13FED163-A97B-4DAD-90DB-0140C30436CD}" name="Profile"/>
    <tableColumn id="7" xr3:uid="{C6BB24A2-B591-4E5A-87DD-D3D8EED5CDCC}" name="Currency"/>
    <tableColumn id="8" xr3:uid="{173ABB47-85CF-456D-990F-10C343EE3F8A}" name="Code" dataDxfId="6"/>
    <tableColumn id="9" xr3:uid="{8350FDDA-CEBC-409A-9E0D-B470742E7D28}" name="Market Ca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17" Type="http://schemas.openxmlformats.org/officeDocument/2006/relationships/hyperlink" Target="https://investors.sgx.com/market/securities?code=ZXY&amp;type=stocks&amp;lang=en" TargetMode="External"/><Relationship Id="rId21" Type="http://schemas.openxmlformats.org/officeDocument/2006/relationships/hyperlink" Target="https://investors.sgx.com/market/securities?code=H22&amp;type=stocks&amp;lang=en" TargetMode="External"/><Relationship Id="rId324" Type="http://schemas.openxmlformats.org/officeDocument/2006/relationships/hyperlink" Target="https://investors.sgx.com/market/securities?code=1B6&amp;type=stocks&amp;lang=en" TargetMode="External"/><Relationship Id="rId531" Type="http://schemas.openxmlformats.org/officeDocument/2006/relationships/hyperlink" Target="https://investors.sgx.com/market/securities?code=T09&amp;type=stocks&amp;lang=en" TargetMode="External"/><Relationship Id="rId170" Type="http://schemas.openxmlformats.org/officeDocument/2006/relationships/hyperlink" Target="https://investors.sgx.com/market/securities?code=TVV&amp;type=stocks&amp;lang=en" TargetMode="External"/><Relationship Id="rId268" Type="http://schemas.openxmlformats.org/officeDocument/2006/relationships/hyperlink" Target="https://investors.sgx.com/market/securities?code=VI2&amp;type=stocks&amp;lang=en" TargetMode="External"/><Relationship Id="rId475" Type="http://schemas.openxmlformats.org/officeDocument/2006/relationships/hyperlink" Target="https://investors.sgx.com/market/securities?code=51O&amp;type=stocks&amp;lang=en" TargetMode="External"/><Relationship Id="rId32" Type="http://schemas.openxmlformats.org/officeDocument/2006/relationships/hyperlink" Target="https://investors.sgx.com/market/securities?code=544&amp;type=stocks&amp;lang=en" TargetMode="External"/><Relationship Id="rId128" Type="http://schemas.openxmlformats.org/officeDocument/2006/relationships/hyperlink" Target="https://investors.sgx.com/market/securities?code=5CF&amp;type=stocks&amp;lang=en" TargetMode="External"/><Relationship Id="rId335" Type="http://schemas.openxmlformats.org/officeDocument/2006/relationships/hyperlink" Target="https://investors.sgx.com/market/securities?code=Y06&amp;type=stocks&amp;lang=en" TargetMode="External"/><Relationship Id="rId542" Type="http://schemas.openxmlformats.org/officeDocument/2006/relationships/hyperlink" Target="https://investors.sgx.com/market/securities?code=VIN&amp;type=stocks&amp;lang=en" TargetMode="External"/><Relationship Id="rId181" Type="http://schemas.openxmlformats.org/officeDocument/2006/relationships/hyperlink" Target="https://investors.sgx.com/market/securities?code=Y3D&amp;type=stocks&amp;lang=en" TargetMode="External"/><Relationship Id="rId402" Type="http://schemas.openxmlformats.org/officeDocument/2006/relationships/hyperlink" Target="https://investors.sgx.com/market/securities?code=B0Z&amp;type=stocks&amp;lang=en" TargetMode="External"/><Relationship Id="rId279" Type="http://schemas.openxmlformats.org/officeDocument/2006/relationships/hyperlink" Target="https://investors.sgx.com/market/securities?code=5AE&amp;type=stocks&amp;lang=en" TargetMode="External"/><Relationship Id="rId486" Type="http://schemas.openxmlformats.org/officeDocument/2006/relationships/hyperlink" Target="https://investors.sgx.com/market/securities?code=O08&amp;type=stocks&amp;lang=en" TargetMode="External"/><Relationship Id="rId43" Type="http://schemas.openxmlformats.org/officeDocument/2006/relationships/hyperlink" Target="https://investors.sgx.com/market/securities?code=CC3&amp;type=stocks&amp;lang=en" TargetMode="External"/><Relationship Id="rId139" Type="http://schemas.openxmlformats.org/officeDocument/2006/relationships/hyperlink" Target="https://investors.sgx.com/market/securities?code=W05&amp;type=stocks&amp;lang=en" TargetMode="External"/><Relationship Id="rId346" Type="http://schemas.openxmlformats.org/officeDocument/2006/relationships/hyperlink" Target="https://investors.sgx.com/market/securities?code=5SO&amp;type=stocks&amp;lang=en" TargetMode="External"/><Relationship Id="rId553" Type="http://schemas.openxmlformats.org/officeDocument/2006/relationships/hyperlink" Target="https://investors.sgx.com/market/securities?code=C07&amp;type=stocks" TargetMode="External"/><Relationship Id="rId192" Type="http://schemas.openxmlformats.org/officeDocument/2006/relationships/hyperlink" Target="https://investors.sgx.com/market/securities?code=RQ1&amp;type=stocks&amp;lang=en" TargetMode="External"/><Relationship Id="rId206" Type="http://schemas.openxmlformats.org/officeDocument/2006/relationships/hyperlink" Target="https://investors.sgx.com/market/securities?code=L38&amp;type=stocks&amp;lang=en" TargetMode="External"/><Relationship Id="rId413" Type="http://schemas.openxmlformats.org/officeDocument/2006/relationships/hyperlink" Target="https://investors.sgx.com/market/securities?code=BKW&amp;type=stocks&amp;lang=en" TargetMode="External"/><Relationship Id="rId497" Type="http://schemas.openxmlformats.org/officeDocument/2006/relationships/hyperlink" Target="https://investors.sgx.com/market/securities?code=NEX&amp;type=stocks&amp;lang=en" TargetMode="External"/><Relationship Id="rId357" Type="http://schemas.openxmlformats.org/officeDocument/2006/relationships/hyperlink" Target="https://investors.sgx.com/market/securities?code=BEH&amp;type=stocks&amp;lang=en" TargetMode="External"/><Relationship Id="rId54" Type="http://schemas.openxmlformats.org/officeDocument/2006/relationships/hyperlink" Target="https://investors.sgx.com/market/securities?code=S59&amp;type=stocks&amp;lang=en" TargetMode="External"/><Relationship Id="rId217" Type="http://schemas.openxmlformats.org/officeDocument/2006/relationships/hyperlink" Target="https://investors.sgx.com/market/securities?code=U13&amp;type=stocks&amp;lang=en" TargetMode="External"/><Relationship Id="rId564" Type="http://schemas.openxmlformats.org/officeDocument/2006/relationships/printerSettings" Target="../printerSettings/printerSettings11.bin"/><Relationship Id="rId424" Type="http://schemas.openxmlformats.org/officeDocument/2006/relationships/hyperlink" Target="https://investors.sgx.com/market/securities?code=OAJ&amp;type=stocks&amp;lang=en" TargetMode="External"/><Relationship Id="rId23" Type="http://schemas.openxmlformats.org/officeDocument/2006/relationships/hyperlink" Target="https://investors.sgx.com/market/securities?code=E5H&amp;type=stocks&amp;lang=en" TargetMode="External"/><Relationship Id="rId119" Type="http://schemas.openxmlformats.org/officeDocument/2006/relationships/hyperlink" Target="https://investors.sgx.com/market/securities?code=BQF&amp;type=stocks&amp;lang=en" TargetMode="External"/><Relationship Id="rId270" Type="http://schemas.openxmlformats.org/officeDocument/2006/relationships/hyperlink" Target="https://investors.sgx.com/market/securities?code=N01&amp;type=stocks&amp;lang=en" TargetMode="External"/><Relationship Id="rId326" Type="http://schemas.openxmlformats.org/officeDocument/2006/relationships/hyperlink" Target="https://investors.sgx.com/market/securities?code=1F3&amp;type=stocks&amp;lang=en" TargetMode="External"/><Relationship Id="rId533" Type="http://schemas.openxmlformats.org/officeDocument/2006/relationships/hyperlink" Target="https://investors.sgx.com/market/securities?code=ZB9&amp;type=stocks&amp;lang=en" TargetMode="External"/><Relationship Id="rId65" Type="http://schemas.openxmlformats.org/officeDocument/2006/relationships/hyperlink" Target="https://investors.sgx.com/market/securities?code=5WV&amp;type=stocks&amp;lang=en" TargetMode="External"/><Relationship Id="rId130" Type="http://schemas.openxmlformats.org/officeDocument/2006/relationships/hyperlink" Target="https://investors.sgx.com/market/securities?code=QS9&amp;type=stocks&amp;lang=en" TargetMode="External"/><Relationship Id="rId368" Type="http://schemas.openxmlformats.org/officeDocument/2006/relationships/hyperlink" Target="https://investors.sgx.com/market/securities?code=596&amp;type=stocks&amp;lang=en" TargetMode="External"/><Relationship Id="rId172" Type="http://schemas.openxmlformats.org/officeDocument/2006/relationships/hyperlink" Target="https://investors.sgx.com/market/securities?code=F10&amp;type=stocks&amp;lang=en" TargetMode="External"/><Relationship Id="rId228" Type="http://schemas.openxmlformats.org/officeDocument/2006/relationships/hyperlink" Target="https://investors.sgx.com/market/securities?code=NHD&amp;type=stocks&amp;lang=en" TargetMode="External"/><Relationship Id="rId435" Type="http://schemas.openxmlformats.org/officeDocument/2006/relationships/hyperlink" Target="https://investors.sgx.com/market/securities?code=HLS&amp;type=stocks&amp;lang=en" TargetMode="External"/><Relationship Id="rId477" Type="http://schemas.openxmlformats.org/officeDocument/2006/relationships/hyperlink" Target="https://investors.sgx.com/market/securities?code=PJX&amp;type=stocks&amp;lang=en" TargetMode="External"/><Relationship Id="rId281" Type="http://schemas.openxmlformats.org/officeDocument/2006/relationships/hyperlink" Target="https://investors.sgx.com/market/securities?code=569&amp;type=stocks&amp;lang=en" TargetMode="External"/><Relationship Id="rId337" Type="http://schemas.openxmlformats.org/officeDocument/2006/relationships/hyperlink" Target="https://investors.sgx.com/market/securities?code=40N&amp;type=stocks&amp;lang=en" TargetMode="External"/><Relationship Id="rId502" Type="http://schemas.openxmlformats.org/officeDocument/2006/relationships/hyperlink" Target="https://investors.sgx.com/market/securities?code=5TI&amp;type=stocks&amp;lang=en" TargetMode="External"/><Relationship Id="rId34" Type="http://schemas.openxmlformats.org/officeDocument/2006/relationships/hyperlink" Target="https://investors.sgx.com/market/securities?code=Y92&amp;type=stocks&amp;lang=en" TargetMode="External"/><Relationship Id="rId76" Type="http://schemas.openxmlformats.org/officeDocument/2006/relationships/hyperlink" Target="https://investors.sgx.com/market/securities?code=41F&amp;type=stocks&amp;lang=en" TargetMode="External"/><Relationship Id="rId141" Type="http://schemas.openxmlformats.org/officeDocument/2006/relationships/hyperlink" Target="https://investors.sgx.com/market/securities?code=5DX&amp;type=stocks&amp;lang=en" TargetMode="External"/><Relationship Id="rId379" Type="http://schemas.openxmlformats.org/officeDocument/2006/relationships/hyperlink" Target="https://investors.sgx.com/market/securities?code=49B&amp;type=stocks&amp;lang=en" TargetMode="External"/><Relationship Id="rId544" Type="http://schemas.openxmlformats.org/officeDocument/2006/relationships/hyperlink" Target="https://investors.sgx.com/market/securities?code=BJV&amp;type=stocks&amp;lang=en" TargetMode="External"/><Relationship Id="rId7" Type="http://schemas.openxmlformats.org/officeDocument/2006/relationships/hyperlink" Target="https://investors.sgx.com/market/securities?code=BS6&amp;type=stocks&amp;lang=en" TargetMode="External"/><Relationship Id="rId183" Type="http://schemas.openxmlformats.org/officeDocument/2006/relationships/hyperlink" Target="https://investors.sgx.com/market/securities?code=564&amp;type=stocks&amp;lang=en" TargetMode="External"/><Relationship Id="rId239" Type="http://schemas.openxmlformats.org/officeDocument/2006/relationships/hyperlink" Target="https://investors.sgx.com/market/securities?code=CYW&amp;type=stocks&amp;lang=en" TargetMode="External"/><Relationship Id="rId390" Type="http://schemas.openxmlformats.org/officeDocument/2006/relationships/hyperlink" Target="https://investors.sgx.com/market/securities?code=CJN&amp;type=stocks&amp;lang=en" TargetMode="External"/><Relationship Id="rId404" Type="http://schemas.openxmlformats.org/officeDocument/2006/relationships/hyperlink" Target="https://investors.sgx.com/market/securities?code=P74&amp;type=stocks&amp;lang=en" TargetMode="External"/><Relationship Id="rId446" Type="http://schemas.openxmlformats.org/officeDocument/2006/relationships/hyperlink" Target="https://investors.sgx.com/market/securities?code=1J4&amp;type=stocks&amp;lang=en" TargetMode="External"/><Relationship Id="rId250" Type="http://schemas.openxmlformats.org/officeDocument/2006/relationships/hyperlink" Target="https://investors.sgx.com/market/securities?code=E6R&amp;type=stocks&amp;lang=en" TargetMode="External"/><Relationship Id="rId292" Type="http://schemas.openxmlformats.org/officeDocument/2006/relationships/hyperlink" Target="https://investors.sgx.com/market/securities?code=Y03&amp;type=stocks&amp;lang=en" TargetMode="External"/><Relationship Id="rId306" Type="http://schemas.openxmlformats.org/officeDocument/2006/relationships/hyperlink" Target="https://investors.sgx.com/market/securities?code=FQ7&amp;type=stocks&amp;lang=en" TargetMode="External"/><Relationship Id="rId488" Type="http://schemas.openxmlformats.org/officeDocument/2006/relationships/hyperlink" Target="https://investors.sgx.com/market/securities?code=P11&amp;type=stocks&amp;lang=en" TargetMode="External"/><Relationship Id="rId45" Type="http://schemas.openxmlformats.org/officeDocument/2006/relationships/hyperlink" Target="https://investors.sgx.com/market/securities?code=MZH&amp;type=stocks&amp;lang=en" TargetMode="External"/><Relationship Id="rId87" Type="http://schemas.openxmlformats.org/officeDocument/2006/relationships/hyperlink" Target="https://investors.sgx.com/market/securities?code=P52&amp;type=stocks&amp;lang=en" TargetMode="External"/><Relationship Id="rId110" Type="http://schemas.openxmlformats.org/officeDocument/2006/relationships/hyperlink" Target="https://investors.sgx.com/market/securities?code=C8R&amp;type=stocks&amp;lang=en" TargetMode="External"/><Relationship Id="rId348" Type="http://schemas.openxmlformats.org/officeDocument/2006/relationships/hyperlink" Target="https://investors.sgx.com/market/securities?code=BLR&amp;type=stocks&amp;lang=en" TargetMode="External"/><Relationship Id="rId513" Type="http://schemas.openxmlformats.org/officeDocument/2006/relationships/hyperlink" Target="https://investors.sgx.com/market/securities?code=BKA&amp;type=stocks&amp;lang=en" TargetMode="External"/><Relationship Id="rId555" Type="http://schemas.openxmlformats.org/officeDocument/2006/relationships/hyperlink" Target="https://investors.sgx.com/market/securities?code=S3N&amp;type=stocks" TargetMode="External"/><Relationship Id="rId152" Type="http://schemas.openxmlformats.org/officeDocument/2006/relationships/hyperlink" Target="https://investors.sgx.com/market/securities?code=LVR&amp;type=stocks&amp;lang=en" TargetMode="External"/><Relationship Id="rId194" Type="http://schemas.openxmlformats.org/officeDocument/2006/relationships/hyperlink" Target="https://investors.sgx.com/market/securities?code=41T&amp;type=stocks&amp;lang=en" TargetMode="External"/><Relationship Id="rId208" Type="http://schemas.openxmlformats.org/officeDocument/2006/relationships/hyperlink" Target="https://investors.sgx.com/market/securities?code=H20&amp;type=stocks&amp;lang=en" TargetMode="External"/><Relationship Id="rId415" Type="http://schemas.openxmlformats.org/officeDocument/2006/relationships/hyperlink" Target="https://investors.sgx.com/market/securities?code=BAI&amp;type=stocks&amp;lang=en" TargetMode="External"/><Relationship Id="rId457" Type="http://schemas.openxmlformats.org/officeDocument/2006/relationships/hyperlink" Target="https://investors.sgx.com/market/securities?code=ENV&amp;type=stocks&amp;lang=en" TargetMode="External"/><Relationship Id="rId261" Type="http://schemas.openxmlformats.org/officeDocument/2006/relationships/hyperlink" Target="https://investors.sgx.com/market/securities?code=BXE&amp;type=stocks&amp;lang=en" TargetMode="External"/><Relationship Id="rId499" Type="http://schemas.openxmlformats.org/officeDocument/2006/relationships/hyperlink" Target="https://investors.sgx.com/market/securities?code=5DO&amp;type=stocks&amp;lang=en" TargetMode="External"/><Relationship Id="rId14" Type="http://schemas.openxmlformats.org/officeDocument/2006/relationships/hyperlink" Target="https://investors.sgx.com/market/securities?code=C6L&amp;type=stocks&amp;lang=en" TargetMode="External"/><Relationship Id="rId56" Type="http://schemas.openxmlformats.org/officeDocument/2006/relationships/hyperlink" Target="https://investors.sgx.com/market/securities?code=P8Z&amp;type=stocks&amp;lang=en" TargetMode="External"/><Relationship Id="rId317" Type="http://schemas.openxmlformats.org/officeDocument/2006/relationships/hyperlink" Target="https://investors.sgx.com/market/securities?code=BTJ&amp;type=stocks&amp;lang=en" TargetMode="External"/><Relationship Id="rId359" Type="http://schemas.openxmlformats.org/officeDocument/2006/relationships/hyperlink" Target="https://investors.sgx.com/market/securities?code=E9L&amp;type=stocks&amp;lang=en" TargetMode="External"/><Relationship Id="rId524" Type="http://schemas.openxmlformats.org/officeDocument/2006/relationships/hyperlink" Target="https://investors.sgx.com/market/securities?code=PA3&amp;type=stocks&amp;lang=en" TargetMode="External"/><Relationship Id="rId98" Type="http://schemas.openxmlformats.org/officeDocument/2006/relationships/hyperlink" Target="https://investors.sgx.com/market/securities?code=A50&amp;type=stocks&amp;lang=en" TargetMode="External"/><Relationship Id="rId121" Type="http://schemas.openxmlformats.org/officeDocument/2006/relationships/hyperlink" Target="https://investors.sgx.com/market/securities?code=B58&amp;type=stocks&amp;lang=en" TargetMode="External"/><Relationship Id="rId163" Type="http://schemas.openxmlformats.org/officeDocument/2006/relationships/hyperlink" Target="https://investors.sgx.com/market/securities?code=PCT&amp;type=stocks&amp;lang=en" TargetMode="External"/><Relationship Id="rId219" Type="http://schemas.openxmlformats.org/officeDocument/2006/relationships/hyperlink" Target="https://investors.sgx.com/market/securities?code=BCY&amp;type=stocks&amp;lang=en" TargetMode="External"/><Relationship Id="rId370" Type="http://schemas.openxmlformats.org/officeDocument/2006/relationships/hyperlink" Target="https://investors.sgx.com/market/securities?code=AZG&amp;type=stocks&amp;lang=en" TargetMode="External"/><Relationship Id="rId426" Type="http://schemas.openxmlformats.org/officeDocument/2006/relationships/hyperlink" Target="https://investors.sgx.com/market/securities?code=AWK&amp;type=stocks&amp;lang=en" TargetMode="External"/><Relationship Id="rId230" Type="http://schemas.openxmlformats.org/officeDocument/2006/relationships/hyperlink" Target="https://investors.sgx.com/market/securities?code=42R&amp;type=stocks&amp;lang=en" TargetMode="External"/><Relationship Id="rId468" Type="http://schemas.openxmlformats.org/officeDocument/2006/relationships/hyperlink" Target="https://investors.sgx.com/market/securities?code=L02&amp;type=stocks&amp;lang=en" TargetMode="External"/><Relationship Id="rId25" Type="http://schemas.openxmlformats.org/officeDocument/2006/relationships/hyperlink" Target="https://investors.sgx.com/market/securities?code=5E2&amp;type=stocks&amp;lang=en" TargetMode="External"/><Relationship Id="rId67" Type="http://schemas.openxmlformats.org/officeDocument/2006/relationships/hyperlink" Target="https://investors.sgx.com/market/securities?code=QES&amp;type=stocks&amp;lang=en" TargetMode="External"/><Relationship Id="rId272" Type="http://schemas.openxmlformats.org/officeDocument/2006/relationships/hyperlink" Target="https://investors.sgx.com/market/securities?code=594&amp;type=stocks&amp;lang=en" TargetMode="External"/><Relationship Id="rId328" Type="http://schemas.openxmlformats.org/officeDocument/2006/relationships/hyperlink" Target="https://investors.sgx.com/market/securities?code=PRH&amp;type=stocks&amp;lang=en" TargetMode="External"/><Relationship Id="rId535" Type="http://schemas.openxmlformats.org/officeDocument/2006/relationships/hyperlink" Target="https://investors.sgx.com/market/securities?code=BGO&amp;type=stocks&amp;lang=en" TargetMode="External"/><Relationship Id="rId132" Type="http://schemas.openxmlformats.org/officeDocument/2006/relationships/hyperlink" Target="https://investors.sgx.com/market/securities?code=9QX&amp;type=stocks&amp;lang=en" TargetMode="External"/><Relationship Id="rId174" Type="http://schemas.openxmlformats.org/officeDocument/2006/relationships/hyperlink" Target="https://investors.sgx.com/market/securities?code=8K7&amp;type=stocks&amp;lang=en" TargetMode="External"/><Relationship Id="rId381" Type="http://schemas.openxmlformats.org/officeDocument/2006/relationships/hyperlink" Target="https://investors.sgx.com/market/securities?code=HKB&amp;type=stocks&amp;lang=en" TargetMode="External"/><Relationship Id="rId241" Type="http://schemas.openxmlformats.org/officeDocument/2006/relationships/hyperlink" Target="https://investors.sgx.com/market/securities?code=CHJ&amp;type=stocks&amp;lang=en" TargetMode="External"/><Relationship Id="rId437" Type="http://schemas.openxmlformats.org/officeDocument/2006/relationships/hyperlink" Target="https://investors.sgx.com/market/securities?code=5EV&amp;type=stocks&amp;lang=en" TargetMode="External"/><Relationship Id="rId479" Type="http://schemas.openxmlformats.org/officeDocument/2006/relationships/hyperlink" Target="https://investors.sgx.com/market/securities?code=NPL&amp;type=stocks&amp;lang=en" TargetMode="External"/><Relationship Id="rId36" Type="http://schemas.openxmlformats.org/officeDocument/2006/relationships/hyperlink" Target="https://investors.sgx.com/market/securities?code=V03&amp;type=stocks&amp;lang=en" TargetMode="External"/><Relationship Id="rId283" Type="http://schemas.openxmlformats.org/officeDocument/2006/relationships/hyperlink" Target="https://investors.sgx.com/market/securities?code=TSH&amp;type=stocks&amp;lang=en" TargetMode="External"/><Relationship Id="rId339" Type="http://schemas.openxmlformats.org/officeDocument/2006/relationships/hyperlink" Target="https://investors.sgx.com/market/securities?code=I11&amp;type=stocks&amp;lang=en" TargetMode="External"/><Relationship Id="rId490" Type="http://schemas.openxmlformats.org/officeDocument/2006/relationships/hyperlink" Target="https://investors.sgx.com/market/securities?code=BFK&amp;type=stocks&amp;lang=en" TargetMode="External"/><Relationship Id="rId504" Type="http://schemas.openxmlformats.org/officeDocument/2006/relationships/hyperlink" Target="https://investors.sgx.com/market/securities?code=XHV&amp;type=stocks&amp;lang=en" TargetMode="External"/><Relationship Id="rId546" Type="http://schemas.openxmlformats.org/officeDocument/2006/relationships/hyperlink" Target="https://investors.sgx.com/market/securities?code=T43&amp;type=stocks&amp;lang=en" TargetMode="External"/><Relationship Id="rId78" Type="http://schemas.openxmlformats.org/officeDocument/2006/relationships/hyperlink" Target="https://investors.sgx.com/market/securities?code=584&amp;type=stocks&amp;lang=en" TargetMode="External"/><Relationship Id="rId101" Type="http://schemas.openxmlformats.org/officeDocument/2006/relationships/hyperlink" Target="https://investors.sgx.com/market/securities?code=5NF&amp;type=stocks&amp;lang=en" TargetMode="External"/><Relationship Id="rId143" Type="http://schemas.openxmlformats.org/officeDocument/2006/relationships/hyperlink" Target="https://investors.sgx.com/market/securities?code=42W&amp;type=stocks&amp;lang=en" TargetMode="External"/><Relationship Id="rId185" Type="http://schemas.openxmlformats.org/officeDocument/2006/relationships/hyperlink" Target="https://investors.sgx.com/market/securities?code=E27&amp;type=stocks&amp;lang=en" TargetMode="External"/><Relationship Id="rId350" Type="http://schemas.openxmlformats.org/officeDocument/2006/relationships/hyperlink" Target="https://investors.sgx.com/market/securities?code=C9Q&amp;type=stocks&amp;lang=en" TargetMode="External"/><Relationship Id="rId406" Type="http://schemas.openxmlformats.org/officeDocument/2006/relationships/hyperlink" Target="https://investors.sgx.com/market/securities?code=N0Z&amp;type=stocks&amp;lang=en" TargetMode="External"/><Relationship Id="rId9" Type="http://schemas.openxmlformats.org/officeDocument/2006/relationships/hyperlink" Target="https://investors.sgx.com/market/securities?code=S63&amp;type=stocks&amp;lang=en" TargetMode="External"/><Relationship Id="rId210" Type="http://schemas.openxmlformats.org/officeDocument/2006/relationships/hyperlink" Target="https://investors.sgx.com/market/securities?code=BDU&amp;type=stocks&amp;lang=en" TargetMode="External"/><Relationship Id="rId392" Type="http://schemas.openxmlformats.org/officeDocument/2006/relationships/hyperlink" Target="https://investors.sgx.com/market/securities?code=41H&amp;type=stocks&amp;lang=en" TargetMode="External"/><Relationship Id="rId448" Type="http://schemas.openxmlformats.org/officeDocument/2006/relationships/hyperlink" Target="https://investors.sgx.com/market/securities?code=K03&amp;type=stocks&amp;lang=en" TargetMode="External"/><Relationship Id="rId252" Type="http://schemas.openxmlformats.org/officeDocument/2006/relationships/hyperlink" Target="https://investors.sgx.com/market/securities?code=5DM&amp;type=stocks&amp;lang=en" TargetMode="External"/><Relationship Id="rId294" Type="http://schemas.openxmlformats.org/officeDocument/2006/relationships/hyperlink" Target="https://investors.sgx.com/market/securities?code=BEI&amp;type=stocks&amp;lang=en" TargetMode="External"/><Relationship Id="rId308" Type="http://schemas.openxmlformats.org/officeDocument/2006/relationships/hyperlink" Target="https://investors.sgx.com/market/securities?code=FRQ&amp;type=stocks&amp;lang=en" TargetMode="External"/><Relationship Id="rId515" Type="http://schemas.openxmlformats.org/officeDocument/2006/relationships/hyperlink" Target="https://investors.sgx.com/market/securities?code=5WG&amp;type=stocks&amp;lang=en" TargetMode="External"/><Relationship Id="rId47" Type="http://schemas.openxmlformats.org/officeDocument/2006/relationships/hyperlink" Target="https://investors.sgx.com/market/securities?code=I07&amp;type=stocks&amp;lang=en" TargetMode="External"/><Relationship Id="rId89" Type="http://schemas.openxmlformats.org/officeDocument/2006/relationships/hyperlink" Target="https://investors.sgx.com/market/securities?code=QC7&amp;type=stocks&amp;lang=en" TargetMode="External"/><Relationship Id="rId112" Type="http://schemas.openxmlformats.org/officeDocument/2006/relationships/hyperlink" Target="https://investors.sgx.com/market/securities?code=A30&amp;type=stocks&amp;lang=en" TargetMode="External"/><Relationship Id="rId154" Type="http://schemas.openxmlformats.org/officeDocument/2006/relationships/hyperlink" Target="https://investors.sgx.com/market/securities?code=5DD&amp;type=stocks&amp;lang=en" TargetMode="External"/><Relationship Id="rId361" Type="http://schemas.openxmlformats.org/officeDocument/2006/relationships/hyperlink" Target="https://investors.sgx.com/market/securities?code=533&amp;type=stocks&amp;lang=en" TargetMode="External"/><Relationship Id="rId557" Type="http://schemas.openxmlformats.org/officeDocument/2006/relationships/hyperlink" Target="https://investors.sgx.com/market/securities?code=F83&amp;type=stocks" TargetMode="External"/><Relationship Id="rId196" Type="http://schemas.openxmlformats.org/officeDocument/2006/relationships/hyperlink" Target="https://investors.sgx.com/market/securities?code=H18&amp;type=stocks&amp;lang=en" TargetMode="External"/><Relationship Id="rId417" Type="http://schemas.openxmlformats.org/officeDocument/2006/relationships/hyperlink" Target="https://investors.sgx.com/market/securities?code=L23&amp;type=stocks&amp;lang=en" TargetMode="External"/><Relationship Id="rId459" Type="http://schemas.openxmlformats.org/officeDocument/2006/relationships/hyperlink" Target="https://investors.sgx.com/market/securities?code=1H8&amp;type=stocks&amp;lang=en" TargetMode="External"/><Relationship Id="rId16" Type="http://schemas.openxmlformats.org/officeDocument/2006/relationships/hyperlink" Target="https://investors.sgx.com/market/securities?code=F34&amp;type=stocks&amp;lang=en" TargetMode="External"/><Relationship Id="rId221" Type="http://schemas.openxmlformats.org/officeDocument/2006/relationships/hyperlink" Target="https://investors.sgx.com/market/securities?code=S23&amp;type=stocks&amp;lang=en" TargetMode="External"/><Relationship Id="rId263" Type="http://schemas.openxmlformats.org/officeDocument/2006/relationships/hyperlink" Target="https://investors.sgx.com/market/securities?code=WKS&amp;type=stocks&amp;lang=en" TargetMode="External"/><Relationship Id="rId319" Type="http://schemas.openxmlformats.org/officeDocument/2006/relationships/hyperlink" Target="https://investors.sgx.com/market/securities?code=YYB&amp;type=stocks&amp;lang=en" TargetMode="External"/><Relationship Id="rId470" Type="http://schemas.openxmlformats.org/officeDocument/2006/relationships/hyperlink" Target="https://investors.sgx.com/market/securities?code=M11&amp;type=stocks&amp;lang=en" TargetMode="External"/><Relationship Id="rId526" Type="http://schemas.openxmlformats.org/officeDocument/2006/relationships/hyperlink" Target="https://investors.sgx.com/market/securities?code=T41&amp;type=stocks&amp;lang=en" TargetMode="External"/><Relationship Id="rId58" Type="http://schemas.openxmlformats.org/officeDocument/2006/relationships/hyperlink" Target="https://investors.sgx.com/market/securities?code=H30&amp;type=stocks&amp;lang=en" TargetMode="External"/><Relationship Id="rId123" Type="http://schemas.openxmlformats.org/officeDocument/2006/relationships/hyperlink" Target="https://investors.sgx.com/market/securities?code=NR7&amp;type=stocks&amp;lang=en" TargetMode="External"/><Relationship Id="rId330" Type="http://schemas.openxmlformats.org/officeDocument/2006/relationships/hyperlink" Target="https://investors.sgx.com/market/securities?code=43Q&amp;type=stocks&amp;lang=en" TargetMode="External"/><Relationship Id="rId165" Type="http://schemas.openxmlformats.org/officeDocument/2006/relationships/hyperlink" Target="https://investors.sgx.com/market/securities?code=5G2&amp;type=stocks&amp;lang=en" TargetMode="External"/><Relationship Id="rId372" Type="http://schemas.openxmlformats.org/officeDocument/2006/relationships/hyperlink" Target="https://investors.sgx.com/market/securities?code=AYV&amp;type=stocks&amp;lang=en" TargetMode="External"/><Relationship Id="rId428" Type="http://schemas.openxmlformats.org/officeDocument/2006/relationships/hyperlink" Target="https://investors.sgx.com/market/securities?code=BLU&amp;type=stocks&amp;lang=en" TargetMode="External"/><Relationship Id="rId232" Type="http://schemas.openxmlformats.org/officeDocument/2006/relationships/hyperlink" Target="https://investors.sgx.com/market/securities?code=43A&amp;type=stocks&amp;lang=en" TargetMode="External"/><Relationship Id="rId274" Type="http://schemas.openxmlformats.org/officeDocument/2006/relationships/hyperlink" Target="https://investors.sgx.com/market/securities?code=CTO&amp;type=stocks&amp;lang=en" TargetMode="External"/><Relationship Id="rId481" Type="http://schemas.openxmlformats.org/officeDocument/2006/relationships/hyperlink" Target="https://investors.sgx.com/market/securities?code=SEJ&amp;type=stocks&amp;lang=en" TargetMode="External"/><Relationship Id="rId27" Type="http://schemas.openxmlformats.org/officeDocument/2006/relationships/hyperlink" Target="https://investors.sgx.com/market/securities?code=1MZ&amp;type=stocks&amp;lang=en" TargetMode="External"/><Relationship Id="rId69" Type="http://schemas.openxmlformats.org/officeDocument/2006/relationships/hyperlink" Target="https://investors.sgx.com/market/securities?code=O10&amp;type=stocks&amp;lang=en" TargetMode="External"/><Relationship Id="rId134" Type="http://schemas.openxmlformats.org/officeDocument/2006/relationships/hyperlink" Target="https://investors.sgx.com/market/securities?code=42N&amp;type=stocks&amp;lang=en" TargetMode="External"/><Relationship Id="rId537" Type="http://schemas.openxmlformats.org/officeDocument/2006/relationships/hyperlink" Target="https://investors.sgx.com/market/securities?code=BRS&amp;type=stocks&amp;lang=en" TargetMode="External"/><Relationship Id="rId80" Type="http://schemas.openxmlformats.org/officeDocument/2006/relationships/hyperlink" Target="https://investors.sgx.com/market/securities?code=BN2&amp;type=stocks&amp;lang=en" TargetMode="External"/><Relationship Id="rId176" Type="http://schemas.openxmlformats.org/officeDocument/2006/relationships/hyperlink" Target="https://investors.sgx.com/market/securities?code=1R6&amp;type=stocks&amp;lang=en" TargetMode="External"/><Relationship Id="rId341" Type="http://schemas.openxmlformats.org/officeDocument/2006/relationships/hyperlink" Target="https://investors.sgx.com/market/securities?code=5IG&amp;type=stocks&amp;lang=en" TargetMode="External"/><Relationship Id="rId383" Type="http://schemas.openxmlformats.org/officeDocument/2006/relationships/hyperlink" Target="https://investors.sgx.com/market/securities?code=5AU&amp;type=stocks&amp;lang=en" TargetMode="External"/><Relationship Id="rId439" Type="http://schemas.openxmlformats.org/officeDocument/2006/relationships/hyperlink" Target="https://investors.sgx.com/market/securities?code=5HT&amp;type=stocks&amp;lang=en" TargetMode="External"/><Relationship Id="rId201" Type="http://schemas.openxmlformats.org/officeDocument/2006/relationships/hyperlink" Target="https://investors.sgx.com/market/securities?code=S19&amp;type=stocks&amp;lang=en" TargetMode="External"/><Relationship Id="rId243" Type="http://schemas.openxmlformats.org/officeDocument/2006/relationships/hyperlink" Target="https://investors.sgx.com/market/securities?code=GU5&amp;type=stocks&amp;lang=en" TargetMode="External"/><Relationship Id="rId285" Type="http://schemas.openxmlformats.org/officeDocument/2006/relationships/hyperlink" Target="https://investors.sgx.com/market/securities?code=BNE&amp;type=stocks&amp;lang=en" TargetMode="External"/><Relationship Id="rId450" Type="http://schemas.openxmlformats.org/officeDocument/2006/relationships/hyperlink" Target="https://investors.sgx.com/market/securities?code=5OC&amp;type=stocks&amp;lang=en" TargetMode="External"/><Relationship Id="rId506" Type="http://schemas.openxmlformats.org/officeDocument/2006/relationships/hyperlink" Target="https://investors.sgx.com/market/securities?code=SES&amp;type=stocks&amp;lang=en" TargetMode="External"/><Relationship Id="rId38" Type="http://schemas.openxmlformats.org/officeDocument/2006/relationships/hyperlink" Target="https://investors.sgx.com/market/securities?code=BEZ&amp;type=stocks&amp;lang=en" TargetMode="External"/><Relationship Id="rId103" Type="http://schemas.openxmlformats.org/officeDocument/2006/relationships/hyperlink" Target="https://investors.sgx.com/market/securities?code=G50&amp;type=stocks&amp;lang=en" TargetMode="External"/><Relationship Id="rId310" Type="http://schemas.openxmlformats.org/officeDocument/2006/relationships/hyperlink" Target="https://investors.sgx.com/market/securities?code=583&amp;type=stocks&amp;lang=en" TargetMode="External"/><Relationship Id="rId492" Type="http://schemas.openxmlformats.org/officeDocument/2006/relationships/hyperlink" Target="https://investors.sgx.com/market/securities?code=BVQ&amp;type=stocks&amp;lang=en" TargetMode="External"/><Relationship Id="rId548" Type="http://schemas.openxmlformats.org/officeDocument/2006/relationships/hyperlink" Target="https://investors.sgx.com/market/securities?code=40W&amp;type=stocks&amp;lang=en" TargetMode="External"/><Relationship Id="rId91" Type="http://schemas.openxmlformats.org/officeDocument/2006/relationships/hyperlink" Target="https://investors.sgx.com/market/securities?code=M03&amp;type=stocks&amp;lang=en" TargetMode="External"/><Relationship Id="rId145" Type="http://schemas.openxmlformats.org/officeDocument/2006/relationships/hyperlink" Target="https://investors.sgx.com/market/securities?code=ZKX&amp;type=stocks&amp;lang=en" TargetMode="External"/><Relationship Id="rId187" Type="http://schemas.openxmlformats.org/officeDocument/2006/relationships/hyperlink" Target="https://investors.sgx.com/market/securities?code=DM0&amp;type=stocks&amp;lang=en" TargetMode="External"/><Relationship Id="rId352" Type="http://schemas.openxmlformats.org/officeDocument/2006/relationships/hyperlink" Target="https://investors.sgx.com/market/securities?code=F86&amp;type=stocks&amp;lang=en" TargetMode="External"/><Relationship Id="rId394" Type="http://schemas.openxmlformats.org/officeDocument/2006/relationships/hyperlink" Target="https://investors.sgx.com/market/securities?code=B28&amp;type=stocks&amp;lang=en" TargetMode="External"/><Relationship Id="rId408" Type="http://schemas.openxmlformats.org/officeDocument/2006/relationships/hyperlink" Target="https://investors.sgx.com/market/securities?code=P8A&amp;type=stocks&amp;lang=en" TargetMode="External"/><Relationship Id="rId212" Type="http://schemas.openxmlformats.org/officeDocument/2006/relationships/hyperlink" Target="https://investors.sgx.com/market/securities?code=5VP&amp;type=stocks&amp;lang=en" TargetMode="External"/><Relationship Id="rId254" Type="http://schemas.openxmlformats.org/officeDocument/2006/relationships/hyperlink" Target="https://investors.sgx.com/market/securities?code=S69&amp;type=stocks&amp;lang=en" TargetMode="External"/><Relationship Id="rId49" Type="http://schemas.openxmlformats.org/officeDocument/2006/relationships/hyperlink" Target="https://investors.sgx.com/market/securities?code=5WF&amp;type=stocks&amp;lang=en" TargetMode="External"/><Relationship Id="rId114" Type="http://schemas.openxmlformats.org/officeDocument/2006/relationships/hyperlink" Target="https://investors.sgx.com/market/securities?code=LS9&amp;type=stocks&amp;lang=en" TargetMode="External"/><Relationship Id="rId296" Type="http://schemas.openxmlformats.org/officeDocument/2006/relationships/hyperlink" Target="https://investors.sgx.com/market/securities?code=5WA&amp;type=stocks&amp;lang=en" TargetMode="External"/><Relationship Id="rId461" Type="http://schemas.openxmlformats.org/officeDocument/2006/relationships/hyperlink" Target="https://investors.sgx.com/market/securities?code=5OX&amp;type=stocks&amp;lang=en" TargetMode="External"/><Relationship Id="rId517" Type="http://schemas.openxmlformats.org/officeDocument/2006/relationships/hyperlink" Target="https://investors.sgx.com/market/securities?code=LYY&amp;type=stocks&amp;lang=en" TargetMode="External"/><Relationship Id="rId559" Type="http://schemas.openxmlformats.org/officeDocument/2006/relationships/hyperlink" Target="https://investors.sgx.com/market/securities?code=S7OU&amp;type=businesstrusts" TargetMode="External"/><Relationship Id="rId60" Type="http://schemas.openxmlformats.org/officeDocument/2006/relationships/hyperlink" Target="https://investors.sgx.com/market/securities?code=O9E&amp;type=stocks&amp;lang=en" TargetMode="External"/><Relationship Id="rId156" Type="http://schemas.openxmlformats.org/officeDocument/2006/relationships/hyperlink" Target="https://investors.sgx.com/market/securities?code=KJ5&amp;type=stocks&amp;lang=en" TargetMode="External"/><Relationship Id="rId198" Type="http://schemas.openxmlformats.org/officeDocument/2006/relationships/hyperlink" Target="https://investors.sgx.com/market/securities?code=J03&amp;type=stocks&amp;lang=en" TargetMode="External"/><Relationship Id="rId321" Type="http://schemas.openxmlformats.org/officeDocument/2006/relationships/hyperlink" Target="https://investors.sgx.com/market/securities?code=Q0F&amp;type=stocks&amp;lang=en" TargetMode="External"/><Relationship Id="rId363" Type="http://schemas.openxmlformats.org/officeDocument/2006/relationships/hyperlink" Target="https://investors.sgx.com/market/securities?code=541&amp;type=stocks&amp;lang=en" TargetMode="External"/><Relationship Id="rId419" Type="http://schemas.openxmlformats.org/officeDocument/2006/relationships/hyperlink" Target="https://investors.sgx.com/market/securities?code=1C0&amp;type=stocks&amp;lang=en" TargetMode="External"/><Relationship Id="rId223" Type="http://schemas.openxmlformats.org/officeDocument/2006/relationships/hyperlink" Target="https://investors.sgx.com/market/securities?code=MIJ&amp;type=stocks&amp;lang=en" TargetMode="External"/><Relationship Id="rId430" Type="http://schemas.openxmlformats.org/officeDocument/2006/relationships/hyperlink" Target="https://investors.sgx.com/market/securities?code=BLH&amp;type=stocks&amp;lang=en" TargetMode="External"/><Relationship Id="rId18" Type="http://schemas.openxmlformats.org/officeDocument/2006/relationships/hyperlink" Target="https://investors.sgx.com/market/securities?code=U10&amp;type=stocks&amp;lang=en" TargetMode="External"/><Relationship Id="rId265" Type="http://schemas.openxmlformats.org/officeDocument/2006/relationships/hyperlink" Target="https://investors.sgx.com/market/securities?code=BTX&amp;type=stocks&amp;lang=en" TargetMode="External"/><Relationship Id="rId472" Type="http://schemas.openxmlformats.org/officeDocument/2006/relationships/hyperlink" Target="https://investors.sgx.com/market/securities?code=CNE&amp;type=stocks&amp;lang=en" TargetMode="External"/><Relationship Id="rId528" Type="http://schemas.openxmlformats.org/officeDocument/2006/relationships/hyperlink" Target="https://investors.sgx.com/market/securities?code=S2D&amp;type=stocks&amp;lang=en" TargetMode="External"/><Relationship Id="rId125" Type="http://schemas.openxmlformats.org/officeDocument/2006/relationships/hyperlink" Target="https://investors.sgx.com/market/securities?code=BIP&amp;type=stocks&amp;lang=en" TargetMode="External"/><Relationship Id="rId167" Type="http://schemas.openxmlformats.org/officeDocument/2006/relationships/hyperlink" Target="https://investors.sgx.com/market/securities?code=8YY&amp;type=stocks&amp;lang=en" TargetMode="External"/><Relationship Id="rId332" Type="http://schemas.openxmlformats.org/officeDocument/2006/relationships/hyperlink" Target="https://investors.sgx.com/market/securities?code=5AL&amp;type=stocks&amp;lang=en" TargetMode="External"/><Relationship Id="rId374" Type="http://schemas.openxmlformats.org/officeDocument/2006/relationships/hyperlink" Target="https://investors.sgx.com/market/securities?code=XVG&amp;type=stocks&amp;lang=en" TargetMode="External"/><Relationship Id="rId71" Type="http://schemas.openxmlformats.org/officeDocument/2006/relationships/hyperlink" Target="https://investors.sgx.com/market/securities?code=S35&amp;type=stocks&amp;lang=en" TargetMode="External"/><Relationship Id="rId234" Type="http://schemas.openxmlformats.org/officeDocument/2006/relationships/hyperlink" Target="https://investors.sgx.com/market/securities?code=C76&amp;type=stocks&amp;lang=en" TargetMode="External"/><Relationship Id="rId2" Type="http://schemas.openxmlformats.org/officeDocument/2006/relationships/hyperlink" Target="https://investors.sgx.com/market/securities?code=U11&amp;type=stocks&amp;lang=en" TargetMode="External"/><Relationship Id="rId29" Type="http://schemas.openxmlformats.org/officeDocument/2006/relationships/hyperlink" Target="https://investors.sgx.com/market/securities?code=5GD&amp;type=stocks&amp;lang=en" TargetMode="External"/><Relationship Id="rId276" Type="http://schemas.openxmlformats.org/officeDocument/2006/relationships/hyperlink" Target="https://investors.sgx.com/market/securities?code=BPF&amp;type=stocks&amp;lang=en" TargetMode="External"/><Relationship Id="rId441" Type="http://schemas.openxmlformats.org/officeDocument/2006/relationships/hyperlink" Target="https://investors.sgx.com/market/securities?code=5GI&amp;type=stocks&amp;lang=en" TargetMode="External"/><Relationship Id="rId483" Type="http://schemas.openxmlformats.org/officeDocument/2006/relationships/hyperlink" Target="https://investors.sgx.com/market/securities?code=KUX&amp;type=stocks&amp;lang=en" TargetMode="External"/><Relationship Id="rId539" Type="http://schemas.openxmlformats.org/officeDocument/2006/relationships/hyperlink" Target="https://investors.sgx.com/market/securities?code=WPC&amp;type=stocks&amp;lang=en" TargetMode="External"/><Relationship Id="rId40" Type="http://schemas.openxmlformats.org/officeDocument/2006/relationships/hyperlink" Target="https://investors.sgx.com/market/securities?code=LCC&amp;type=stocks&amp;lang=en" TargetMode="External"/><Relationship Id="rId136" Type="http://schemas.openxmlformats.org/officeDocument/2006/relationships/hyperlink" Target="https://investors.sgx.com/market/securities?code=AAJ&amp;type=stocks&amp;lang=en" TargetMode="External"/><Relationship Id="rId178" Type="http://schemas.openxmlformats.org/officeDocument/2006/relationships/hyperlink" Target="https://investors.sgx.com/market/securities?code=43B&amp;type=stocks&amp;lang=en" TargetMode="External"/><Relationship Id="rId301" Type="http://schemas.openxmlformats.org/officeDocument/2006/relationships/hyperlink" Target="https://investors.sgx.com/market/securities?code=G20&amp;type=stocks&amp;lang=en" TargetMode="External"/><Relationship Id="rId343" Type="http://schemas.openxmlformats.org/officeDocument/2006/relationships/hyperlink" Target="https://investors.sgx.com/market/securities?code=T55&amp;type=stocks&amp;lang=en" TargetMode="External"/><Relationship Id="rId550" Type="http://schemas.openxmlformats.org/officeDocument/2006/relationships/hyperlink" Target="https://investors.sgx.com/market/securities?code=E3B&amp;type=stocks" TargetMode="External"/><Relationship Id="rId82" Type="http://schemas.openxmlformats.org/officeDocument/2006/relationships/hyperlink" Target="https://investors.sgx.com/market/securities?code=BVA&amp;type=stocks&amp;lang=en" TargetMode="External"/><Relationship Id="rId203" Type="http://schemas.openxmlformats.org/officeDocument/2006/relationships/hyperlink" Target="https://investors.sgx.com/market/securities?code=BDR&amp;type=stocks&amp;lang=en" TargetMode="External"/><Relationship Id="rId385" Type="http://schemas.openxmlformats.org/officeDocument/2006/relationships/hyperlink" Target="https://investors.sgx.com/market/securities?code=5CR&amp;type=stocks&amp;lang=en" TargetMode="External"/><Relationship Id="rId245" Type="http://schemas.openxmlformats.org/officeDocument/2006/relationships/hyperlink" Target="https://investors.sgx.com/market/securities?code=M05&amp;type=stocks&amp;lang=en" TargetMode="External"/><Relationship Id="rId287" Type="http://schemas.openxmlformats.org/officeDocument/2006/relationships/hyperlink" Target="https://investors.sgx.com/market/securities?code=BKV&amp;type=stocks&amp;lang=en" TargetMode="External"/><Relationship Id="rId410" Type="http://schemas.openxmlformats.org/officeDocument/2006/relationships/hyperlink" Target="https://investors.sgx.com/market/securities?code=B9S&amp;type=stocks&amp;lang=en" TargetMode="External"/><Relationship Id="rId452" Type="http://schemas.openxmlformats.org/officeDocument/2006/relationships/hyperlink" Target="https://investors.sgx.com/market/securities?code=XCF&amp;type=stocks&amp;lang=en" TargetMode="External"/><Relationship Id="rId494" Type="http://schemas.openxmlformats.org/officeDocument/2006/relationships/hyperlink" Target="https://investors.sgx.com/market/securities?code=K6S&amp;type=stocks&amp;lang=en" TargetMode="External"/><Relationship Id="rId508" Type="http://schemas.openxmlformats.org/officeDocument/2006/relationships/hyperlink" Target="https://investors.sgx.com/market/securities?code=S07&amp;type=stocks&amp;lang=en" TargetMode="External"/><Relationship Id="rId105" Type="http://schemas.openxmlformats.org/officeDocument/2006/relationships/hyperlink" Target="https://investors.sgx.com/market/securities?code=5AI&amp;type=stocks&amp;lang=en" TargetMode="External"/><Relationship Id="rId147" Type="http://schemas.openxmlformats.org/officeDocument/2006/relationships/hyperlink" Target="https://investors.sgx.com/market/securities?code=S20&amp;type=stocks&amp;lang=en" TargetMode="External"/><Relationship Id="rId312" Type="http://schemas.openxmlformats.org/officeDocument/2006/relationships/hyperlink" Target="https://investors.sgx.com/market/securities?code=AYN&amp;type=stocks&amp;lang=en" TargetMode="External"/><Relationship Id="rId354" Type="http://schemas.openxmlformats.org/officeDocument/2006/relationships/hyperlink" Target="https://investors.sgx.com/market/securities?code=BQC&amp;type=stocks&amp;lang=en" TargetMode="External"/><Relationship Id="rId51" Type="http://schemas.openxmlformats.org/officeDocument/2006/relationships/hyperlink" Target="https://investors.sgx.com/market/securities?code=1E3&amp;type=stocks&amp;lang=en" TargetMode="External"/><Relationship Id="rId93" Type="http://schemas.openxmlformats.org/officeDocument/2006/relationships/hyperlink" Target="https://investors.sgx.com/market/securities?code=5EF&amp;type=stocks&amp;lang=en" TargetMode="External"/><Relationship Id="rId189" Type="http://schemas.openxmlformats.org/officeDocument/2006/relationships/hyperlink" Target="https://investors.sgx.com/market/securities?code=BQM&amp;type=stocks&amp;lang=en" TargetMode="External"/><Relationship Id="rId396" Type="http://schemas.openxmlformats.org/officeDocument/2006/relationships/hyperlink" Target="https://investors.sgx.com/market/securities?code=9I7&amp;type=stocks&amp;lang=en" TargetMode="External"/><Relationship Id="rId561" Type="http://schemas.openxmlformats.org/officeDocument/2006/relationships/hyperlink" Target="https://investors.sgx.com/market/securities?code=H02&amp;type=stocks" TargetMode="External"/><Relationship Id="rId214" Type="http://schemas.openxmlformats.org/officeDocument/2006/relationships/hyperlink" Target="https://investors.sgx.com/market/securities?code=S29&amp;type=stocks&amp;lang=en" TargetMode="External"/><Relationship Id="rId256" Type="http://schemas.openxmlformats.org/officeDocument/2006/relationships/hyperlink" Target="https://investors.sgx.com/market/securities?code=566&amp;type=stocks&amp;lang=en" TargetMode="External"/><Relationship Id="rId298" Type="http://schemas.openxmlformats.org/officeDocument/2006/relationships/hyperlink" Target="https://investors.sgx.com/market/securities?code=585&amp;type=stocks&amp;lang=en" TargetMode="External"/><Relationship Id="rId421" Type="http://schemas.openxmlformats.org/officeDocument/2006/relationships/hyperlink" Target="https://investors.sgx.com/market/securities?code=5TJ&amp;type=stocks&amp;lang=en" TargetMode="External"/><Relationship Id="rId463" Type="http://schemas.openxmlformats.org/officeDocument/2006/relationships/hyperlink" Target="https://investors.sgx.com/market/securities?code=OTX&amp;type=stocks&amp;lang=en" TargetMode="External"/><Relationship Id="rId519" Type="http://schemas.openxmlformats.org/officeDocument/2006/relationships/hyperlink" Target="https://investors.sgx.com/market/securities?code=9VW&amp;type=stocks&amp;lang=en" TargetMode="External"/><Relationship Id="rId116" Type="http://schemas.openxmlformats.org/officeDocument/2006/relationships/hyperlink" Target="https://investors.sgx.com/market/securities?code=WJ9&amp;type=stocks&amp;lang=en" TargetMode="External"/><Relationship Id="rId158" Type="http://schemas.openxmlformats.org/officeDocument/2006/relationships/hyperlink" Target="https://investors.sgx.com/market/securities?code=U9E&amp;type=stocks&amp;lang=en" TargetMode="External"/><Relationship Id="rId323" Type="http://schemas.openxmlformats.org/officeDocument/2006/relationships/hyperlink" Target="https://investors.sgx.com/market/securities?code=5NV&amp;type=stocks&amp;lang=en" TargetMode="External"/><Relationship Id="rId530" Type="http://schemas.openxmlformats.org/officeDocument/2006/relationships/hyperlink" Target="https://investors.sgx.com/market/securities?code=RC5&amp;type=stocks&amp;lang=en" TargetMode="External"/><Relationship Id="rId20" Type="http://schemas.openxmlformats.org/officeDocument/2006/relationships/hyperlink" Target="https://investors.sgx.com/market/securities?code=5TP&amp;type=stocks&amp;lang=en" TargetMode="External"/><Relationship Id="rId62" Type="http://schemas.openxmlformats.org/officeDocument/2006/relationships/hyperlink" Target="https://investors.sgx.com/market/securities?code=CLN&amp;type=stocks&amp;lang=en" TargetMode="External"/><Relationship Id="rId365" Type="http://schemas.openxmlformats.org/officeDocument/2006/relationships/hyperlink" Target="https://investors.sgx.com/market/securities?code=570&amp;type=stocks&amp;lang=en" TargetMode="External"/><Relationship Id="rId225" Type="http://schemas.openxmlformats.org/officeDocument/2006/relationships/hyperlink" Target="https://investors.sgx.com/market/securities?code=42E&amp;type=stocks&amp;lang=en" TargetMode="External"/><Relationship Id="rId267" Type="http://schemas.openxmlformats.org/officeDocument/2006/relationships/hyperlink" Target="https://investors.sgx.com/market/securities?code=5F4&amp;type=stocks&amp;lang=en" TargetMode="External"/><Relationship Id="rId432" Type="http://schemas.openxmlformats.org/officeDocument/2006/relationships/hyperlink" Target="https://investors.sgx.com/market/securities?code=PH0&amp;type=stocks&amp;lang=en" TargetMode="External"/><Relationship Id="rId474" Type="http://schemas.openxmlformats.org/officeDocument/2006/relationships/hyperlink" Target="https://investors.sgx.com/market/securities?code=NPW&amp;type=stocks&amp;lang=en" TargetMode="External"/><Relationship Id="rId127" Type="http://schemas.openxmlformats.org/officeDocument/2006/relationships/hyperlink" Target="https://investors.sgx.com/market/securities?code=A31&amp;type=stocks&amp;lang=en" TargetMode="External"/><Relationship Id="rId31" Type="http://schemas.openxmlformats.org/officeDocument/2006/relationships/hyperlink" Target="https://investors.sgx.com/market/securities?code=558&amp;type=stocks&amp;lang=en" TargetMode="External"/><Relationship Id="rId73" Type="http://schemas.openxmlformats.org/officeDocument/2006/relationships/hyperlink" Target="https://investors.sgx.com/market/securities?code=S56&amp;type=stocks&amp;lang=en" TargetMode="External"/><Relationship Id="rId169" Type="http://schemas.openxmlformats.org/officeDocument/2006/relationships/hyperlink" Target="https://investors.sgx.com/market/securities?code=MR7&amp;type=stocks&amp;lang=en" TargetMode="External"/><Relationship Id="rId334" Type="http://schemas.openxmlformats.org/officeDocument/2006/relationships/hyperlink" Target="https://investors.sgx.com/market/securities?code=OTS&amp;type=stocks&amp;lang=en" TargetMode="External"/><Relationship Id="rId376" Type="http://schemas.openxmlformats.org/officeDocument/2006/relationships/hyperlink" Target="https://investors.sgx.com/market/securities?code=40F&amp;type=stocks&amp;lang=en" TargetMode="External"/><Relationship Id="rId541" Type="http://schemas.openxmlformats.org/officeDocument/2006/relationships/hyperlink" Target="https://investors.sgx.com/market/securities?code=BJD&amp;type=stocks&amp;lang=en" TargetMode="External"/><Relationship Id="rId4" Type="http://schemas.openxmlformats.org/officeDocument/2006/relationships/hyperlink" Target="https://investors.sgx.com/market/securities?code=S08&amp;type=stocks&amp;lang=en" TargetMode="External"/><Relationship Id="rId180" Type="http://schemas.openxmlformats.org/officeDocument/2006/relationships/hyperlink" Target="https://investors.sgx.com/market/securities?code=YK9&amp;type=stocks&amp;lang=en" TargetMode="External"/><Relationship Id="rId236" Type="http://schemas.openxmlformats.org/officeDocument/2006/relationships/hyperlink" Target="https://investors.sgx.com/market/securities?code=40T&amp;type=stocks&amp;lang=en" TargetMode="External"/><Relationship Id="rId278" Type="http://schemas.openxmlformats.org/officeDocument/2006/relationships/hyperlink" Target="https://investors.sgx.com/market/securities?code=5VS&amp;type=stocks&amp;lang=en" TargetMode="External"/><Relationship Id="rId401" Type="http://schemas.openxmlformats.org/officeDocument/2006/relationships/hyperlink" Target="https://investors.sgx.com/market/securities?code=UIX&amp;type=stocks&amp;lang=en" TargetMode="External"/><Relationship Id="rId443" Type="http://schemas.openxmlformats.org/officeDocument/2006/relationships/hyperlink" Target="https://investors.sgx.com/market/securities?code=AZA&amp;type=stocks&amp;lang=en" TargetMode="External"/><Relationship Id="rId303" Type="http://schemas.openxmlformats.org/officeDocument/2006/relationships/hyperlink" Target="https://investors.sgx.com/market/securities?code=BQP&amp;type=stocks&amp;lang=en" TargetMode="External"/><Relationship Id="rId485" Type="http://schemas.openxmlformats.org/officeDocument/2006/relationships/hyperlink" Target="https://investors.sgx.com/market/securities?code=5SY&amp;type=stocks&amp;lang=en" TargetMode="External"/><Relationship Id="rId42" Type="http://schemas.openxmlformats.org/officeDocument/2006/relationships/hyperlink" Target="https://investors.sgx.com/market/securities?code=A04&amp;type=stocks&amp;lang=en" TargetMode="External"/><Relationship Id="rId84" Type="http://schemas.openxmlformats.org/officeDocument/2006/relationships/hyperlink" Target="https://investors.sgx.com/market/securities?code=T14&amp;type=stocks&amp;lang=en" TargetMode="External"/><Relationship Id="rId138" Type="http://schemas.openxmlformats.org/officeDocument/2006/relationships/hyperlink" Target="https://investors.sgx.com/market/securities?code=H07&amp;type=stocks&amp;lang=en" TargetMode="External"/><Relationship Id="rId345" Type="http://schemas.openxmlformats.org/officeDocument/2006/relationships/hyperlink" Target="https://investors.sgx.com/market/securities?code=532&amp;type=stocks&amp;lang=en" TargetMode="External"/><Relationship Id="rId387" Type="http://schemas.openxmlformats.org/officeDocument/2006/relationships/hyperlink" Target="https://investors.sgx.com/market/securities?code=42S&amp;type=stocks&amp;lang=en" TargetMode="External"/><Relationship Id="rId510" Type="http://schemas.openxmlformats.org/officeDocument/2006/relationships/hyperlink" Target="https://investors.sgx.com/market/securities?code=A78&amp;type=stocks&amp;lang=en" TargetMode="External"/><Relationship Id="rId552" Type="http://schemas.openxmlformats.org/officeDocument/2006/relationships/hyperlink" Target="https://investors.sgx.com/market/securities?code=OV8&amp;type=stocks" TargetMode="External"/><Relationship Id="rId191" Type="http://schemas.openxmlformats.org/officeDocument/2006/relationships/hyperlink" Target="https://investors.sgx.com/market/securities?code=BQD&amp;type=stocks&amp;lang=en" TargetMode="External"/><Relationship Id="rId205" Type="http://schemas.openxmlformats.org/officeDocument/2006/relationships/hyperlink" Target="https://investors.sgx.com/market/securities?code=C33&amp;type=stocks&amp;lang=en" TargetMode="External"/><Relationship Id="rId247" Type="http://schemas.openxmlformats.org/officeDocument/2006/relationships/hyperlink" Target="https://investors.sgx.com/market/securities?code=F13&amp;type=stocks&amp;lang=en" TargetMode="External"/><Relationship Id="rId412" Type="http://schemas.openxmlformats.org/officeDocument/2006/relationships/hyperlink" Target="https://investors.sgx.com/market/securities?code=TCU&amp;type=stocks&amp;lang=en" TargetMode="External"/><Relationship Id="rId107" Type="http://schemas.openxmlformats.org/officeDocument/2006/relationships/hyperlink" Target="https://investors.sgx.com/market/securities?code=TQ5&amp;type=stocks&amp;lang=en" TargetMode="External"/><Relationship Id="rId289" Type="http://schemas.openxmlformats.org/officeDocument/2006/relationships/hyperlink" Target="https://investors.sgx.com/market/securities?code=BCV&amp;type=stocks&amp;lang=en" TargetMode="External"/><Relationship Id="rId454" Type="http://schemas.openxmlformats.org/officeDocument/2006/relationships/hyperlink" Target="https://investors.sgx.com/market/securities?code=LMS&amp;type=stocks&amp;lang=en" TargetMode="External"/><Relationship Id="rId496" Type="http://schemas.openxmlformats.org/officeDocument/2006/relationships/hyperlink" Target="https://investors.sgx.com/market/securities?code=LUY&amp;type=stocks&amp;lang=en" TargetMode="External"/><Relationship Id="rId11" Type="http://schemas.openxmlformats.org/officeDocument/2006/relationships/hyperlink" Target="https://investors.sgx.com/market/securities?code=BN4&amp;type=stocks&amp;lang=en" TargetMode="External"/><Relationship Id="rId53" Type="http://schemas.openxmlformats.org/officeDocument/2006/relationships/hyperlink" Target="https://investors.sgx.com/market/securities?code=Y35&amp;type=stocks&amp;lang=en" TargetMode="External"/><Relationship Id="rId149" Type="http://schemas.openxmlformats.org/officeDocument/2006/relationships/hyperlink" Target="https://investors.sgx.com/market/securities?code=AWI&amp;type=stocks&amp;lang=en" TargetMode="External"/><Relationship Id="rId314" Type="http://schemas.openxmlformats.org/officeDocument/2006/relationships/hyperlink" Target="https://investors.sgx.com/market/securities?code=5I1&amp;type=stocks&amp;lang=en" TargetMode="External"/><Relationship Id="rId356" Type="http://schemas.openxmlformats.org/officeDocument/2006/relationships/hyperlink" Target="https://investors.sgx.com/market/securities?code=42Z&amp;type=stocks&amp;lang=en" TargetMode="External"/><Relationship Id="rId398" Type="http://schemas.openxmlformats.org/officeDocument/2006/relationships/hyperlink" Target="https://investors.sgx.com/market/securities?code=AWV&amp;type=stocks&amp;lang=en" TargetMode="External"/><Relationship Id="rId521" Type="http://schemas.openxmlformats.org/officeDocument/2006/relationships/hyperlink" Target="https://investors.sgx.com/market/securities?code=DRX&amp;type=stocks&amp;lang=en" TargetMode="External"/><Relationship Id="rId563" Type="http://schemas.openxmlformats.org/officeDocument/2006/relationships/hyperlink" Target="https://investors.sgx.com/market/securities?code=1U8&amp;type=stocks" TargetMode="External"/><Relationship Id="rId95" Type="http://schemas.openxmlformats.org/officeDocument/2006/relationships/hyperlink" Target="https://investors.sgx.com/market/securities?code=5UX&amp;type=stocks&amp;lang=en" TargetMode="External"/><Relationship Id="rId160" Type="http://schemas.openxmlformats.org/officeDocument/2006/relationships/hyperlink" Target="https://investors.sgx.com/market/securities?code=M01&amp;type=stocks&amp;lang=en" TargetMode="External"/><Relationship Id="rId216" Type="http://schemas.openxmlformats.org/officeDocument/2006/relationships/hyperlink" Target="https://investors.sgx.com/market/securities?code=BTP&amp;type=stocks&amp;lang=en" TargetMode="External"/><Relationship Id="rId423" Type="http://schemas.openxmlformats.org/officeDocument/2006/relationships/hyperlink" Target="https://investors.sgx.com/market/securities?code=KYB&amp;type=stocks&amp;lang=en" TargetMode="External"/><Relationship Id="rId258" Type="http://schemas.openxmlformats.org/officeDocument/2006/relationships/hyperlink" Target="https://investors.sgx.com/market/securities?code=1J5&amp;type=stocks&amp;lang=en" TargetMode="External"/><Relationship Id="rId465" Type="http://schemas.openxmlformats.org/officeDocument/2006/relationships/hyperlink" Target="https://investors.sgx.com/market/securities?code=5RF&amp;type=stocks&amp;lang=en" TargetMode="External"/><Relationship Id="rId22" Type="http://schemas.openxmlformats.org/officeDocument/2006/relationships/hyperlink" Target="https://investors.sgx.com/market/securities?code=S58&amp;type=stocks&amp;lang=en" TargetMode="External"/><Relationship Id="rId64" Type="http://schemas.openxmlformats.org/officeDocument/2006/relationships/hyperlink" Target="https://investors.sgx.com/market/securities?code=BSL&amp;type=stocks&amp;lang=en" TargetMode="External"/><Relationship Id="rId118" Type="http://schemas.openxmlformats.org/officeDocument/2006/relationships/hyperlink" Target="https://investors.sgx.com/market/securities?code=CHZ&amp;type=stocks&amp;lang=en" TargetMode="External"/><Relationship Id="rId325" Type="http://schemas.openxmlformats.org/officeDocument/2006/relationships/hyperlink" Target="https://investors.sgx.com/market/securities?code=1Y1&amp;type=stocks&amp;lang=en" TargetMode="External"/><Relationship Id="rId367" Type="http://schemas.openxmlformats.org/officeDocument/2006/relationships/hyperlink" Target="https://investors.sgx.com/market/securities?code=580&amp;type=stocks&amp;lang=en" TargetMode="External"/><Relationship Id="rId532" Type="http://schemas.openxmlformats.org/officeDocument/2006/relationships/hyperlink" Target="https://investors.sgx.com/market/securities?code=BFU&amp;type=stocks&amp;lang=en" TargetMode="External"/><Relationship Id="rId171" Type="http://schemas.openxmlformats.org/officeDocument/2006/relationships/hyperlink" Target="https://investors.sgx.com/market/securities?code=X5N&amp;type=stocks&amp;lang=en" TargetMode="External"/><Relationship Id="rId227" Type="http://schemas.openxmlformats.org/officeDocument/2006/relationships/hyperlink" Target="https://investors.sgx.com/market/securities?code=Z4D&amp;type=stocks&amp;lang=en" TargetMode="External"/><Relationship Id="rId269" Type="http://schemas.openxmlformats.org/officeDocument/2006/relationships/hyperlink" Target="https://investors.sgx.com/market/securities?code=BWM&amp;type=stocks&amp;lang=en" TargetMode="External"/><Relationship Id="rId434" Type="http://schemas.openxmlformats.org/officeDocument/2006/relationships/hyperlink" Target="https://investors.sgx.com/market/securities?code=5OR&amp;type=stocks&amp;lang=en" TargetMode="External"/><Relationship Id="rId476" Type="http://schemas.openxmlformats.org/officeDocument/2006/relationships/hyperlink" Target="https://investors.sgx.com/market/securities?code=MF6&amp;type=stocks&amp;lang=en" TargetMode="External"/><Relationship Id="rId33" Type="http://schemas.openxmlformats.org/officeDocument/2006/relationships/hyperlink" Target="https://investors.sgx.com/market/securities?code=OYY&amp;type=stocks&amp;lang=en" TargetMode="External"/><Relationship Id="rId129" Type="http://schemas.openxmlformats.org/officeDocument/2006/relationships/hyperlink" Target="https://investors.sgx.com/market/securities?code=S61&amp;type=stocks&amp;lang=en" TargetMode="External"/><Relationship Id="rId280" Type="http://schemas.openxmlformats.org/officeDocument/2006/relationships/hyperlink" Target="https://investors.sgx.com/market/securities?code=504&amp;type=stocks&amp;lang=en" TargetMode="External"/><Relationship Id="rId336" Type="http://schemas.openxmlformats.org/officeDocument/2006/relationships/hyperlink" Target="https://investors.sgx.com/market/securities?code=F1E&amp;type=stocks&amp;lang=en" TargetMode="External"/><Relationship Id="rId501" Type="http://schemas.openxmlformats.org/officeDocument/2006/relationships/hyperlink" Target="https://investors.sgx.com/market/securities?code=BRD&amp;type=stocks&amp;lang=en" TargetMode="External"/><Relationship Id="rId543" Type="http://schemas.openxmlformats.org/officeDocument/2006/relationships/hyperlink" Target="https://investors.sgx.com/market/securities?code=1A1&amp;type=stocks&amp;lang=en" TargetMode="External"/><Relationship Id="rId75" Type="http://schemas.openxmlformats.org/officeDocument/2006/relationships/hyperlink" Target="https://investors.sgx.com/market/securities?code=KUO&amp;type=stocks&amp;lang=en" TargetMode="External"/><Relationship Id="rId140" Type="http://schemas.openxmlformats.org/officeDocument/2006/relationships/hyperlink" Target="https://investors.sgx.com/market/securities?code=WJP&amp;type=stocks&amp;lang=en" TargetMode="External"/><Relationship Id="rId182" Type="http://schemas.openxmlformats.org/officeDocument/2006/relationships/hyperlink" Target="https://investors.sgx.com/market/securities?code=554&amp;type=stocks&amp;lang=en" TargetMode="External"/><Relationship Id="rId378" Type="http://schemas.openxmlformats.org/officeDocument/2006/relationships/hyperlink" Target="https://investors.sgx.com/market/securities?code=S9B&amp;type=stocks&amp;lang=en" TargetMode="External"/><Relationship Id="rId403" Type="http://schemas.openxmlformats.org/officeDocument/2006/relationships/hyperlink" Target="https://investors.sgx.com/market/securities?code=BCD&amp;type=stocks&amp;lang=en" TargetMode="External"/><Relationship Id="rId6" Type="http://schemas.openxmlformats.org/officeDocument/2006/relationships/hyperlink" Target="https://investors.sgx.com/market/securities?code=G13&amp;type=stocks&amp;lang=en" TargetMode="External"/><Relationship Id="rId238" Type="http://schemas.openxmlformats.org/officeDocument/2006/relationships/hyperlink" Target="https://investors.sgx.com/market/securities?code=5CT&amp;type=stocks&amp;lang=en" TargetMode="External"/><Relationship Id="rId445" Type="http://schemas.openxmlformats.org/officeDocument/2006/relationships/hyperlink" Target="https://investors.sgx.com/market/securities?code=1J7&amp;type=stocks&amp;lang=en" TargetMode="External"/><Relationship Id="rId487" Type="http://schemas.openxmlformats.org/officeDocument/2006/relationships/hyperlink" Target="https://investors.sgx.com/market/securities?code=AJ2&amp;type=stocks&amp;lang=en" TargetMode="External"/><Relationship Id="rId291" Type="http://schemas.openxmlformats.org/officeDocument/2006/relationships/hyperlink" Target="https://investors.sgx.com/market/securities?code=TWL&amp;type=stocks&amp;lang=en" TargetMode="External"/><Relationship Id="rId305" Type="http://schemas.openxmlformats.org/officeDocument/2006/relationships/hyperlink" Target="https://investors.sgx.com/market/securities?code=40B&amp;type=stocks&amp;lang=en" TargetMode="External"/><Relationship Id="rId347" Type="http://schemas.openxmlformats.org/officeDocument/2006/relationships/hyperlink" Target="https://investors.sgx.com/market/securities?code=BIX&amp;type=stocks&amp;lang=en" TargetMode="External"/><Relationship Id="rId512" Type="http://schemas.openxmlformats.org/officeDocument/2006/relationships/hyperlink" Target="https://investors.sgx.com/market/securities?code=URR&amp;type=stocks&amp;lang=en" TargetMode="External"/><Relationship Id="rId44" Type="http://schemas.openxmlformats.org/officeDocument/2006/relationships/hyperlink" Target="https://investors.sgx.com/market/securities?code=F9D&amp;type=stocks&amp;lang=en" TargetMode="External"/><Relationship Id="rId86" Type="http://schemas.openxmlformats.org/officeDocument/2006/relationships/hyperlink" Target="https://investors.sgx.com/market/securities?code=5IC&amp;type=stocks&amp;lang=en" TargetMode="External"/><Relationship Id="rId151" Type="http://schemas.openxmlformats.org/officeDocument/2006/relationships/hyperlink" Target="https://investors.sgx.com/market/securities?code=M04&amp;type=stocks&amp;lang=en" TargetMode="External"/><Relationship Id="rId389" Type="http://schemas.openxmlformats.org/officeDocument/2006/relationships/hyperlink" Target="https://investors.sgx.com/market/securities?code=1D3&amp;type=stocks&amp;lang=en" TargetMode="External"/><Relationship Id="rId554" Type="http://schemas.openxmlformats.org/officeDocument/2006/relationships/hyperlink" Target="https://investors.sgx.com/market/securities?code=I49&amp;type=stocks" TargetMode="External"/><Relationship Id="rId193" Type="http://schemas.openxmlformats.org/officeDocument/2006/relationships/hyperlink" Target="https://investors.sgx.com/market/securities?code=BEW&amp;type=stocks&amp;lang=en" TargetMode="External"/><Relationship Id="rId207" Type="http://schemas.openxmlformats.org/officeDocument/2006/relationships/hyperlink" Target="https://investors.sgx.com/market/securities?code=BAZ&amp;type=stocks&amp;lang=en" TargetMode="External"/><Relationship Id="rId249" Type="http://schemas.openxmlformats.org/officeDocument/2006/relationships/hyperlink" Target="https://investors.sgx.com/market/securities?code=S85&amp;type=stocks&amp;lang=en" TargetMode="External"/><Relationship Id="rId414" Type="http://schemas.openxmlformats.org/officeDocument/2006/relationships/hyperlink" Target="https://investors.sgx.com/market/securities?code=BTF&amp;type=stocks&amp;lang=en" TargetMode="External"/><Relationship Id="rId456" Type="http://schemas.openxmlformats.org/officeDocument/2006/relationships/hyperlink" Target="https://investors.sgx.com/market/securities?code=5IE&amp;type=stocks&amp;lang=en" TargetMode="External"/><Relationship Id="rId498" Type="http://schemas.openxmlformats.org/officeDocument/2006/relationships/hyperlink" Target="https://investors.sgx.com/market/securities?code=UV1&amp;type=stocks&amp;lang=en" TargetMode="External"/><Relationship Id="rId13" Type="http://schemas.openxmlformats.org/officeDocument/2006/relationships/hyperlink" Target="https://investors.sgx.com/market/securities?code=U96&amp;type=stocks&amp;lang=en" TargetMode="External"/><Relationship Id="rId109" Type="http://schemas.openxmlformats.org/officeDocument/2006/relationships/hyperlink" Target="https://investors.sgx.com/market/securities?code=P9D&amp;type=stocks&amp;lang=en" TargetMode="External"/><Relationship Id="rId260" Type="http://schemas.openxmlformats.org/officeDocument/2006/relationships/hyperlink" Target="https://investors.sgx.com/market/securities?code=5LE&amp;type=stocks&amp;lang=en" TargetMode="External"/><Relationship Id="rId316" Type="http://schemas.openxmlformats.org/officeDocument/2006/relationships/hyperlink" Target="https://investors.sgx.com/market/securities?code=EMI&amp;type=stocks&amp;lang=en" TargetMode="External"/><Relationship Id="rId523" Type="http://schemas.openxmlformats.org/officeDocument/2006/relationships/hyperlink" Target="https://investors.sgx.com/market/securities?code=BKZ&amp;type=stocks&amp;lang=en" TargetMode="External"/><Relationship Id="rId55" Type="http://schemas.openxmlformats.org/officeDocument/2006/relationships/hyperlink" Target="https://investors.sgx.com/market/securities?code=G92&amp;type=stocks&amp;lang=en" TargetMode="External"/><Relationship Id="rId97" Type="http://schemas.openxmlformats.org/officeDocument/2006/relationships/hyperlink" Target="https://investors.sgx.com/market/securities?code=Z59&amp;type=stocks&amp;lang=en" TargetMode="External"/><Relationship Id="rId120" Type="http://schemas.openxmlformats.org/officeDocument/2006/relationships/hyperlink" Target="https://investors.sgx.com/market/securities?code=AWZ&amp;type=stocks&amp;lang=en" TargetMode="External"/><Relationship Id="rId358" Type="http://schemas.openxmlformats.org/officeDocument/2006/relationships/hyperlink" Target="https://investors.sgx.com/market/securities?code=5HG&amp;type=stocks&amp;lang=en" TargetMode="External"/><Relationship Id="rId162" Type="http://schemas.openxmlformats.org/officeDocument/2006/relationships/hyperlink" Target="https://investors.sgx.com/market/securities?code=8A8&amp;type=stocks&amp;lang=en" TargetMode="External"/><Relationship Id="rId218" Type="http://schemas.openxmlformats.org/officeDocument/2006/relationships/hyperlink" Target="https://investors.sgx.com/market/securities?code=5FX&amp;type=stocks&amp;lang=en" TargetMode="External"/><Relationship Id="rId425" Type="http://schemas.openxmlformats.org/officeDocument/2006/relationships/hyperlink" Target="https://investors.sgx.com/market/securities?code=BTY&amp;type=stocks&amp;lang=en" TargetMode="External"/><Relationship Id="rId467" Type="http://schemas.openxmlformats.org/officeDocument/2006/relationships/hyperlink" Target="https://investors.sgx.com/market/securities?code=V3M&amp;type=stocks&amp;lang=en" TargetMode="External"/><Relationship Id="rId271" Type="http://schemas.openxmlformats.org/officeDocument/2006/relationships/hyperlink" Target="https://investors.sgx.com/market/securities?code=5DP&amp;type=stocks&amp;lang=en" TargetMode="External"/><Relationship Id="rId24" Type="http://schemas.openxmlformats.org/officeDocument/2006/relationships/hyperlink" Target="https://investors.sgx.com/market/securities?code=C09&amp;type=stocks&amp;lang=en" TargetMode="External"/><Relationship Id="rId66" Type="http://schemas.openxmlformats.org/officeDocument/2006/relationships/hyperlink" Target="https://investors.sgx.com/market/securities?code=C06&amp;type=stocks&amp;lang=en" TargetMode="External"/><Relationship Id="rId131" Type="http://schemas.openxmlformats.org/officeDocument/2006/relationships/hyperlink" Target="https://investors.sgx.com/market/securities?code=T15&amp;type=stocks&amp;lang=en" TargetMode="External"/><Relationship Id="rId327" Type="http://schemas.openxmlformats.org/officeDocument/2006/relationships/hyperlink" Target="https://investors.sgx.com/market/securities?code=C04&amp;type=stocks&amp;lang=en" TargetMode="External"/><Relationship Id="rId369" Type="http://schemas.openxmlformats.org/officeDocument/2006/relationships/hyperlink" Target="https://investors.sgx.com/market/securities?code=600&amp;type=stocks&amp;lang=en" TargetMode="External"/><Relationship Id="rId534" Type="http://schemas.openxmlformats.org/officeDocument/2006/relationships/hyperlink" Target="https://investors.sgx.com/market/securities?code=AZR&amp;type=stocks&amp;lang=en" TargetMode="External"/><Relationship Id="rId173" Type="http://schemas.openxmlformats.org/officeDocument/2006/relationships/hyperlink" Target="https://investors.sgx.com/market/securities?code=J2T&amp;type=stocks&amp;lang=en" TargetMode="External"/><Relationship Id="rId229" Type="http://schemas.openxmlformats.org/officeDocument/2006/relationships/hyperlink" Target="https://investors.sgx.com/market/securities?code=5HH&amp;type=stocks&amp;lang=en" TargetMode="External"/><Relationship Id="rId380" Type="http://schemas.openxmlformats.org/officeDocument/2006/relationships/hyperlink" Target="https://investors.sgx.com/market/securities?code=AOF&amp;type=stocks&amp;lang=en" TargetMode="External"/><Relationship Id="rId436" Type="http://schemas.openxmlformats.org/officeDocument/2006/relationships/hyperlink" Target="https://investors.sgx.com/market/securities?code=5PD&amp;type=stocks&amp;lang=en" TargetMode="External"/><Relationship Id="rId240" Type="http://schemas.openxmlformats.org/officeDocument/2006/relationships/hyperlink" Target="https://investors.sgx.com/market/securities?code=A52&amp;type=stocks&amp;lang=en" TargetMode="External"/><Relationship Id="rId478" Type="http://schemas.openxmlformats.org/officeDocument/2006/relationships/hyperlink" Target="https://investors.sgx.com/market/securities?code=5IF&amp;type=stocks&amp;lang=en" TargetMode="External"/><Relationship Id="rId35" Type="http://schemas.openxmlformats.org/officeDocument/2006/relationships/hyperlink" Target="https://investors.sgx.com/market/securities?code=EB5&amp;type=stocks&amp;lang=en" TargetMode="External"/><Relationship Id="rId77" Type="http://schemas.openxmlformats.org/officeDocument/2006/relationships/hyperlink" Target="https://investors.sgx.com/market/securities?code=Z77&amp;type=stocks&amp;lang=en" TargetMode="External"/><Relationship Id="rId100" Type="http://schemas.openxmlformats.org/officeDocument/2006/relationships/hyperlink" Target="https://investors.sgx.com/market/securities?code=F17&amp;type=stocks&amp;lang=en" TargetMode="External"/><Relationship Id="rId282" Type="http://schemas.openxmlformats.org/officeDocument/2006/relationships/hyperlink" Target="https://investors.sgx.com/market/securities?code=5PO&amp;type=stocks&amp;lang=en" TargetMode="External"/><Relationship Id="rId338" Type="http://schemas.openxmlformats.org/officeDocument/2006/relationships/hyperlink" Target="https://investors.sgx.com/market/securities?code=1AZ&amp;type=stocks&amp;lang=en" TargetMode="External"/><Relationship Id="rId503" Type="http://schemas.openxmlformats.org/officeDocument/2006/relationships/hyperlink" Target="https://investors.sgx.com/market/securities?code=5BS&amp;type=stocks&amp;lang=en" TargetMode="External"/><Relationship Id="rId545" Type="http://schemas.openxmlformats.org/officeDocument/2006/relationships/hyperlink" Target="https://investors.sgx.com/market/securities?code=BKX&amp;type=stocks&amp;lang=en" TargetMode="External"/><Relationship Id="rId8" Type="http://schemas.openxmlformats.org/officeDocument/2006/relationships/hyperlink" Target="https://investors.sgx.com/market/securities?code=S68&amp;type=stocks&amp;lang=en" TargetMode="External"/><Relationship Id="rId142" Type="http://schemas.openxmlformats.org/officeDocument/2006/relationships/hyperlink" Target="https://investors.sgx.com/market/securities?code=G0I&amp;type=stocks&amp;lang=en" TargetMode="External"/><Relationship Id="rId184" Type="http://schemas.openxmlformats.org/officeDocument/2006/relationships/hyperlink" Target="https://investors.sgx.com/market/securities?code=1D0&amp;type=stocks&amp;lang=en" TargetMode="External"/><Relationship Id="rId391" Type="http://schemas.openxmlformats.org/officeDocument/2006/relationships/hyperlink" Target="https://investors.sgx.com/market/securities?code=BQN&amp;type=stocks&amp;lang=en" TargetMode="External"/><Relationship Id="rId405" Type="http://schemas.openxmlformats.org/officeDocument/2006/relationships/hyperlink" Target="https://investors.sgx.com/market/securities?code=STC&amp;type=stocks&amp;lang=en" TargetMode="External"/><Relationship Id="rId447" Type="http://schemas.openxmlformats.org/officeDocument/2006/relationships/hyperlink" Target="https://investors.sgx.com/market/securities?code=K29&amp;type=stocks&amp;lang=en" TargetMode="External"/><Relationship Id="rId251" Type="http://schemas.openxmlformats.org/officeDocument/2006/relationships/hyperlink" Target="https://investors.sgx.com/market/securities?code=5DS&amp;type=stocks&amp;lang=en" TargetMode="External"/><Relationship Id="rId489" Type="http://schemas.openxmlformats.org/officeDocument/2006/relationships/hyperlink" Target="https://investors.sgx.com/market/securities?code=UUK&amp;type=stocks&amp;lang=en" TargetMode="External"/><Relationship Id="rId46" Type="http://schemas.openxmlformats.org/officeDocument/2006/relationships/hyperlink" Target="https://investors.sgx.com/market/securities?code=HQU&amp;type=stocks&amp;lang=en" TargetMode="External"/><Relationship Id="rId293" Type="http://schemas.openxmlformats.org/officeDocument/2006/relationships/hyperlink" Target="https://investors.sgx.com/market/securities?code=A33&amp;type=stocks&amp;lang=en" TargetMode="External"/><Relationship Id="rId307" Type="http://schemas.openxmlformats.org/officeDocument/2006/relationships/hyperlink" Target="https://investors.sgx.com/market/securities?code=NXR&amp;type=stocks&amp;lang=en" TargetMode="External"/><Relationship Id="rId349" Type="http://schemas.openxmlformats.org/officeDocument/2006/relationships/hyperlink" Target="https://investors.sgx.com/market/securities?code=5VC&amp;type=stocks&amp;lang=en" TargetMode="External"/><Relationship Id="rId514" Type="http://schemas.openxmlformats.org/officeDocument/2006/relationships/hyperlink" Target="https://investors.sgx.com/market/securities?code=XZB&amp;type=stocks&amp;lang=en" TargetMode="External"/><Relationship Id="rId556" Type="http://schemas.openxmlformats.org/officeDocument/2006/relationships/hyperlink" Target="https://investors.sgx.com/market/securities?code=E28&amp;type=stocks" TargetMode="External"/><Relationship Id="rId88" Type="http://schemas.openxmlformats.org/officeDocument/2006/relationships/hyperlink" Target="https://investors.sgx.com/market/securities?code=5HV&amp;type=stocks&amp;lang=en" TargetMode="External"/><Relationship Id="rId111" Type="http://schemas.openxmlformats.org/officeDocument/2006/relationships/hyperlink" Target="https://investors.sgx.com/market/securities?code=S41&amp;type=stocks&amp;lang=en" TargetMode="External"/><Relationship Id="rId153" Type="http://schemas.openxmlformats.org/officeDocument/2006/relationships/hyperlink" Target="https://investors.sgx.com/market/securities?code=C13&amp;type=stocks&amp;lang=en" TargetMode="External"/><Relationship Id="rId195" Type="http://schemas.openxmlformats.org/officeDocument/2006/relationships/hyperlink" Target="https://investors.sgx.com/market/securities?code=43F&amp;type=stocks&amp;lang=en" TargetMode="External"/><Relationship Id="rId209" Type="http://schemas.openxmlformats.org/officeDocument/2006/relationships/hyperlink" Target="https://investors.sgx.com/market/securities?code=BHK&amp;type=stocks&amp;lang=en" TargetMode="External"/><Relationship Id="rId360" Type="http://schemas.openxmlformats.org/officeDocument/2006/relationships/hyperlink" Target="https://investors.sgx.com/market/securities?code=508&amp;type=stocks&amp;lang=en" TargetMode="External"/><Relationship Id="rId416" Type="http://schemas.openxmlformats.org/officeDocument/2006/relationships/hyperlink" Target="https://investors.sgx.com/market/securities?code=GRQ&amp;type=stocks&amp;lang=en" TargetMode="External"/><Relationship Id="rId220" Type="http://schemas.openxmlformats.org/officeDocument/2006/relationships/hyperlink" Target="https://investors.sgx.com/market/securities?code=AWC&amp;type=stocks&amp;lang=en" TargetMode="External"/><Relationship Id="rId458" Type="http://schemas.openxmlformats.org/officeDocument/2006/relationships/hyperlink" Target="https://investors.sgx.com/market/securities?code=BKK&amp;type=stocks&amp;lang=en" TargetMode="External"/><Relationship Id="rId15" Type="http://schemas.openxmlformats.org/officeDocument/2006/relationships/hyperlink" Target="https://investors.sgx.com/market/securities?code=H78&amp;type=stocks&amp;lang=en" TargetMode="External"/><Relationship Id="rId57" Type="http://schemas.openxmlformats.org/officeDocument/2006/relationships/hyperlink" Target="https://investors.sgx.com/market/securities?code=NIO&amp;type=stocks&amp;lang=en" TargetMode="External"/><Relationship Id="rId262" Type="http://schemas.openxmlformats.org/officeDocument/2006/relationships/hyperlink" Target="https://investors.sgx.com/market/securities?code=NC2&amp;type=stocks&amp;lang=en" TargetMode="External"/><Relationship Id="rId318" Type="http://schemas.openxmlformats.org/officeDocument/2006/relationships/hyperlink" Target="https://investors.sgx.com/market/securities?code=T12&amp;type=stocks&amp;lang=en" TargetMode="External"/><Relationship Id="rId525" Type="http://schemas.openxmlformats.org/officeDocument/2006/relationships/hyperlink" Target="https://investors.sgx.com/market/securities?code=5OQ&amp;type=stocks&amp;lang=en" TargetMode="External"/><Relationship Id="rId99" Type="http://schemas.openxmlformats.org/officeDocument/2006/relationships/hyperlink" Target="https://investors.sgx.com/market/securities?code=5QY&amp;type=stocks&amp;lang=en" TargetMode="External"/><Relationship Id="rId122" Type="http://schemas.openxmlformats.org/officeDocument/2006/relationships/hyperlink" Target="https://investors.sgx.com/market/securities?code=BTG&amp;type=stocks&amp;lang=en" TargetMode="External"/><Relationship Id="rId164" Type="http://schemas.openxmlformats.org/officeDocument/2006/relationships/hyperlink" Target="https://investors.sgx.com/market/securities?code=JLB&amp;type=stocks&amp;lang=en" TargetMode="External"/><Relationship Id="rId371" Type="http://schemas.openxmlformats.org/officeDocument/2006/relationships/hyperlink" Target="https://investors.sgx.com/market/securities?code=QZG&amp;type=stocks&amp;lang=en" TargetMode="External"/><Relationship Id="rId427" Type="http://schemas.openxmlformats.org/officeDocument/2006/relationships/hyperlink" Target="https://investors.sgx.com/market/securities?code=5PC&amp;type=stocks&amp;lang=en" TargetMode="External"/><Relationship Id="rId469" Type="http://schemas.openxmlformats.org/officeDocument/2006/relationships/hyperlink" Target="https://investors.sgx.com/market/securities?code=MV4&amp;type=stocks&amp;lang=en" TargetMode="External"/><Relationship Id="rId26" Type="http://schemas.openxmlformats.org/officeDocument/2006/relationships/hyperlink" Target="https://investors.sgx.com/market/securities?code=AIY&amp;type=stocks&amp;lang=en" TargetMode="External"/><Relationship Id="rId231" Type="http://schemas.openxmlformats.org/officeDocument/2006/relationships/hyperlink" Target="https://investors.sgx.com/market/securities?code=1B0&amp;type=stocks&amp;lang=en" TargetMode="External"/><Relationship Id="rId273" Type="http://schemas.openxmlformats.org/officeDocument/2006/relationships/hyperlink" Target="https://investors.sgx.com/market/securities?code=42L&amp;type=stocks&amp;lang=en" TargetMode="External"/><Relationship Id="rId329" Type="http://schemas.openxmlformats.org/officeDocument/2006/relationships/hyperlink" Target="https://investors.sgx.com/market/securities?code=B49&amp;type=stocks&amp;lang=en" TargetMode="External"/><Relationship Id="rId480" Type="http://schemas.openxmlformats.org/officeDocument/2006/relationships/hyperlink" Target="https://investors.sgx.com/market/securities?code=N33&amp;type=stocks&amp;lang=en" TargetMode="External"/><Relationship Id="rId536" Type="http://schemas.openxmlformats.org/officeDocument/2006/relationships/hyperlink" Target="https://investors.sgx.com/market/securities?code=1D1&amp;type=stocks&amp;lang=en" TargetMode="External"/><Relationship Id="rId68" Type="http://schemas.openxmlformats.org/officeDocument/2006/relationships/hyperlink" Target="https://investors.sgx.com/market/securities?code=RXS&amp;type=stocks&amp;lang=en" TargetMode="External"/><Relationship Id="rId133" Type="http://schemas.openxmlformats.org/officeDocument/2006/relationships/hyperlink" Target="https://investors.sgx.com/market/securities?code=5GZ&amp;type=stocks&amp;lang=en" TargetMode="External"/><Relationship Id="rId175" Type="http://schemas.openxmlformats.org/officeDocument/2006/relationships/hyperlink" Target="https://investors.sgx.com/market/securities?code=P15&amp;type=stocks&amp;lang=en" TargetMode="External"/><Relationship Id="rId340" Type="http://schemas.openxmlformats.org/officeDocument/2006/relationships/hyperlink" Target="https://investors.sgx.com/market/securities?code=S44&amp;type=stocks&amp;lang=en" TargetMode="External"/><Relationship Id="rId200" Type="http://schemas.openxmlformats.org/officeDocument/2006/relationships/hyperlink" Target="https://investors.sgx.com/market/securities?code=5MD&amp;type=stocks&amp;lang=en" TargetMode="External"/><Relationship Id="rId382" Type="http://schemas.openxmlformats.org/officeDocument/2006/relationships/hyperlink" Target="https://investors.sgx.com/market/securities?code=1D4&amp;type=stocks&amp;lang=en" TargetMode="External"/><Relationship Id="rId438" Type="http://schemas.openxmlformats.org/officeDocument/2006/relationships/hyperlink" Target="https://investors.sgx.com/market/securities?code=H12&amp;type=stocks&amp;lang=en" TargetMode="External"/><Relationship Id="rId242" Type="http://schemas.openxmlformats.org/officeDocument/2006/relationships/hyperlink" Target="https://investors.sgx.com/market/securities?code=5ML&amp;type=stocks&amp;lang=en" TargetMode="External"/><Relationship Id="rId284" Type="http://schemas.openxmlformats.org/officeDocument/2006/relationships/hyperlink" Target="https://investors.sgx.com/market/securities?code=5AB&amp;type=stocks&amp;lang=en" TargetMode="External"/><Relationship Id="rId491" Type="http://schemas.openxmlformats.org/officeDocument/2006/relationships/hyperlink" Target="https://investors.sgx.com/market/securities?code=YYN&amp;type=stocks&amp;lang=en" TargetMode="External"/><Relationship Id="rId505" Type="http://schemas.openxmlformats.org/officeDocument/2006/relationships/hyperlink" Target="https://investors.sgx.com/market/securities?code=5EW&amp;type=stocks&amp;lang=en" TargetMode="External"/><Relationship Id="rId37" Type="http://schemas.openxmlformats.org/officeDocument/2006/relationships/hyperlink" Target="https://investors.sgx.com/market/securities?code=AP4&amp;type=stocks&amp;lang=en" TargetMode="External"/><Relationship Id="rId79" Type="http://schemas.openxmlformats.org/officeDocument/2006/relationships/hyperlink" Target="https://investors.sgx.com/market/securities?code=5WJ&amp;type=stocks&amp;lang=en" TargetMode="External"/><Relationship Id="rId102" Type="http://schemas.openxmlformats.org/officeDocument/2006/relationships/hyperlink" Target="https://investors.sgx.com/market/securities?code=5F7&amp;type=stocks&amp;lang=en" TargetMode="External"/><Relationship Id="rId144" Type="http://schemas.openxmlformats.org/officeDocument/2006/relationships/hyperlink" Target="https://investors.sgx.com/market/securities?code=K75&amp;type=stocks&amp;lang=en" TargetMode="External"/><Relationship Id="rId547" Type="http://schemas.openxmlformats.org/officeDocument/2006/relationships/hyperlink" Target="https://investors.sgx.com/market/securities?code=SO7&amp;type=stocks&amp;lang=en" TargetMode="External"/><Relationship Id="rId90" Type="http://schemas.openxmlformats.org/officeDocument/2006/relationships/hyperlink" Target="https://investors.sgx.com/market/securities?code=AGS&amp;type=stocks&amp;lang=en" TargetMode="External"/><Relationship Id="rId186" Type="http://schemas.openxmlformats.org/officeDocument/2006/relationships/hyperlink" Target="https://investors.sgx.com/market/securities?code=5JS&amp;type=stocks&amp;lang=en" TargetMode="External"/><Relationship Id="rId351" Type="http://schemas.openxmlformats.org/officeDocument/2006/relationships/hyperlink" Target="https://investors.sgx.com/market/securities?code=8A1&amp;type=stocks&amp;lang=en" TargetMode="External"/><Relationship Id="rId393" Type="http://schemas.openxmlformats.org/officeDocument/2006/relationships/hyperlink" Target="https://investors.sgx.com/market/securities?code=5VI&amp;type=stocks&amp;lang=en" TargetMode="External"/><Relationship Id="rId407" Type="http://schemas.openxmlformats.org/officeDocument/2006/relationships/hyperlink" Target="https://investors.sgx.com/market/securities?code=BMT&amp;type=stocks&amp;lang=en" TargetMode="External"/><Relationship Id="rId449" Type="http://schemas.openxmlformats.org/officeDocument/2006/relationships/hyperlink" Target="https://investors.sgx.com/market/securities?code=BJZ&amp;type=stocks&amp;lang=en" TargetMode="External"/><Relationship Id="rId211" Type="http://schemas.openxmlformats.org/officeDocument/2006/relationships/hyperlink" Target="https://investors.sgx.com/market/securities?code=AVX&amp;type=stocks&amp;lang=en" TargetMode="External"/><Relationship Id="rId253" Type="http://schemas.openxmlformats.org/officeDocument/2006/relationships/hyperlink" Target="https://investors.sgx.com/market/securities?code=OMK&amp;type=stocks&amp;lang=en" TargetMode="External"/><Relationship Id="rId295" Type="http://schemas.openxmlformats.org/officeDocument/2006/relationships/hyperlink" Target="https://investors.sgx.com/market/securities?code=BLS&amp;type=stocks&amp;lang=en" TargetMode="External"/><Relationship Id="rId309" Type="http://schemas.openxmlformats.org/officeDocument/2006/relationships/hyperlink" Target="https://investors.sgx.com/market/securities?code=1D5&amp;type=stocks&amp;lang=en" TargetMode="External"/><Relationship Id="rId460" Type="http://schemas.openxmlformats.org/officeDocument/2006/relationships/hyperlink" Target="https://investors.sgx.com/market/securities?code=M12&amp;type=stocks&amp;lang=en" TargetMode="External"/><Relationship Id="rId516" Type="http://schemas.openxmlformats.org/officeDocument/2006/relationships/hyperlink" Target="https://investors.sgx.com/market/securities?code=T4B&amp;type=stocks&amp;lang=en" TargetMode="External"/><Relationship Id="rId48" Type="http://schemas.openxmlformats.org/officeDocument/2006/relationships/hyperlink" Target="https://investors.sgx.com/market/securities?code=5UF&amp;type=stocks&amp;lang=en" TargetMode="External"/><Relationship Id="rId113" Type="http://schemas.openxmlformats.org/officeDocument/2006/relationships/hyperlink" Target="https://investors.sgx.com/market/securities?code=1L2&amp;type=stocks&amp;lang=en" TargetMode="External"/><Relationship Id="rId320" Type="http://schemas.openxmlformats.org/officeDocument/2006/relationships/hyperlink" Target="https://investors.sgx.com/market/securities?code=EH5&amp;type=stocks&amp;lang=en" TargetMode="External"/><Relationship Id="rId558" Type="http://schemas.openxmlformats.org/officeDocument/2006/relationships/hyperlink" Target="https://investors.sgx.com/market/securities?code=OU8&amp;type=stocks" TargetMode="External"/><Relationship Id="rId155" Type="http://schemas.openxmlformats.org/officeDocument/2006/relationships/hyperlink" Target="https://investors.sgx.com/market/securities?code=T24&amp;type=stocks&amp;lang=en" TargetMode="External"/><Relationship Id="rId197" Type="http://schemas.openxmlformats.org/officeDocument/2006/relationships/hyperlink" Target="https://investors.sgx.com/market/securities?code=Y8E&amp;type=stocks&amp;lang=en" TargetMode="External"/><Relationship Id="rId362" Type="http://schemas.openxmlformats.org/officeDocument/2006/relationships/hyperlink" Target="https://investors.sgx.com/market/securities?code=540&amp;type=stocks&amp;lang=en" TargetMode="External"/><Relationship Id="rId418" Type="http://schemas.openxmlformats.org/officeDocument/2006/relationships/hyperlink" Target="https://investors.sgx.com/market/securities?code=5RC&amp;type=stocks&amp;lang=en" TargetMode="External"/><Relationship Id="rId222" Type="http://schemas.openxmlformats.org/officeDocument/2006/relationships/hyperlink" Target="https://investors.sgx.com/market/securities?code=1A0&amp;type=stocks&amp;lang=en" TargetMode="External"/><Relationship Id="rId264" Type="http://schemas.openxmlformats.org/officeDocument/2006/relationships/hyperlink" Target="https://investors.sgx.com/market/securities?code=53W&amp;type=stocks&amp;lang=en" TargetMode="External"/><Relationship Id="rId471" Type="http://schemas.openxmlformats.org/officeDocument/2006/relationships/hyperlink" Target="https://investors.sgx.com/market/securities?code=5EN&amp;type=stocks&amp;lang=en" TargetMode="External"/><Relationship Id="rId17" Type="http://schemas.openxmlformats.org/officeDocument/2006/relationships/hyperlink" Target="https://investors.sgx.com/market/securities?code=C52&amp;type=stocks&amp;lang=en" TargetMode="External"/><Relationship Id="rId59" Type="http://schemas.openxmlformats.org/officeDocument/2006/relationships/hyperlink" Target="https://investors.sgx.com/market/securities?code=BEC&amp;type=stocks&amp;lang=en" TargetMode="External"/><Relationship Id="rId124" Type="http://schemas.openxmlformats.org/officeDocument/2006/relationships/hyperlink" Target="https://investors.sgx.com/market/securities?code=5EG&amp;type=stocks&amp;lang=en" TargetMode="External"/><Relationship Id="rId527" Type="http://schemas.openxmlformats.org/officeDocument/2006/relationships/hyperlink" Target="https://investors.sgx.com/market/securities?code=BFI&amp;type=stocks&amp;lang=en" TargetMode="External"/><Relationship Id="rId70" Type="http://schemas.openxmlformats.org/officeDocument/2006/relationships/hyperlink" Target="https://investors.sgx.com/market/securities?code=42F&amp;type=stocks&amp;lang=en" TargetMode="External"/><Relationship Id="rId166" Type="http://schemas.openxmlformats.org/officeDocument/2006/relationships/hyperlink" Target="https://investors.sgx.com/market/securities?code=Q0X&amp;type=stocks&amp;lang=en" TargetMode="External"/><Relationship Id="rId331" Type="http://schemas.openxmlformats.org/officeDocument/2006/relationships/hyperlink" Target="https://investors.sgx.com/market/securities?code=5OI&amp;type=stocks&amp;lang=en" TargetMode="External"/><Relationship Id="rId373" Type="http://schemas.openxmlformats.org/officeDocument/2006/relationships/hyperlink" Target="https://investors.sgx.com/market/securities?code=BLZ&amp;type=stocks&amp;lang=en" TargetMode="External"/><Relationship Id="rId429" Type="http://schemas.openxmlformats.org/officeDocument/2006/relationships/hyperlink" Target="https://investors.sgx.com/market/securities?code=BDX&amp;type=stocks&amp;lang=en" TargetMode="External"/><Relationship Id="rId1" Type="http://schemas.openxmlformats.org/officeDocument/2006/relationships/hyperlink" Target="https://investors.sgx.com/market/securities?code=D05&amp;type=stocks&amp;lang=en" TargetMode="External"/><Relationship Id="rId233" Type="http://schemas.openxmlformats.org/officeDocument/2006/relationships/hyperlink" Target="https://investors.sgx.com/market/securities?code=581&amp;type=stocks&amp;lang=en" TargetMode="External"/><Relationship Id="rId440" Type="http://schemas.openxmlformats.org/officeDocument/2006/relationships/hyperlink" Target="https://investors.sgx.com/market/securities?code=RDR&amp;type=stocks&amp;lang=en" TargetMode="External"/><Relationship Id="rId28" Type="http://schemas.openxmlformats.org/officeDocument/2006/relationships/hyperlink" Target="https://investors.sgx.com/market/securities?code=VC2&amp;type=stocks&amp;lang=en" TargetMode="External"/><Relationship Id="rId275" Type="http://schemas.openxmlformats.org/officeDocument/2006/relationships/hyperlink" Target="https://investors.sgx.com/market/securities?code=N32&amp;type=stocks&amp;lang=en" TargetMode="External"/><Relationship Id="rId300" Type="http://schemas.openxmlformats.org/officeDocument/2006/relationships/hyperlink" Target="https://investors.sgx.com/market/securities?code=5KI&amp;type=stocks&amp;lang=en" TargetMode="External"/><Relationship Id="rId482" Type="http://schemas.openxmlformats.org/officeDocument/2006/relationships/hyperlink" Target="https://investors.sgx.com/market/securities?code=AZT&amp;type=stocks&amp;lang=en" TargetMode="External"/><Relationship Id="rId538" Type="http://schemas.openxmlformats.org/officeDocument/2006/relationships/hyperlink" Target="https://investors.sgx.com/market/securities?code=V2Y&amp;type=stocks&amp;lang=en" TargetMode="External"/><Relationship Id="rId81" Type="http://schemas.openxmlformats.org/officeDocument/2006/relationships/hyperlink" Target="https://investors.sgx.com/market/securities?code=L19&amp;type=stocks&amp;lang=en" TargetMode="External"/><Relationship Id="rId135" Type="http://schemas.openxmlformats.org/officeDocument/2006/relationships/hyperlink" Target="https://investors.sgx.com/market/securities?code=42T&amp;type=stocks&amp;lang=en" TargetMode="External"/><Relationship Id="rId177" Type="http://schemas.openxmlformats.org/officeDocument/2006/relationships/hyperlink" Target="https://investors.sgx.com/market/securities?code=GEH&amp;type=stocks&amp;lang=en" TargetMode="External"/><Relationship Id="rId342" Type="http://schemas.openxmlformats.org/officeDocument/2006/relationships/hyperlink" Target="https://investors.sgx.com/market/securities?code=BTM&amp;type=stocks&amp;lang=en" TargetMode="External"/><Relationship Id="rId384" Type="http://schemas.openxmlformats.org/officeDocument/2006/relationships/hyperlink" Target="https://investors.sgx.com/market/securities?code=5RE&amp;type=stocks&amp;lang=en" TargetMode="External"/><Relationship Id="rId202" Type="http://schemas.openxmlformats.org/officeDocument/2006/relationships/hyperlink" Target="https://investors.sgx.com/market/securities?code=N02&amp;type=stocks&amp;lang=en" TargetMode="External"/><Relationship Id="rId244" Type="http://schemas.openxmlformats.org/officeDocument/2006/relationships/hyperlink" Target="https://investors.sgx.com/market/securities?code=BBW&amp;type=stocks&amp;lang=en" TargetMode="External"/><Relationship Id="rId39" Type="http://schemas.openxmlformats.org/officeDocument/2006/relationships/hyperlink" Target="https://investors.sgx.com/market/securities?code=RE4&amp;type=stocks&amp;lang=en" TargetMode="External"/><Relationship Id="rId286" Type="http://schemas.openxmlformats.org/officeDocument/2006/relationships/hyperlink" Target="https://investors.sgx.com/market/securities?code=5TT&amp;type=stocks&amp;lang=en" TargetMode="External"/><Relationship Id="rId451" Type="http://schemas.openxmlformats.org/officeDocument/2006/relationships/hyperlink" Target="https://investors.sgx.com/market/securities?code=SK3&amp;type=stocks&amp;lang=en" TargetMode="External"/><Relationship Id="rId493" Type="http://schemas.openxmlformats.org/officeDocument/2006/relationships/hyperlink" Target="https://investors.sgx.com/market/securities?code=PPC&amp;type=stocks&amp;lang=en" TargetMode="External"/><Relationship Id="rId507" Type="http://schemas.openxmlformats.org/officeDocument/2006/relationships/hyperlink" Target="https://investors.sgx.com/market/securities?code=AWM&amp;type=stocks&amp;lang=en" TargetMode="External"/><Relationship Id="rId549" Type="http://schemas.openxmlformats.org/officeDocument/2006/relationships/hyperlink" Target="https://investors.sgx.com/market/securities?code=Z25&amp;type=stocks" TargetMode="External"/><Relationship Id="rId50" Type="http://schemas.openxmlformats.org/officeDocument/2006/relationships/hyperlink" Target="https://investors.sgx.com/market/securities?code=ER0&amp;type=stocks&amp;lang=en" TargetMode="External"/><Relationship Id="rId104" Type="http://schemas.openxmlformats.org/officeDocument/2006/relationships/hyperlink" Target="https://investors.sgx.com/market/securities?code=P34&amp;type=stocks&amp;lang=en" TargetMode="External"/><Relationship Id="rId146" Type="http://schemas.openxmlformats.org/officeDocument/2006/relationships/hyperlink" Target="https://investors.sgx.com/market/securities?code=M14&amp;type=stocks&amp;lang=en" TargetMode="External"/><Relationship Id="rId188" Type="http://schemas.openxmlformats.org/officeDocument/2006/relationships/hyperlink" Target="https://investors.sgx.com/market/securities?code=N08&amp;type=stocks&amp;lang=en" TargetMode="External"/><Relationship Id="rId311" Type="http://schemas.openxmlformats.org/officeDocument/2006/relationships/hyperlink" Target="https://investors.sgx.com/market/securities?code=BDA&amp;type=stocks&amp;lang=en" TargetMode="External"/><Relationship Id="rId353" Type="http://schemas.openxmlformats.org/officeDocument/2006/relationships/hyperlink" Target="https://investors.sgx.com/market/securities?code=5RA&amp;type=stocks&amp;lang=en" TargetMode="External"/><Relationship Id="rId395" Type="http://schemas.openxmlformats.org/officeDocument/2006/relationships/hyperlink" Target="https://investors.sgx.com/market/securities?code=B69&amp;type=stocks&amp;lang=en" TargetMode="External"/><Relationship Id="rId409" Type="http://schemas.openxmlformats.org/officeDocument/2006/relationships/hyperlink" Target="https://investors.sgx.com/market/securities?code=C41&amp;type=stocks&amp;lang=en" TargetMode="External"/><Relationship Id="rId560" Type="http://schemas.openxmlformats.org/officeDocument/2006/relationships/hyperlink" Target="https://investors.sgx.com/market/securities?code=AWX&amp;type=stocks" TargetMode="External"/><Relationship Id="rId92" Type="http://schemas.openxmlformats.org/officeDocument/2006/relationships/hyperlink" Target="https://investors.sgx.com/market/securities?code=8AZ&amp;type=stocks&amp;lang=en" TargetMode="External"/><Relationship Id="rId213" Type="http://schemas.openxmlformats.org/officeDocument/2006/relationships/hyperlink" Target="https://investors.sgx.com/market/securities?code=D03&amp;type=stocks&amp;lang=en" TargetMode="External"/><Relationship Id="rId420" Type="http://schemas.openxmlformats.org/officeDocument/2006/relationships/hyperlink" Target="https://investors.sgx.com/market/securities?code=5DN&amp;type=stocks&amp;lang=en" TargetMode="External"/><Relationship Id="rId255" Type="http://schemas.openxmlformats.org/officeDocument/2006/relationships/hyperlink" Target="https://investors.sgx.com/market/securities?code=5JK&amp;type=stocks&amp;lang=en" TargetMode="External"/><Relationship Id="rId297" Type="http://schemas.openxmlformats.org/officeDocument/2006/relationships/hyperlink" Target="https://investors.sgx.com/market/securities?code=F99&amp;type=stocks&amp;lang=en" TargetMode="External"/><Relationship Id="rId462" Type="http://schemas.openxmlformats.org/officeDocument/2006/relationships/hyperlink" Target="https://investors.sgx.com/market/securities?code=M15&amp;type=stocks&amp;lang=en" TargetMode="External"/><Relationship Id="rId518" Type="http://schemas.openxmlformats.org/officeDocument/2006/relationships/hyperlink" Target="https://investors.sgx.com/market/securities?code=QNS&amp;type=stocks&amp;lang=en" TargetMode="External"/><Relationship Id="rId115" Type="http://schemas.openxmlformats.org/officeDocument/2006/relationships/hyperlink" Target="https://investors.sgx.com/market/securities?code=T6I&amp;type=stocks&amp;lang=en" TargetMode="External"/><Relationship Id="rId157" Type="http://schemas.openxmlformats.org/officeDocument/2006/relationships/hyperlink" Target="https://investors.sgx.com/market/securities?code=41B&amp;type=stocks&amp;lang=en" TargetMode="External"/><Relationship Id="rId322" Type="http://schemas.openxmlformats.org/officeDocument/2006/relationships/hyperlink" Target="https://investors.sgx.com/market/securities?code=42C&amp;type=stocks&amp;lang=en" TargetMode="External"/><Relationship Id="rId364" Type="http://schemas.openxmlformats.org/officeDocument/2006/relationships/hyperlink" Target="https://investors.sgx.com/market/securities?code=543&amp;type=stocks&amp;lang=en" TargetMode="External"/><Relationship Id="rId61" Type="http://schemas.openxmlformats.org/officeDocument/2006/relationships/hyperlink" Target="https://investors.sgx.com/market/securities?code=G07&amp;type=stocks&amp;lang=en" TargetMode="External"/><Relationship Id="rId199" Type="http://schemas.openxmlformats.org/officeDocument/2006/relationships/hyperlink" Target="https://investors.sgx.com/market/securities?code=R14&amp;type=stocks&amp;lang=en" TargetMode="External"/><Relationship Id="rId19" Type="http://schemas.openxmlformats.org/officeDocument/2006/relationships/hyperlink" Target="https://investors.sgx.com/market/securities?code=YF8&amp;type=stocks&amp;lang=en" TargetMode="External"/><Relationship Id="rId224" Type="http://schemas.openxmlformats.org/officeDocument/2006/relationships/hyperlink" Target="https://investors.sgx.com/market/securities?code=546&amp;type=stocks&amp;lang=en" TargetMode="External"/><Relationship Id="rId266" Type="http://schemas.openxmlformats.org/officeDocument/2006/relationships/hyperlink" Target="https://investors.sgx.com/market/securities?code=579&amp;type=stocks&amp;lang=en" TargetMode="External"/><Relationship Id="rId431" Type="http://schemas.openxmlformats.org/officeDocument/2006/relationships/hyperlink" Target="https://investors.sgx.com/market/securities?code=5VJ&amp;type=stocks&amp;lang=en" TargetMode="External"/><Relationship Id="rId473" Type="http://schemas.openxmlformats.org/officeDocument/2006/relationships/hyperlink" Target="https://investors.sgx.com/market/securities?code=1V3&amp;type=stocks&amp;lang=en" TargetMode="External"/><Relationship Id="rId529" Type="http://schemas.openxmlformats.org/officeDocument/2006/relationships/hyperlink" Target="https://investors.sgx.com/market/securities?code=BCZ&amp;type=stocks&amp;lang=en" TargetMode="External"/><Relationship Id="rId30" Type="http://schemas.openxmlformats.org/officeDocument/2006/relationships/hyperlink" Target="https://investors.sgx.com/market/securities?code=D01&amp;type=stocks&amp;lang=en" TargetMode="External"/><Relationship Id="rId126" Type="http://schemas.openxmlformats.org/officeDocument/2006/relationships/hyperlink" Target="https://investors.sgx.com/market/securities?code=1F1&amp;type=stocks&amp;lang=en" TargetMode="External"/><Relationship Id="rId168" Type="http://schemas.openxmlformats.org/officeDocument/2006/relationships/hyperlink" Target="https://investors.sgx.com/market/securities?code=5G9&amp;type=stocks&amp;lang=en" TargetMode="External"/><Relationship Id="rId333" Type="http://schemas.openxmlformats.org/officeDocument/2006/relationships/hyperlink" Target="https://investors.sgx.com/market/securities?code=5UA&amp;type=stocks&amp;lang=en" TargetMode="External"/><Relationship Id="rId540" Type="http://schemas.openxmlformats.org/officeDocument/2006/relationships/hyperlink" Target="https://investors.sgx.com/market/securities?code=43E&amp;type=stocks&amp;lang=en" TargetMode="External"/><Relationship Id="rId72" Type="http://schemas.openxmlformats.org/officeDocument/2006/relationships/hyperlink" Target="https://investors.sgx.com/market/securities?code=U06&amp;type=stocks&amp;lang=en" TargetMode="External"/><Relationship Id="rId375" Type="http://schemas.openxmlformats.org/officeDocument/2006/relationships/hyperlink" Target="https://investors.sgx.com/market/securities?code=XWA&amp;type=stocks&amp;lang=en" TargetMode="External"/><Relationship Id="rId3" Type="http://schemas.openxmlformats.org/officeDocument/2006/relationships/hyperlink" Target="https://investors.sgx.com/market/securities?code=O39&amp;type=stocks&amp;lang=en" TargetMode="External"/><Relationship Id="rId235" Type="http://schemas.openxmlformats.org/officeDocument/2006/relationships/hyperlink" Target="https://investors.sgx.com/market/securities?code=BHD&amp;type=stocks&amp;lang=en" TargetMode="External"/><Relationship Id="rId277" Type="http://schemas.openxmlformats.org/officeDocument/2006/relationships/hyperlink" Target="https://investors.sgx.com/market/securities?code=V7R&amp;type=stocks&amp;lang=en" TargetMode="External"/><Relationship Id="rId400" Type="http://schemas.openxmlformats.org/officeDocument/2006/relationships/hyperlink" Target="https://investors.sgx.com/market/securities?code=C05&amp;type=stocks&amp;lang=en" TargetMode="External"/><Relationship Id="rId442" Type="http://schemas.openxmlformats.org/officeDocument/2006/relationships/hyperlink" Target="https://investors.sgx.com/market/securities?code=I06&amp;type=stocks&amp;lang=en" TargetMode="External"/><Relationship Id="rId484" Type="http://schemas.openxmlformats.org/officeDocument/2006/relationships/hyperlink" Target="https://investors.sgx.com/market/securities?code=1H2&amp;type=stocks&amp;lang=en" TargetMode="External"/><Relationship Id="rId137" Type="http://schemas.openxmlformats.org/officeDocument/2006/relationships/hyperlink" Target="https://investors.sgx.com/market/securities?code=DU4&amp;type=stocks&amp;lang=en" TargetMode="External"/><Relationship Id="rId302" Type="http://schemas.openxmlformats.org/officeDocument/2006/relationships/hyperlink" Target="https://investors.sgx.com/market/securities?code=BBP&amp;type=stocks&amp;lang=en" TargetMode="External"/><Relationship Id="rId344" Type="http://schemas.openxmlformats.org/officeDocument/2006/relationships/hyperlink" Target="https://investors.sgx.com/market/securities?code=5BI&amp;type=stocks&amp;lang=en" TargetMode="External"/><Relationship Id="rId41" Type="http://schemas.openxmlformats.org/officeDocument/2006/relationships/hyperlink" Target="https://investors.sgx.com/market/securities?code=5WH&amp;type=stocks&amp;lang=en" TargetMode="External"/><Relationship Id="rId83" Type="http://schemas.openxmlformats.org/officeDocument/2006/relationships/hyperlink" Target="https://investors.sgx.com/market/securities?code=ITS&amp;type=stocks&amp;lang=en" TargetMode="External"/><Relationship Id="rId179" Type="http://schemas.openxmlformats.org/officeDocument/2006/relationships/hyperlink" Target="https://investors.sgx.com/market/securities?code=5UL&amp;type=stocks&amp;lang=en" TargetMode="External"/><Relationship Id="rId386" Type="http://schemas.openxmlformats.org/officeDocument/2006/relationships/hyperlink" Target="https://investors.sgx.com/market/securities?code=RCU&amp;type=stocks&amp;lang=en" TargetMode="External"/><Relationship Id="rId551" Type="http://schemas.openxmlformats.org/officeDocument/2006/relationships/hyperlink" Target="https://investors.sgx.com/market/securities?code=V5Q&amp;type=stocks" TargetMode="External"/><Relationship Id="rId190" Type="http://schemas.openxmlformats.org/officeDocument/2006/relationships/hyperlink" Target="https://investors.sgx.com/market/securities?code=500&amp;type=stocks&amp;lang=en" TargetMode="External"/><Relationship Id="rId204" Type="http://schemas.openxmlformats.org/officeDocument/2006/relationships/hyperlink" Target="https://investors.sgx.com/market/securities?code=BHU&amp;type=stocks&amp;lang=en" TargetMode="External"/><Relationship Id="rId246" Type="http://schemas.openxmlformats.org/officeDocument/2006/relationships/hyperlink" Target="https://investors.sgx.com/market/securities?code=P36&amp;type=stocks&amp;lang=en" TargetMode="External"/><Relationship Id="rId288" Type="http://schemas.openxmlformats.org/officeDocument/2006/relationships/hyperlink" Target="https://investors.sgx.com/market/securities?code=XJB&amp;type=stocks&amp;lang=en" TargetMode="External"/><Relationship Id="rId411" Type="http://schemas.openxmlformats.org/officeDocument/2006/relationships/hyperlink" Target="https://investors.sgx.com/market/securities?code=CIN&amp;type=stocks&amp;lang=en" TargetMode="External"/><Relationship Id="rId453" Type="http://schemas.openxmlformats.org/officeDocument/2006/relationships/hyperlink" Target="https://investors.sgx.com/market/securities?code=BFT&amp;type=stocks&amp;lang=en" TargetMode="External"/><Relationship Id="rId509" Type="http://schemas.openxmlformats.org/officeDocument/2006/relationships/hyperlink" Target="https://investors.sgx.com/market/securities?code=SGR&amp;type=stocks&amp;lang=en" TargetMode="External"/><Relationship Id="rId106" Type="http://schemas.openxmlformats.org/officeDocument/2006/relationships/hyperlink" Target="https://investors.sgx.com/market/securities?code=T13&amp;type=stocks&amp;lang=en" TargetMode="External"/><Relationship Id="rId313" Type="http://schemas.openxmlformats.org/officeDocument/2006/relationships/hyperlink" Target="https://investors.sgx.com/market/securities?code=5SR&amp;type=stocks&amp;lang=en" TargetMode="External"/><Relationship Id="rId495" Type="http://schemas.openxmlformats.org/officeDocument/2006/relationships/hyperlink" Target="https://investors.sgx.com/market/securities?code=V8Y&amp;type=stocks&amp;lang=en" TargetMode="External"/><Relationship Id="rId10" Type="http://schemas.openxmlformats.org/officeDocument/2006/relationships/hyperlink" Target="https://investors.sgx.com/market/securities?code=J36&amp;type=stocks&amp;lang=en" TargetMode="External"/><Relationship Id="rId52" Type="http://schemas.openxmlformats.org/officeDocument/2006/relationships/hyperlink" Target="https://investors.sgx.com/market/securities?code=5LY&amp;type=stocks&amp;lang=en" TargetMode="External"/><Relationship Id="rId94" Type="http://schemas.openxmlformats.org/officeDocument/2006/relationships/hyperlink" Target="https://investors.sgx.com/market/securities?code=5MZ&amp;type=stocks&amp;lang=en" TargetMode="External"/><Relationship Id="rId148" Type="http://schemas.openxmlformats.org/officeDocument/2006/relationships/hyperlink" Target="https://investors.sgx.com/market/securities?code=Q01&amp;type=stocks&amp;lang=en" TargetMode="External"/><Relationship Id="rId355" Type="http://schemas.openxmlformats.org/officeDocument/2006/relationships/hyperlink" Target="https://investors.sgx.com/market/securities?code=40V&amp;type=stocks&amp;lang=en" TargetMode="External"/><Relationship Id="rId397" Type="http://schemas.openxmlformats.org/officeDocument/2006/relationships/hyperlink" Target="https://investors.sgx.com/market/securities?code=BAC&amp;type=stocks&amp;lang=en" TargetMode="External"/><Relationship Id="rId520" Type="http://schemas.openxmlformats.org/officeDocument/2006/relationships/hyperlink" Target="https://investors.sgx.com/market/securities?code=STG&amp;type=stocks&amp;lang=en" TargetMode="External"/><Relationship Id="rId562" Type="http://schemas.openxmlformats.org/officeDocument/2006/relationships/hyperlink" Target="https://investors.sgx.com/market/securities?code=F03&amp;type=stocks" TargetMode="External"/><Relationship Id="rId215" Type="http://schemas.openxmlformats.org/officeDocument/2006/relationships/hyperlink" Target="https://investors.sgx.com/market/securities?code=BTE&amp;type=stocks&amp;lang=en" TargetMode="External"/><Relationship Id="rId257" Type="http://schemas.openxmlformats.org/officeDocument/2006/relationships/hyperlink" Target="https://investors.sgx.com/market/securities?code=5FW&amp;type=stocks&amp;lang=en" TargetMode="External"/><Relationship Id="rId422" Type="http://schemas.openxmlformats.org/officeDocument/2006/relationships/hyperlink" Target="https://investors.sgx.com/market/securities?code=ADN&amp;type=stocks&amp;lang=en" TargetMode="External"/><Relationship Id="rId464" Type="http://schemas.openxmlformats.org/officeDocument/2006/relationships/hyperlink" Target="https://investors.sgx.com/market/securities?code=SJY&amp;type=stocks&amp;lang=en" TargetMode="External"/><Relationship Id="rId299" Type="http://schemas.openxmlformats.org/officeDocument/2006/relationships/hyperlink" Target="https://investors.sgx.com/market/securities?code=1H3&amp;type=stocks&amp;lang=en" TargetMode="External"/><Relationship Id="rId63" Type="http://schemas.openxmlformats.org/officeDocument/2006/relationships/hyperlink" Target="https://investors.sgx.com/market/securities?code=H13&amp;type=stocks&amp;lang=en" TargetMode="External"/><Relationship Id="rId159" Type="http://schemas.openxmlformats.org/officeDocument/2006/relationships/hyperlink" Target="https://investors.sgx.com/market/securities?code=1F2&amp;type=stocks&amp;lang=en" TargetMode="External"/><Relationship Id="rId366" Type="http://schemas.openxmlformats.org/officeDocument/2006/relationships/hyperlink" Target="https://investors.sgx.com/market/securities?code=575&amp;type=stocks&amp;lang=en" TargetMode="External"/><Relationship Id="rId226" Type="http://schemas.openxmlformats.org/officeDocument/2006/relationships/hyperlink" Target="https://investors.sgx.com/market/securities?code=AWG&amp;type=stocks&amp;lang=en" TargetMode="External"/><Relationship Id="rId433" Type="http://schemas.openxmlformats.org/officeDocument/2006/relationships/hyperlink" Target="https://investors.sgx.com/market/securities?code=1B1&amp;type=stocks&amp;lang=en" TargetMode="External"/><Relationship Id="rId74" Type="http://schemas.openxmlformats.org/officeDocument/2006/relationships/hyperlink" Target="https://investors.sgx.com/market/securities?code=41O&amp;type=stocks&amp;lang=en" TargetMode="External"/><Relationship Id="rId377" Type="http://schemas.openxmlformats.org/officeDocument/2006/relationships/hyperlink" Target="https://investors.sgx.com/market/securities?code=VVL&amp;type=stocks&amp;lang=en" TargetMode="External"/><Relationship Id="rId500" Type="http://schemas.openxmlformats.org/officeDocument/2006/relationships/hyperlink" Target="https://investors.sgx.com/market/securities?code=9G2&amp;type=stocks&amp;lang=en" TargetMode="External"/><Relationship Id="rId5" Type="http://schemas.openxmlformats.org/officeDocument/2006/relationships/hyperlink" Target="https://investors.sgx.com/market/securities?code=Z74&amp;type=stocks&amp;lang=en" TargetMode="External"/><Relationship Id="rId237" Type="http://schemas.openxmlformats.org/officeDocument/2006/relationships/hyperlink" Target="https://investors.sgx.com/market/securities?code=H15&amp;type=stocks&amp;lang=en" TargetMode="External"/><Relationship Id="rId444" Type="http://schemas.openxmlformats.org/officeDocument/2006/relationships/hyperlink" Target="https://investors.sgx.com/market/securities?code=5PF&amp;type=stocks&amp;lang=en" TargetMode="External"/><Relationship Id="rId290" Type="http://schemas.openxmlformats.org/officeDocument/2006/relationships/hyperlink" Target="https://investors.sgx.com/market/securities?code=5G1&amp;type=stocks&amp;lang=en" TargetMode="External"/><Relationship Id="rId304" Type="http://schemas.openxmlformats.org/officeDocument/2006/relationships/hyperlink" Target="https://investors.sgx.com/market/securities?code=YSV&amp;type=stocks&amp;lang=en" TargetMode="External"/><Relationship Id="rId388" Type="http://schemas.openxmlformats.org/officeDocument/2006/relationships/hyperlink" Target="https://investors.sgx.com/market/securities?code=5GJ&amp;type=stocks&amp;lang=en" TargetMode="External"/><Relationship Id="rId511" Type="http://schemas.openxmlformats.org/officeDocument/2006/relationships/hyperlink" Target="https://investors.sgx.com/market/securities?code=1F0&amp;type=stocks&amp;lang=en" TargetMode="External"/><Relationship Id="rId85" Type="http://schemas.openxmlformats.org/officeDocument/2006/relationships/hyperlink" Target="https://investors.sgx.com/market/securities?code=B61&amp;type=stocks&amp;lang=en" TargetMode="External"/><Relationship Id="rId150" Type="http://schemas.openxmlformats.org/officeDocument/2006/relationships/hyperlink" Target="https://investors.sgx.com/market/securities?code=LJ3&amp;type=stocks&amp;lang=en" TargetMode="External"/><Relationship Id="rId248" Type="http://schemas.openxmlformats.org/officeDocument/2006/relationships/hyperlink" Target="https://investors.sgx.com/market/securities?code=505&amp;type=stocks&amp;lang=en" TargetMode="External"/><Relationship Id="rId455" Type="http://schemas.openxmlformats.org/officeDocument/2006/relationships/hyperlink" Target="https://investors.sgx.com/market/securities?code=O6Z&amp;type=stocks&amp;lang=en" TargetMode="External"/><Relationship Id="rId12" Type="http://schemas.openxmlformats.org/officeDocument/2006/relationships/hyperlink" Target="https://investors.sgx.com/market/securities?code=U14&amp;type=stocks&amp;lang=en" TargetMode="External"/><Relationship Id="rId108" Type="http://schemas.openxmlformats.org/officeDocument/2006/relationships/hyperlink" Target="https://investors.sgx.com/market/securities?code=U77&amp;type=stocks&amp;lang=en" TargetMode="External"/><Relationship Id="rId315" Type="http://schemas.openxmlformats.org/officeDocument/2006/relationships/hyperlink" Target="https://investors.sgx.com/market/securities?code=KUH&amp;type=stocks&amp;lang=en" TargetMode="External"/><Relationship Id="rId522" Type="http://schemas.openxmlformats.org/officeDocument/2006/relationships/hyperlink" Target="https://investors.sgx.com/market/securities?code=S71&amp;type=stocks&amp;lang=en" TargetMode="External"/><Relationship Id="rId96" Type="http://schemas.openxmlformats.org/officeDocument/2006/relationships/hyperlink" Target="https://investors.sgx.com/market/securities?code=UZF&amp;type=stocks&amp;lang=en" TargetMode="External"/><Relationship Id="rId161" Type="http://schemas.openxmlformats.org/officeDocument/2006/relationships/hyperlink" Target="https://investors.sgx.com/market/securities?code=595&amp;type=stocks&amp;lang=en" TargetMode="External"/><Relationship Id="rId399" Type="http://schemas.openxmlformats.org/officeDocument/2006/relationships/hyperlink" Target="https://investors.sgx.com/market/securities?code=5EB&amp;type=stocks&amp;lang=en" TargetMode="External"/><Relationship Id="rId259" Type="http://schemas.openxmlformats.org/officeDocument/2006/relationships/hyperlink" Target="https://investors.sgx.com/market/securities?code=A55&amp;type=stocks&amp;lang=en" TargetMode="External"/><Relationship Id="rId466" Type="http://schemas.openxmlformats.org/officeDocument/2006/relationships/hyperlink" Target="https://investors.sgx.com/market/securities?code=9MT&amp;type=stocks&amp;lang=en"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investors.sgx.com/market/securities?code=1D5&amp;type=stocks&amp;lang=en" TargetMode="External"/><Relationship Id="rId13" Type="http://schemas.openxmlformats.org/officeDocument/2006/relationships/hyperlink" Target="https://investors.sgx.com/market/securities?code=TQ5&amp;type=stocks&amp;lang=en" TargetMode="External"/><Relationship Id="rId3" Type="http://schemas.openxmlformats.org/officeDocument/2006/relationships/hyperlink" Target="https://investors.sgx.com/market/securities?code=B61&amp;type=stocks&amp;lang=en" TargetMode="External"/><Relationship Id="rId7" Type="http://schemas.openxmlformats.org/officeDocument/2006/relationships/hyperlink" Target="https://investors.sgx.com/market/securities?code=H13&amp;type=stocks&amp;lang=en" TargetMode="External"/><Relationship Id="rId12" Type="http://schemas.openxmlformats.org/officeDocument/2006/relationships/hyperlink" Target="https://investors.sgx.com/market/securities?code=C52&amp;type=stocks&amp;lang=en" TargetMode="External"/><Relationship Id="rId2" Type="http://schemas.openxmlformats.org/officeDocument/2006/relationships/hyperlink" Target="https://investors.sgx.com/market/securities?code=1F3&amp;type=stocks&amp;lang=en" TargetMode="External"/><Relationship Id="rId16" Type="http://schemas.openxmlformats.org/officeDocument/2006/relationships/printerSettings" Target="../printerSettings/printerSettings12.bin"/><Relationship Id="rId1" Type="http://schemas.openxmlformats.org/officeDocument/2006/relationships/hyperlink" Target="https://investors.sgx.com/market/securities?code=S9B&amp;type=stocks&amp;lang=en" TargetMode="External"/><Relationship Id="rId6" Type="http://schemas.openxmlformats.org/officeDocument/2006/relationships/hyperlink" Target="https://investors.sgx.com/market/securities?code=PH0&amp;type=stocks&amp;lang=en" TargetMode="External"/><Relationship Id="rId11" Type="http://schemas.openxmlformats.org/officeDocument/2006/relationships/hyperlink" Target="https://investors.sgx.com/market/securities?code=9CI&amp;type=stocks&amp;lang=en" TargetMode="External"/><Relationship Id="rId5" Type="http://schemas.openxmlformats.org/officeDocument/2006/relationships/hyperlink" Target="https://investors.sgx.com/market/securities?code=5F4&amp;type=stocks&amp;lang=en" TargetMode="External"/><Relationship Id="rId15" Type="http://schemas.openxmlformats.org/officeDocument/2006/relationships/hyperlink" Target="https://investors.sgx.com/market/securities?code=1D1&amp;type=stocks&amp;lang=en" TargetMode="External"/><Relationship Id="rId10" Type="http://schemas.openxmlformats.org/officeDocument/2006/relationships/hyperlink" Target="https://investors.sgx.com/market/securities?code=B61&amp;type=stocks&amp;lang=en" TargetMode="External"/><Relationship Id="rId4" Type="http://schemas.openxmlformats.org/officeDocument/2006/relationships/hyperlink" Target="https://investors.sgx.com/market/securities?code=42S&amp;type=stocks&amp;lang=en" TargetMode="External"/><Relationship Id="rId9" Type="http://schemas.openxmlformats.org/officeDocument/2006/relationships/hyperlink" Target="https://investors.sgx.com/market/securities?code=B61&amp;type=stocks&amp;lang=en" TargetMode="External"/><Relationship Id="rId14" Type="http://schemas.openxmlformats.org/officeDocument/2006/relationships/hyperlink" Target="https://investors.sgx.com/market/securities?code=NR7&amp;type=stocks&amp;lang=en" TargetMode="External"/></Relationships>
</file>

<file path=xl/worksheets/_rels/sheet25.xml.rels><?xml version="1.0" encoding="UTF-8" standalone="yes"?>
<Relationships xmlns="http://schemas.openxmlformats.org/package/2006/relationships"><Relationship Id="rId13" Type="http://schemas.openxmlformats.org/officeDocument/2006/relationships/hyperlink" Target="https://investors.sgx.com/market/securities?code=V3M&amp;type=stocks&amp;lang=en" TargetMode="External"/><Relationship Id="rId18" Type="http://schemas.openxmlformats.org/officeDocument/2006/relationships/hyperlink" Target="https://investors.sgx.com/market/securities?code=A33&amp;type=stocks&amp;lang=en" TargetMode="External"/><Relationship Id="rId26" Type="http://schemas.openxmlformats.org/officeDocument/2006/relationships/hyperlink" Target="https://investors.sgx.com/market/securities?code=BN4&amp;type=stocks&amp;lang=en" TargetMode="External"/><Relationship Id="rId39" Type="http://schemas.openxmlformats.org/officeDocument/2006/relationships/drawing" Target="../drawings/drawing6.xml"/><Relationship Id="rId21" Type="http://schemas.openxmlformats.org/officeDocument/2006/relationships/hyperlink" Target="https://investors.sgx.com/market/securities?code=40W&amp;type=stocks&amp;lang=en" TargetMode="External"/><Relationship Id="rId34" Type="http://schemas.openxmlformats.org/officeDocument/2006/relationships/hyperlink" Target="https://investors.sgx.com/market/securities?code=S59&amp;type=stocks&amp;lang=en" TargetMode="External"/><Relationship Id="rId7" Type="http://schemas.openxmlformats.org/officeDocument/2006/relationships/hyperlink" Target="https://investors.sgx.com/market/securities?code=UZF&amp;type=stocks&amp;lang=en" TargetMode="External"/><Relationship Id="rId12" Type="http://schemas.openxmlformats.org/officeDocument/2006/relationships/hyperlink" Target="https://investors.sgx.com/market/securities?code=ENV&amp;type=stocks&amp;lang=en" TargetMode="External"/><Relationship Id="rId17" Type="http://schemas.openxmlformats.org/officeDocument/2006/relationships/hyperlink" Target="https://investors.sgx.com/market/securities?code=S08&amp;type=stocks&amp;lang=en" TargetMode="External"/><Relationship Id="rId25" Type="http://schemas.openxmlformats.org/officeDocument/2006/relationships/hyperlink" Target="https://investors.sgx.com/market/securities?code=TQ5&amp;type=stocks&amp;lang=en" TargetMode="External"/><Relationship Id="rId33" Type="http://schemas.openxmlformats.org/officeDocument/2006/relationships/hyperlink" Target="https://investors.sgx.com/market/securities?code=C6L&amp;type=stocks&amp;lang=en" TargetMode="External"/><Relationship Id="rId38" Type="http://schemas.openxmlformats.org/officeDocument/2006/relationships/hyperlink" Target="https://investors.sgx.com/market/securities?code=1D1&amp;type=stocks&amp;lang=en" TargetMode="External"/><Relationship Id="rId2" Type="http://schemas.openxmlformats.org/officeDocument/2006/relationships/hyperlink" Target="https://investors.sgx.com/market/securities?code=570&amp;type=stocks&amp;lang=en" TargetMode="External"/><Relationship Id="rId16" Type="http://schemas.openxmlformats.org/officeDocument/2006/relationships/hyperlink" Target="https://investors.sgx.com/market/securities?code=S59&amp;type=stocks&amp;lang=en" TargetMode="External"/><Relationship Id="rId20" Type="http://schemas.openxmlformats.org/officeDocument/2006/relationships/hyperlink" Target="https://investors.sgx.com/market/securities?code=43E&amp;type=stocks&amp;lang=en" TargetMode="External"/><Relationship Id="rId29" Type="http://schemas.openxmlformats.org/officeDocument/2006/relationships/hyperlink" Target="https://investors.sgx.com/market/securities?code=P52&amp;type=stocks&amp;lang=en" TargetMode="External"/><Relationship Id="rId1" Type="http://schemas.openxmlformats.org/officeDocument/2006/relationships/hyperlink" Target="https://investors.sgx.com/market/securities?code=W05&amp;type=stocks&amp;lang=en" TargetMode="External"/><Relationship Id="rId6" Type="http://schemas.openxmlformats.org/officeDocument/2006/relationships/hyperlink" Target="https://investors.sgx.com/market/securities?code=F83&amp;type=stocks" TargetMode="External"/><Relationship Id="rId11" Type="http://schemas.openxmlformats.org/officeDocument/2006/relationships/hyperlink" Target="https://investors.sgx.com/market/securities?code=5MZ&amp;type=stocks&amp;lang=en" TargetMode="External"/><Relationship Id="rId24" Type="http://schemas.openxmlformats.org/officeDocument/2006/relationships/hyperlink" Target="https://investors.sgx.com/market/securities?code=F83&amp;type=stocks" TargetMode="External"/><Relationship Id="rId32" Type="http://schemas.openxmlformats.org/officeDocument/2006/relationships/hyperlink" Target="https://investors.sgx.com/market/securities?code=S58&amp;type=stocks&amp;lang=en" TargetMode="External"/><Relationship Id="rId37" Type="http://schemas.openxmlformats.org/officeDocument/2006/relationships/hyperlink" Target="https://investors.sgx.com/market/securities?code=S63&amp;type=stocks&amp;lang=en" TargetMode="External"/><Relationship Id="rId40" Type="http://schemas.openxmlformats.org/officeDocument/2006/relationships/table" Target="../tables/table1.xml"/><Relationship Id="rId5" Type="http://schemas.openxmlformats.org/officeDocument/2006/relationships/hyperlink" Target="https://investors.sgx.com/market/securities?code=5NV&amp;type=stocks&amp;lang=en" TargetMode="External"/><Relationship Id="rId15" Type="http://schemas.openxmlformats.org/officeDocument/2006/relationships/hyperlink" Target="https://investors.sgx.com/market/securities?code=C6L&amp;type=stocks&amp;lang=en" TargetMode="External"/><Relationship Id="rId23" Type="http://schemas.openxmlformats.org/officeDocument/2006/relationships/hyperlink" Target="https://investors.sgx.com/market/securities?code=C52&amp;type=stocks&amp;lang=en" TargetMode="External"/><Relationship Id="rId28" Type="http://schemas.openxmlformats.org/officeDocument/2006/relationships/hyperlink" Target="https://investors.sgx.com/market/securities?code=LJ3&amp;type=stocks&amp;lang=en" TargetMode="External"/><Relationship Id="rId36" Type="http://schemas.openxmlformats.org/officeDocument/2006/relationships/hyperlink" Target="https://investors.sgx.com/market/securities?code=5IC&amp;type=stocks&amp;lang=en" TargetMode="External"/><Relationship Id="rId10" Type="http://schemas.openxmlformats.org/officeDocument/2006/relationships/hyperlink" Target="https://investors.sgx.com/market/securities?code=5PO&amp;type=stocks&amp;lang=en" TargetMode="External"/><Relationship Id="rId19" Type="http://schemas.openxmlformats.org/officeDocument/2006/relationships/hyperlink" Target="https://investors.sgx.com/market/securities?code=V2Y&amp;type=stocks&amp;lang=en" TargetMode="External"/><Relationship Id="rId31" Type="http://schemas.openxmlformats.org/officeDocument/2006/relationships/hyperlink" Target="https://investors.sgx.com/market/securities?code=S56&amp;type=stocks&amp;lang=en" TargetMode="External"/><Relationship Id="rId4" Type="http://schemas.openxmlformats.org/officeDocument/2006/relationships/hyperlink" Target="https://investors.sgx.com/market/securities?code=1AZ&amp;type=stocks&amp;lang=en" TargetMode="External"/><Relationship Id="rId9" Type="http://schemas.openxmlformats.org/officeDocument/2006/relationships/hyperlink" Target="https://investors.sgx.com/market/securities?code=595&amp;type=stocks&amp;lang=en" TargetMode="External"/><Relationship Id="rId14" Type="http://schemas.openxmlformats.org/officeDocument/2006/relationships/hyperlink" Target="https://investors.sgx.com/market/securities?code=S58&amp;type=stocks&amp;lang=en" TargetMode="External"/><Relationship Id="rId22" Type="http://schemas.openxmlformats.org/officeDocument/2006/relationships/hyperlink" Target="https://investors.sgx.com/market/securities?code=9CI&amp;type=stocks&amp;lang=en" TargetMode="External"/><Relationship Id="rId27" Type="http://schemas.openxmlformats.org/officeDocument/2006/relationships/hyperlink" Target="https://investors.sgx.com/market/securities?code=5MZ&amp;type=stocks&amp;lang=en" TargetMode="External"/><Relationship Id="rId30" Type="http://schemas.openxmlformats.org/officeDocument/2006/relationships/hyperlink" Target="https://investors.sgx.com/market/securities?code=NR7&amp;type=stocks&amp;lang=en" TargetMode="External"/><Relationship Id="rId35" Type="http://schemas.openxmlformats.org/officeDocument/2006/relationships/hyperlink" Target="https://investors.sgx.com/market/securities?code=U06&amp;type=stocks&amp;lang=en" TargetMode="External"/><Relationship Id="rId8" Type="http://schemas.openxmlformats.org/officeDocument/2006/relationships/hyperlink" Target="https://investors.sgx.com/market/securities?code=R14&amp;type=stocks&amp;lang=en" TargetMode="External"/><Relationship Id="rId3" Type="http://schemas.openxmlformats.org/officeDocument/2006/relationships/hyperlink" Target="https://investors.sgx.com/market/securities?code=BQC&amp;type=stocks&amp;lang=en"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EA957-8002-4E6C-90A3-FA580ACDDEB3}">
  <dimension ref="A1:C149"/>
  <sheetViews>
    <sheetView topLeftCell="A111" workbookViewId="0">
      <selection activeCell="A44" sqref="A44"/>
    </sheetView>
  </sheetViews>
  <sheetFormatPr defaultRowHeight="14.4"/>
  <cols>
    <col min="1" max="1" width="35.5546875" customWidth="1"/>
    <col min="2" max="2" width="61.21875" customWidth="1"/>
    <col min="3" max="3" width="15.5546875" customWidth="1"/>
  </cols>
  <sheetData>
    <row r="1" spans="1:3" ht="34.799999999999997" customHeight="1">
      <c r="A1" t="s">
        <v>1592</v>
      </c>
    </row>
    <row r="3" spans="1:3" ht="23.4">
      <c r="A3" s="115" t="s">
        <v>1593</v>
      </c>
      <c r="C3" s="114"/>
    </row>
    <row r="4" spans="1:3">
      <c r="C4" s="26"/>
    </row>
    <row r="5" spans="1:3" ht="18">
      <c r="A5" s="54" t="s">
        <v>1594</v>
      </c>
      <c r="C5" s="26"/>
    </row>
    <row r="6" spans="1:3">
      <c r="C6" s="26"/>
    </row>
    <row r="7" spans="1:3">
      <c r="A7" t="s">
        <v>1595</v>
      </c>
    </row>
    <row r="9" spans="1:3" ht="18">
      <c r="A9" s="54" t="s">
        <v>1596</v>
      </c>
    </row>
    <row r="11" spans="1:3">
      <c r="A11" s="40" t="s">
        <v>1597</v>
      </c>
      <c r="B11" s="40" t="s">
        <v>1598</v>
      </c>
    </row>
    <row r="12" spans="1:3">
      <c r="A12" s="50" t="s">
        <v>1599</v>
      </c>
      <c r="B12" s="117" t="s">
        <v>1600</v>
      </c>
    </row>
    <row r="13" spans="1:3">
      <c r="A13" s="50" t="s">
        <v>1601</v>
      </c>
      <c r="B13" s="117" t="s">
        <v>1602</v>
      </c>
    </row>
    <row r="14" spans="1:3">
      <c r="A14" s="50" t="s">
        <v>1603</v>
      </c>
      <c r="B14" s="117" t="s">
        <v>1695</v>
      </c>
    </row>
    <row r="15" spans="1:3">
      <c r="A15" s="50" t="s">
        <v>1604</v>
      </c>
      <c r="B15" s="118">
        <f ca="1">TODAY()</f>
        <v>46154</v>
      </c>
    </row>
    <row r="16" spans="1:3">
      <c r="A16" s="50" t="s">
        <v>1605</v>
      </c>
      <c r="B16" s="117" t="s">
        <v>1606</v>
      </c>
    </row>
    <row r="17" spans="1:2">
      <c r="A17" s="50" t="s">
        <v>1607</v>
      </c>
      <c r="B17" s="117" t="s">
        <v>1608</v>
      </c>
    </row>
    <row r="19" spans="1:2" ht="18">
      <c r="A19" s="54" t="s">
        <v>1609</v>
      </c>
    </row>
    <row r="21" spans="1:2">
      <c r="A21" s="40" t="s">
        <v>1610</v>
      </c>
      <c r="B21" s="40" t="s">
        <v>1611</v>
      </c>
    </row>
    <row r="22" spans="1:2">
      <c r="A22" s="49" t="s">
        <v>1612</v>
      </c>
      <c r="B22" s="49" t="s">
        <v>1998</v>
      </c>
    </row>
    <row r="23" spans="1:2">
      <c r="A23" s="49" t="s">
        <v>1613</v>
      </c>
      <c r="B23" s="49" t="s">
        <v>1999</v>
      </c>
    </row>
    <row r="24" spans="1:2">
      <c r="A24" s="49" t="s">
        <v>1614</v>
      </c>
      <c r="B24" s="49" t="s">
        <v>2000</v>
      </c>
    </row>
    <row r="25" spans="1:2">
      <c r="A25" s="49" t="s">
        <v>1615</v>
      </c>
      <c r="B25" s="49" t="s">
        <v>2001</v>
      </c>
    </row>
    <row r="26" spans="1:2">
      <c r="A26" s="49" t="s">
        <v>1616</v>
      </c>
      <c r="B26" s="49" t="s">
        <v>2002</v>
      </c>
    </row>
    <row r="27" spans="1:2">
      <c r="A27" s="49" t="s">
        <v>2003</v>
      </c>
      <c r="B27" s="49" t="s">
        <v>2004</v>
      </c>
    </row>
    <row r="28" spans="1:2">
      <c r="A28" s="49" t="s">
        <v>2005</v>
      </c>
      <c r="B28" s="49" t="s">
        <v>2006</v>
      </c>
    </row>
    <row r="29" spans="1:2">
      <c r="A29" s="49" t="s">
        <v>2008</v>
      </c>
      <c r="B29" s="49" t="s">
        <v>2007</v>
      </c>
    </row>
    <row r="30" spans="1:2">
      <c r="A30" s="49" t="s">
        <v>1617</v>
      </c>
      <c r="B30" s="49" t="s">
        <v>2009</v>
      </c>
    </row>
    <row r="31" spans="1:2">
      <c r="A31" s="49" t="s">
        <v>1618</v>
      </c>
      <c r="B31" s="49" t="s">
        <v>2010</v>
      </c>
    </row>
    <row r="32" spans="1:2">
      <c r="A32" s="49" t="s">
        <v>1619</v>
      </c>
      <c r="B32" s="49" t="s">
        <v>2011</v>
      </c>
    </row>
    <row r="33" spans="1:2">
      <c r="A33" s="49" t="s">
        <v>2012</v>
      </c>
      <c r="B33" s="49" t="s">
        <v>2013</v>
      </c>
    </row>
    <row r="34" spans="1:2">
      <c r="A34" s="49" t="s">
        <v>2014</v>
      </c>
      <c r="B34" s="49" t="s">
        <v>2015</v>
      </c>
    </row>
    <row r="35" spans="1:2">
      <c r="A35" s="49" t="s">
        <v>1620</v>
      </c>
      <c r="B35" s="49" t="s">
        <v>2016</v>
      </c>
    </row>
    <row r="36" spans="1:2">
      <c r="A36" s="49" t="s">
        <v>1621</v>
      </c>
      <c r="B36" s="49" t="s">
        <v>2017</v>
      </c>
    </row>
    <row r="37" spans="1:2">
      <c r="A37" s="49" t="s">
        <v>1622</v>
      </c>
      <c r="B37" s="49" t="s">
        <v>2018</v>
      </c>
    </row>
    <row r="39" spans="1:2" ht="18">
      <c r="A39" s="54" t="s">
        <v>1623</v>
      </c>
    </row>
    <row r="40" spans="1:2">
      <c r="A40" s="55"/>
    </row>
    <row r="41" spans="1:2" ht="87" customHeight="1">
      <c r="A41" s="301" t="s">
        <v>1624</v>
      </c>
      <c r="B41" s="301"/>
    </row>
    <row r="43" spans="1:2" ht="18">
      <c r="A43" s="155" t="s">
        <v>1997</v>
      </c>
    </row>
    <row r="45" spans="1:2">
      <c r="A45" s="24" t="s">
        <v>1943</v>
      </c>
    </row>
    <row r="46" spans="1:2">
      <c r="A46" s="55"/>
    </row>
    <row r="47" spans="1:2">
      <c r="A47" s="55" t="s">
        <v>1944</v>
      </c>
    </row>
    <row r="48" spans="1:2">
      <c r="A48" s="55"/>
    </row>
    <row r="49" spans="1:1">
      <c r="A49" s="55" t="s">
        <v>1945</v>
      </c>
    </row>
    <row r="50" spans="1:1">
      <c r="A50" s="55"/>
    </row>
    <row r="51" spans="1:1">
      <c r="A51" s="55" t="s">
        <v>1946</v>
      </c>
    </row>
    <row r="53" spans="1:1">
      <c r="A53" s="24" t="s">
        <v>1947</v>
      </c>
    </row>
    <row r="54" spans="1:1">
      <c r="A54" s="55"/>
    </row>
    <row r="55" spans="1:1">
      <c r="A55" s="55" t="s">
        <v>1948</v>
      </c>
    </row>
    <row r="56" spans="1:1">
      <c r="A56" s="55"/>
    </row>
    <row r="57" spans="1:1">
      <c r="A57" s="55" t="s">
        <v>1949</v>
      </c>
    </row>
    <row r="58" spans="1:1">
      <c r="A58" s="55"/>
    </row>
    <row r="59" spans="1:1">
      <c r="A59" s="55" t="s">
        <v>1950</v>
      </c>
    </row>
    <row r="60" spans="1:1">
      <c r="A60" s="55"/>
    </row>
    <row r="61" spans="1:1">
      <c r="A61" s="55" t="s">
        <v>1951</v>
      </c>
    </row>
    <row r="62" spans="1:1">
      <c r="A62" s="55"/>
    </row>
    <row r="63" spans="1:1">
      <c r="A63" s="55" t="s">
        <v>1952</v>
      </c>
    </row>
    <row r="64" spans="1:1">
      <c r="A64" s="55"/>
    </row>
    <row r="65" spans="1:1">
      <c r="A65" s="55" t="s">
        <v>1953</v>
      </c>
    </row>
    <row r="67" spans="1:1">
      <c r="A67" s="24" t="s">
        <v>1954</v>
      </c>
    </row>
    <row r="68" spans="1:1">
      <c r="A68" s="55"/>
    </row>
    <row r="69" spans="1:1">
      <c r="A69" s="55" t="s">
        <v>1955</v>
      </c>
    </row>
    <row r="70" spans="1:1">
      <c r="A70" s="55"/>
    </row>
    <row r="71" spans="1:1">
      <c r="A71" s="55" t="s">
        <v>1956</v>
      </c>
    </row>
    <row r="72" spans="1:1">
      <c r="A72" s="55"/>
    </row>
    <row r="73" spans="1:1">
      <c r="A73" s="55" t="s">
        <v>1957</v>
      </c>
    </row>
    <row r="75" spans="1:1">
      <c r="A75" s="24" t="s">
        <v>1958</v>
      </c>
    </row>
    <row r="76" spans="1:1">
      <c r="A76" s="55"/>
    </row>
    <row r="77" spans="1:1">
      <c r="A77" s="55" t="s">
        <v>1959</v>
      </c>
    </row>
    <row r="78" spans="1:1">
      <c r="A78" s="55"/>
    </row>
    <row r="79" spans="1:1">
      <c r="A79" s="55" t="s">
        <v>1960</v>
      </c>
    </row>
    <row r="80" spans="1:1">
      <c r="A80" s="55"/>
    </row>
    <row r="81" spans="1:1">
      <c r="A81" s="55" t="s">
        <v>1961</v>
      </c>
    </row>
    <row r="82" spans="1:1">
      <c r="A82" s="55"/>
    </row>
    <row r="83" spans="1:1">
      <c r="A83" s="55" t="s">
        <v>1962</v>
      </c>
    </row>
    <row r="85" spans="1:1">
      <c r="A85" s="24" t="s">
        <v>1963</v>
      </c>
    </row>
    <row r="86" spans="1:1">
      <c r="A86" s="55"/>
    </row>
    <row r="87" spans="1:1">
      <c r="A87" s="55" t="s">
        <v>1964</v>
      </c>
    </row>
    <row r="88" spans="1:1">
      <c r="A88" s="55"/>
    </row>
    <row r="89" spans="1:1">
      <c r="A89" s="55" t="s">
        <v>1965</v>
      </c>
    </row>
    <row r="90" spans="1:1">
      <c r="A90" s="55"/>
    </row>
    <row r="91" spans="1:1">
      <c r="A91" s="55" t="s">
        <v>1966</v>
      </c>
    </row>
    <row r="93" spans="1:1">
      <c r="A93" s="24" t="s">
        <v>1967</v>
      </c>
    </row>
    <row r="94" spans="1:1">
      <c r="A94" s="55"/>
    </row>
    <row r="95" spans="1:1">
      <c r="A95" s="55" t="s">
        <v>1968</v>
      </c>
    </row>
    <row r="96" spans="1:1">
      <c r="A96" s="55"/>
    </row>
    <row r="97" spans="1:1">
      <c r="A97" s="55" t="s">
        <v>1969</v>
      </c>
    </row>
    <row r="98" spans="1:1">
      <c r="A98" s="55"/>
    </row>
    <row r="99" spans="1:1">
      <c r="A99" s="55" t="s">
        <v>1970</v>
      </c>
    </row>
    <row r="100" spans="1:1">
      <c r="A100" s="55"/>
    </row>
    <row r="101" spans="1:1">
      <c r="A101" s="55" t="s">
        <v>1971</v>
      </c>
    </row>
    <row r="103" spans="1:1">
      <c r="A103" s="24" t="s">
        <v>1972</v>
      </c>
    </row>
    <row r="104" spans="1:1">
      <c r="A104" s="55"/>
    </row>
    <row r="105" spans="1:1">
      <c r="A105" s="55" t="s">
        <v>1973</v>
      </c>
    </row>
    <row r="106" spans="1:1">
      <c r="A106" s="55"/>
    </row>
    <row r="107" spans="1:1">
      <c r="A107" s="55" t="s">
        <v>1974</v>
      </c>
    </row>
    <row r="108" spans="1:1">
      <c r="A108" s="55"/>
    </row>
    <row r="109" spans="1:1">
      <c r="A109" s="55" t="s">
        <v>1975</v>
      </c>
    </row>
    <row r="111" spans="1:1">
      <c r="A111" s="24" t="s">
        <v>1976</v>
      </c>
    </row>
    <row r="112" spans="1:1">
      <c r="A112" s="55"/>
    </row>
    <row r="113" spans="1:1">
      <c r="A113" s="55" t="s">
        <v>1977</v>
      </c>
    </row>
    <row r="114" spans="1:1">
      <c r="A114" s="55"/>
    </row>
    <row r="115" spans="1:1">
      <c r="A115" s="55" t="s">
        <v>1978</v>
      </c>
    </row>
    <row r="116" spans="1:1">
      <c r="A116" s="55"/>
    </row>
    <row r="117" spans="1:1">
      <c r="A117" s="55" t="s">
        <v>1979</v>
      </c>
    </row>
    <row r="119" spans="1:1">
      <c r="A119" s="24" t="s">
        <v>1980</v>
      </c>
    </row>
    <row r="120" spans="1:1">
      <c r="A120" s="55"/>
    </row>
    <row r="121" spans="1:1">
      <c r="A121" s="55" t="s">
        <v>1981</v>
      </c>
    </row>
    <row r="122" spans="1:1">
      <c r="A122" s="55"/>
    </row>
    <row r="123" spans="1:1">
      <c r="A123" s="55" t="s">
        <v>1982</v>
      </c>
    </row>
    <row r="124" spans="1:1">
      <c r="A124" s="55"/>
    </row>
    <row r="125" spans="1:1">
      <c r="A125" s="55" t="s">
        <v>1983</v>
      </c>
    </row>
    <row r="127" spans="1:1">
      <c r="A127" s="24" t="s">
        <v>1984</v>
      </c>
    </row>
    <row r="128" spans="1:1">
      <c r="A128" s="55"/>
    </row>
    <row r="129" spans="1:1">
      <c r="A129" s="55" t="s">
        <v>1985</v>
      </c>
    </row>
    <row r="130" spans="1:1">
      <c r="A130" s="55"/>
    </row>
    <row r="131" spans="1:1">
      <c r="A131" s="55" t="s">
        <v>1986</v>
      </c>
    </row>
    <row r="133" spans="1:1">
      <c r="A133" t="s">
        <v>1987</v>
      </c>
    </row>
    <row r="135" spans="1:1">
      <c r="A135" s="24" t="s">
        <v>1988</v>
      </c>
    </row>
    <row r="137" spans="1:1">
      <c r="A137" t="s">
        <v>1989</v>
      </c>
    </row>
    <row r="138" spans="1:1">
      <c r="A138" t="s">
        <v>1990</v>
      </c>
    </row>
    <row r="139" spans="1:1">
      <c r="A139" t="s">
        <v>1991</v>
      </c>
    </row>
    <row r="140" spans="1:1">
      <c r="A140" t="s">
        <v>1990</v>
      </c>
    </row>
    <row r="141" spans="1:1">
      <c r="A141" t="s">
        <v>1992</v>
      </c>
    </row>
    <row r="142" spans="1:1">
      <c r="A142" t="s">
        <v>1990</v>
      </c>
    </row>
    <row r="143" spans="1:1">
      <c r="A143" t="s">
        <v>1993</v>
      </c>
    </row>
    <row r="144" spans="1:1">
      <c r="A144" t="s">
        <v>1990</v>
      </c>
    </row>
    <row r="145" spans="1:1">
      <c r="A145" t="s">
        <v>1994</v>
      </c>
    </row>
    <row r="146" spans="1:1">
      <c r="A146" t="s">
        <v>1990</v>
      </c>
    </row>
    <row r="147" spans="1:1">
      <c r="A147" t="s">
        <v>1995</v>
      </c>
    </row>
    <row r="148" spans="1:1">
      <c r="A148" t="s">
        <v>1990</v>
      </c>
    </row>
    <row r="149" spans="1:1">
      <c r="A149" t="s">
        <v>1996</v>
      </c>
    </row>
  </sheetData>
  <mergeCells count="1">
    <mergeCell ref="A41:B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EB868-236A-47AB-ACE5-96F0A41A6241}">
  <dimension ref="A1:E69"/>
  <sheetViews>
    <sheetView topLeftCell="A34" workbookViewId="0">
      <selection activeCell="B19" sqref="B19"/>
    </sheetView>
  </sheetViews>
  <sheetFormatPr defaultRowHeight="14.4"/>
  <cols>
    <col min="1" max="1" width="18" customWidth="1"/>
    <col min="2" max="2" width="35.44140625" customWidth="1"/>
    <col min="3" max="3" width="18" customWidth="1"/>
    <col min="4" max="4" width="17.77734375" customWidth="1"/>
  </cols>
  <sheetData>
    <row r="1" spans="1:3" ht="23.4">
      <c r="A1" s="115" t="s">
        <v>2019</v>
      </c>
    </row>
    <row r="3" spans="1:3" ht="18">
      <c r="A3" s="54" t="s">
        <v>2020</v>
      </c>
    </row>
    <row r="5" spans="1:3">
      <c r="A5" s="40" t="s">
        <v>2021</v>
      </c>
      <c r="B5" s="40" t="s">
        <v>2022</v>
      </c>
      <c r="C5" s="40" t="s">
        <v>2023</v>
      </c>
    </row>
    <row r="6" spans="1:3" ht="28.8">
      <c r="A6" s="49" t="s">
        <v>2024</v>
      </c>
      <c r="B6" s="49" t="s">
        <v>2025</v>
      </c>
      <c r="C6" s="49" t="s">
        <v>2026</v>
      </c>
    </row>
    <row r="7" spans="1:3" ht="28.8">
      <c r="A7" s="49" t="s">
        <v>2027</v>
      </c>
      <c r="B7" s="49" t="s">
        <v>2028</v>
      </c>
      <c r="C7" s="49" t="s">
        <v>2029</v>
      </c>
    </row>
    <row r="8" spans="1:3" ht="28.8">
      <c r="A8" s="49" t="s">
        <v>2030</v>
      </c>
      <c r="B8" s="49" t="s">
        <v>2031</v>
      </c>
      <c r="C8" s="49" t="s">
        <v>2032</v>
      </c>
    </row>
    <row r="9" spans="1:3" ht="28.8">
      <c r="A9" s="49" t="s">
        <v>2033</v>
      </c>
      <c r="B9" s="49" t="s">
        <v>2034</v>
      </c>
      <c r="C9" s="49" t="s">
        <v>2035</v>
      </c>
    </row>
    <row r="11" spans="1:3" ht="18">
      <c r="A11" s="54" t="s">
        <v>2564</v>
      </c>
    </row>
    <row r="13" spans="1:3">
      <c r="A13" s="40" t="s">
        <v>1687</v>
      </c>
      <c r="B13" s="40" t="s">
        <v>1440</v>
      </c>
      <c r="C13" s="40" t="s">
        <v>1380</v>
      </c>
    </row>
    <row r="14" spans="1:3">
      <c r="A14" s="49" t="s">
        <v>1441</v>
      </c>
      <c r="B14" s="262">
        <f>'01_Inputs'!E11</f>
        <v>2.2200000000000002</v>
      </c>
      <c r="C14" s="49" t="s">
        <v>2036</v>
      </c>
    </row>
    <row r="15" spans="1:3">
      <c r="A15" s="49" t="s">
        <v>2037</v>
      </c>
      <c r="B15" s="262">
        <f>'01_Inputs'!E12</f>
        <v>4.6500000000000004</v>
      </c>
      <c r="C15" s="49" t="s">
        <v>2038</v>
      </c>
    </row>
    <row r="16" spans="1:3" ht="28.8">
      <c r="A16" s="49" t="s">
        <v>2039</v>
      </c>
      <c r="B16" s="262">
        <f>'01_Inputs'!E13</f>
        <v>0.17</v>
      </c>
      <c r="C16" s="49" t="s">
        <v>2040</v>
      </c>
    </row>
    <row r="17" spans="1:5">
      <c r="A17" s="49" t="s">
        <v>1795</v>
      </c>
      <c r="B17" s="263">
        <f>'01_Inputs'!E14</f>
        <v>1.346211488724866</v>
      </c>
      <c r="C17" s="49" t="s">
        <v>2041</v>
      </c>
    </row>
    <row r="18" spans="1:5" ht="28.8">
      <c r="A18" s="49" t="s">
        <v>1348</v>
      </c>
      <c r="B18" s="263">
        <f>'01_Inputs'!E18</f>
        <v>7.9647855343864329</v>
      </c>
      <c r="C18" s="49" t="s">
        <v>2042</v>
      </c>
    </row>
    <row r="19" spans="1:5" ht="43.2">
      <c r="A19" s="49" t="s">
        <v>2562</v>
      </c>
      <c r="B19" s="262">
        <f>'01_Inputs'!E22</f>
        <v>0.03</v>
      </c>
      <c r="C19" s="49" t="s">
        <v>2043</v>
      </c>
    </row>
    <row r="20" spans="1:5" ht="28.8">
      <c r="A20" s="49" t="s">
        <v>1447</v>
      </c>
      <c r="B20" s="264">
        <f>'01_Inputs'!E21</f>
        <v>500000</v>
      </c>
      <c r="C20" s="49" t="s">
        <v>2044</v>
      </c>
    </row>
    <row r="21" spans="1:5" ht="28.8">
      <c r="A21" s="49" t="s">
        <v>1800</v>
      </c>
      <c r="B21" s="262">
        <f>'01_Inputs'!E20</f>
        <v>0.26340601060695357</v>
      </c>
      <c r="C21" s="49" t="s">
        <v>2045</v>
      </c>
    </row>
    <row r="22" spans="1:5" ht="28.8">
      <c r="A22" s="49" t="s">
        <v>1801</v>
      </c>
      <c r="B22" s="262">
        <f>'01_Inputs'!E19</f>
        <v>0.15</v>
      </c>
      <c r="C22" s="49" t="s">
        <v>2046</v>
      </c>
    </row>
    <row r="24" spans="1:5" ht="18">
      <c r="A24" s="54" t="s">
        <v>2565</v>
      </c>
    </row>
    <row r="26" spans="1:5">
      <c r="A26" s="40" t="s">
        <v>1759</v>
      </c>
      <c r="B26" s="40" t="s">
        <v>2047</v>
      </c>
      <c r="C26" s="40" t="s">
        <v>2048</v>
      </c>
      <c r="D26" s="40" t="s">
        <v>1380</v>
      </c>
      <c r="E26" s="260" t="s">
        <v>2563</v>
      </c>
    </row>
    <row r="27" spans="1:5">
      <c r="A27" s="49" t="s">
        <v>1762</v>
      </c>
      <c r="B27" s="261">
        <f>C27</f>
        <v>3683286.9272012021</v>
      </c>
      <c r="C27" s="261">
        <f>'09_Asset_Based'!E21</f>
        <v>3683286.9272012021</v>
      </c>
      <c r="D27" s="49" t="s">
        <v>1840</v>
      </c>
      <c r="E27">
        <v>20</v>
      </c>
    </row>
    <row r="28" spans="1:5" ht="28.8">
      <c r="A28" s="49" t="s">
        <v>1765</v>
      </c>
      <c r="B28" s="261">
        <f t="shared" ref="B28:B30" si="0">C28</f>
        <v>10906059.418986384</v>
      </c>
      <c r="C28" s="261">
        <f>'06_Income_Based DCF'!C34</f>
        <v>10906059.418986384</v>
      </c>
      <c r="D28" s="49" t="s">
        <v>2049</v>
      </c>
      <c r="E28">
        <v>20</v>
      </c>
    </row>
    <row r="29" spans="1:5" ht="28.8">
      <c r="A29" s="49" t="s">
        <v>2050</v>
      </c>
      <c r="B29" s="261">
        <f t="shared" si="0"/>
        <v>5459562.3372668894</v>
      </c>
      <c r="C29" s="261">
        <f>'07_Income_Based_Capitalization'!E17</f>
        <v>5459562.3372668894</v>
      </c>
      <c r="D29" s="49" t="s">
        <v>2051</v>
      </c>
      <c r="E29">
        <v>40</v>
      </c>
    </row>
    <row r="30" spans="1:5">
      <c r="A30" s="49" t="s">
        <v>1770</v>
      </c>
      <c r="B30" s="261">
        <f t="shared" si="0"/>
        <v>3427232.9820846007</v>
      </c>
      <c r="C30" s="261">
        <f>'08_Market_Multiple'!E33</f>
        <v>3427232.9820846007</v>
      </c>
      <c r="D30" s="49" t="s">
        <v>2052</v>
      </c>
      <c r="E30">
        <v>20</v>
      </c>
    </row>
    <row r="32" spans="1:5" ht="18">
      <c r="A32" s="54" t="s">
        <v>2566</v>
      </c>
    </row>
    <row r="34" spans="1:4">
      <c r="A34" s="40" t="s">
        <v>2053</v>
      </c>
      <c r="B34" s="40" t="s">
        <v>2047</v>
      </c>
      <c r="C34" s="40" t="s">
        <v>2048</v>
      </c>
      <c r="D34" s="40" t="s">
        <v>1380</v>
      </c>
    </row>
    <row r="35" spans="1:4" ht="28.8">
      <c r="A35" s="49" t="s">
        <v>1351</v>
      </c>
      <c r="B35" s="154">
        <f>C35</f>
        <v>5787140.8005611934</v>
      </c>
      <c r="C35" s="154">
        <f>(C27*E27%)+(C28*E28%)+(C29*E29%)+(C30*E30%)</f>
        <v>5787140.8005611934</v>
      </c>
      <c r="D35" s="49" t="s">
        <v>2054</v>
      </c>
    </row>
    <row r="36" spans="1:4" ht="28.8">
      <c r="A36" s="49" t="s">
        <v>2055</v>
      </c>
      <c r="B36" s="154">
        <f>C36</f>
        <v>3825982</v>
      </c>
      <c r="C36" s="154">
        <f>'05_WACC'!E11</f>
        <v>3825982</v>
      </c>
      <c r="D36" s="49" t="s">
        <v>2056</v>
      </c>
    </row>
    <row r="37" spans="1:4">
      <c r="A37" s="49" t="s">
        <v>1779</v>
      </c>
      <c r="B37" s="154">
        <f>C37</f>
        <v>1961158.8005611934</v>
      </c>
      <c r="C37" s="154">
        <f>C35-C36</f>
        <v>1961158.8005611934</v>
      </c>
      <c r="D37" s="49" t="s">
        <v>2057</v>
      </c>
    </row>
    <row r="38" spans="1:4">
      <c r="A38" s="49" t="s">
        <v>1782</v>
      </c>
      <c r="B38" s="154">
        <f>C38</f>
        <v>3.9223176011223866</v>
      </c>
      <c r="C38" s="154">
        <f>C37/B20</f>
        <v>3.9223176011223866</v>
      </c>
      <c r="D38" s="49" t="s">
        <v>2058</v>
      </c>
    </row>
    <row r="39" spans="1:4" ht="28.8">
      <c r="A39" s="49" t="s">
        <v>1787</v>
      </c>
      <c r="B39" s="154">
        <f>B38-(B38*B21*B22)</f>
        <v>3.7673432963756239</v>
      </c>
      <c r="C39" s="154">
        <f>C38</f>
        <v>3.9223176011223866</v>
      </c>
      <c r="D39" s="49" t="s">
        <v>2059</v>
      </c>
    </row>
    <row r="41" spans="1:4" ht="18">
      <c r="A41" s="54" t="s">
        <v>2060</v>
      </c>
    </row>
    <row r="42" spans="1:4">
      <c r="A42" s="55"/>
    </row>
    <row r="43" spans="1:4">
      <c r="A43" s="55" t="s">
        <v>2061</v>
      </c>
    </row>
    <row r="44" spans="1:4">
      <c r="A44" s="55"/>
    </row>
    <row r="45" spans="1:4">
      <c r="A45" s="55" t="s">
        <v>2062</v>
      </c>
    </row>
    <row r="46" spans="1:4">
      <c r="A46" s="55"/>
    </row>
    <row r="47" spans="1:4">
      <c r="A47" s="55"/>
    </row>
    <row r="48" spans="1:4">
      <c r="A48" s="120"/>
    </row>
    <row r="49" spans="1:1">
      <c r="A49" s="120" t="s">
        <v>2063</v>
      </c>
    </row>
    <row r="50" spans="1:1">
      <c r="A50" s="120"/>
    </row>
    <row r="51" spans="1:1">
      <c r="A51" s="120" t="s">
        <v>2064</v>
      </c>
    </row>
    <row r="52" spans="1:1">
      <c r="A52" s="55"/>
    </row>
    <row r="53" spans="1:1">
      <c r="A53" s="55" t="s">
        <v>2065</v>
      </c>
    </row>
    <row r="54" spans="1:1">
      <c r="A54" s="55"/>
    </row>
    <row r="55" spans="1:1">
      <c r="A55" s="55"/>
    </row>
    <row r="56" spans="1:1">
      <c r="A56" s="120"/>
    </row>
    <row r="57" spans="1:1">
      <c r="A57" s="120" t="s">
        <v>2066</v>
      </c>
    </row>
    <row r="58" spans="1:1">
      <c r="A58" s="120"/>
    </row>
    <row r="59" spans="1:1">
      <c r="A59" s="120" t="s">
        <v>2067</v>
      </c>
    </row>
    <row r="60" spans="1:1">
      <c r="A60" s="55"/>
    </row>
    <row r="61" spans="1:1">
      <c r="A61" s="55" t="s">
        <v>2068</v>
      </c>
    </row>
    <row r="63" spans="1:1" ht="23.4">
      <c r="A63" s="115" t="s">
        <v>2069</v>
      </c>
    </row>
    <row r="64" spans="1:1">
      <c r="A64" s="55"/>
    </row>
    <row r="65" spans="1:1">
      <c r="A65" s="55" t="s">
        <v>2070</v>
      </c>
    </row>
    <row r="66" spans="1:1">
      <c r="A66" s="55"/>
    </row>
    <row r="67" spans="1:1">
      <c r="A67" s="55" t="s">
        <v>2071</v>
      </c>
    </row>
    <row r="68" spans="1:1">
      <c r="A68" s="55"/>
    </row>
    <row r="69" spans="1:1">
      <c r="A69" s="55" t="s">
        <v>2072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A9282-09AD-4A62-9BCD-DF6E3F10A597}">
  <dimension ref="A1:N208"/>
  <sheetViews>
    <sheetView zoomScale="80" zoomScaleNormal="80" workbookViewId="0">
      <selection activeCell="O233" sqref="O233"/>
    </sheetView>
  </sheetViews>
  <sheetFormatPr defaultRowHeight="14.4"/>
  <cols>
    <col min="1" max="1" width="7.44140625" customWidth="1"/>
  </cols>
  <sheetData>
    <row r="1" spans="1:14">
      <c r="A1" s="22" t="s">
        <v>1688</v>
      </c>
      <c r="B1" s="24" t="s">
        <v>2153</v>
      </c>
    </row>
    <row r="2" spans="1:14" ht="27.6" customHeight="1">
      <c r="B2" s="303" t="s">
        <v>2154</v>
      </c>
      <c r="C2" s="303"/>
      <c r="D2" s="303"/>
      <c r="E2" s="303"/>
      <c r="F2" s="303"/>
      <c r="G2" s="303"/>
      <c r="H2" s="303"/>
      <c r="I2" s="303"/>
      <c r="J2" s="303"/>
      <c r="K2" s="303"/>
      <c r="L2" s="303"/>
      <c r="M2" s="303"/>
    </row>
    <row r="7" spans="1:14">
      <c r="B7" t="s">
        <v>2155</v>
      </c>
    </row>
    <row r="11" spans="1:14" ht="29.4" customHeight="1">
      <c r="B11" s="302" t="s">
        <v>2156</v>
      </c>
      <c r="C11" s="302"/>
      <c r="D11" s="302"/>
      <c r="E11" s="302"/>
      <c r="F11" s="302"/>
      <c r="G11" s="302"/>
      <c r="H11" s="302"/>
      <c r="I11" s="302"/>
      <c r="J11" s="302"/>
      <c r="K11" s="302"/>
      <c r="L11" s="302"/>
      <c r="M11" s="302"/>
      <c r="N11" s="37"/>
    </row>
    <row r="28" spans="2:13">
      <c r="B28" s="302" t="s">
        <v>2157</v>
      </c>
      <c r="C28" s="302"/>
      <c r="D28" s="302"/>
      <c r="E28" s="302"/>
      <c r="F28" s="302"/>
      <c r="G28" s="302"/>
      <c r="H28" s="302"/>
      <c r="I28" s="302"/>
      <c r="J28" s="302"/>
      <c r="K28" s="302"/>
      <c r="L28" s="302"/>
      <c r="M28" s="302"/>
    </row>
    <row r="46" spans="2:14">
      <c r="B46" s="302" t="s">
        <v>2158</v>
      </c>
      <c r="C46" s="302"/>
      <c r="D46" s="302"/>
      <c r="E46" s="302"/>
      <c r="F46" s="302"/>
      <c r="G46" s="302"/>
      <c r="H46" s="302"/>
      <c r="I46" s="302"/>
      <c r="J46" s="302"/>
      <c r="K46" s="302"/>
      <c r="L46" s="302"/>
      <c r="M46" s="302"/>
      <c r="N46" s="302"/>
    </row>
    <row r="68" spans="2:14" ht="27.6" customHeight="1">
      <c r="B68" s="302" t="s">
        <v>2159</v>
      </c>
      <c r="C68" s="302"/>
      <c r="D68" s="302"/>
      <c r="E68" s="302"/>
      <c r="F68" s="302"/>
      <c r="G68" s="302"/>
      <c r="H68" s="302"/>
      <c r="I68" s="302"/>
      <c r="J68" s="302"/>
      <c r="K68" s="302"/>
      <c r="L68" s="302"/>
      <c r="M68" s="302"/>
      <c r="N68" s="302"/>
    </row>
    <row r="86" spans="2:2">
      <c r="B86" t="s">
        <v>2182</v>
      </c>
    </row>
    <row r="120" spans="2:13">
      <c r="B120" s="24" t="s">
        <v>2197</v>
      </c>
    </row>
    <row r="121" spans="2:13" ht="30" customHeight="1">
      <c r="B121" s="303" t="s">
        <v>2199</v>
      </c>
      <c r="C121" s="303"/>
      <c r="D121" s="303"/>
      <c r="E121" s="303"/>
      <c r="F121" s="303"/>
      <c r="G121" s="303"/>
      <c r="H121" s="303"/>
      <c r="I121" s="303"/>
      <c r="J121" s="303"/>
      <c r="K121" s="303"/>
      <c r="L121" s="303"/>
      <c r="M121" s="303"/>
    </row>
    <row r="144" spans="2:2">
      <c r="B144" s="191" t="s">
        <v>2183</v>
      </c>
    </row>
    <row r="164" spans="2:13">
      <c r="B164" t="s">
        <v>2184</v>
      </c>
    </row>
    <row r="165" spans="2:13" ht="42.6" customHeight="1">
      <c r="B165" s="302" t="s">
        <v>2185</v>
      </c>
      <c r="C165" s="302"/>
      <c r="D165" s="302"/>
      <c r="E165" s="302"/>
      <c r="F165" s="302"/>
      <c r="G165" s="302"/>
      <c r="H165" s="302"/>
      <c r="I165" s="302"/>
      <c r="J165" s="302"/>
      <c r="K165" s="302"/>
      <c r="L165" s="302"/>
      <c r="M165" s="302"/>
    </row>
    <row r="208" spans="2:2">
      <c r="B208" s="191" t="s">
        <v>2193</v>
      </c>
    </row>
  </sheetData>
  <mergeCells count="7">
    <mergeCell ref="B11:M11"/>
    <mergeCell ref="B2:M2"/>
    <mergeCell ref="B121:M121"/>
    <mergeCell ref="B165:M165"/>
    <mergeCell ref="B68:N68"/>
    <mergeCell ref="B46:N46"/>
    <mergeCell ref="B28:M2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634C-435B-4439-80B4-A9A6A7A4818A}">
  <dimension ref="A1:I68"/>
  <sheetViews>
    <sheetView zoomScale="82" zoomScaleNormal="82" workbookViewId="0">
      <selection activeCell="E18" sqref="E18"/>
    </sheetView>
  </sheetViews>
  <sheetFormatPr defaultRowHeight="14.4"/>
  <cols>
    <col min="1" max="2" width="26.6640625" customWidth="1"/>
    <col min="3" max="3" width="20.109375" customWidth="1"/>
    <col min="4" max="4" width="26.88671875" customWidth="1"/>
    <col min="5" max="5" width="12.109375" bestFit="1" customWidth="1"/>
  </cols>
  <sheetData>
    <row r="1" spans="1:9" ht="43.8" customHeight="1">
      <c r="A1" s="304" t="s">
        <v>2618</v>
      </c>
      <c r="B1" s="304"/>
      <c r="C1" s="304"/>
      <c r="D1" s="304"/>
      <c r="E1" s="304"/>
      <c r="F1" s="12"/>
      <c r="G1" s="12"/>
      <c r="H1" s="12"/>
      <c r="I1" s="12"/>
    </row>
    <row r="4" spans="1:9" ht="23.4">
      <c r="A4" s="115" t="s">
        <v>1625</v>
      </c>
    </row>
    <row r="6" spans="1:9" ht="18">
      <c r="A6" s="54" t="s">
        <v>1626</v>
      </c>
    </row>
    <row r="8" spans="1:9">
      <c r="A8" t="s">
        <v>1627</v>
      </c>
    </row>
    <row r="10" spans="1:9">
      <c r="A10" s="40" t="s">
        <v>1628</v>
      </c>
      <c r="B10" s="40" t="s">
        <v>1629</v>
      </c>
      <c r="C10" s="40" t="s">
        <v>1630</v>
      </c>
      <c r="D10" s="40" t="s">
        <v>1380</v>
      </c>
      <c r="E10" s="40" t="s">
        <v>1612</v>
      </c>
    </row>
    <row r="11" spans="1:9">
      <c r="A11" s="49" t="s">
        <v>1631</v>
      </c>
      <c r="B11" s="51" t="s">
        <v>1632</v>
      </c>
      <c r="C11" s="49" t="s">
        <v>1400</v>
      </c>
      <c r="D11" s="49" t="s">
        <v>1633</v>
      </c>
      <c r="E11" s="139">
        <f>' 04_CAPM'!D4</f>
        <v>2.2200000000000002</v>
      </c>
    </row>
    <row r="12" spans="1:9">
      <c r="A12" s="49" t="s">
        <v>1634</v>
      </c>
      <c r="B12" s="51" t="s">
        <v>1290</v>
      </c>
      <c r="C12" s="49" t="s">
        <v>1635</v>
      </c>
      <c r="D12" s="49" t="s">
        <v>1636</v>
      </c>
      <c r="E12" s="139">
        <f>' 04_CAPM'!D7</f>
        <v>4.6500000000000004</v>
      </c>
    </row>
    <row r="13" spans="1:9" ht="30.6" customHeight="1">
      <c r="A13" s="49" t="s">
        <v>1637</v>
      </c>
      <c r="B13" s="51" t="s">
        <v>1721</v>
      </c>
      <c r="C13" s="49" t="s">
        <v>1638</v>
      </c>
      <c r="D13" s="49" t="s">
        <v>1639</v>
      </c>
      <c r="E13" s="139">
        <v>0.17</v>
      </c>
    </row>
    <row r="14" spans="1:9">
      <c r="A14" s="49" t="s">
        <v>1795</v>
      </c>
      <c r="B14" t="s">
        <v>1807</v>
      </c>
      <c r="D14" s="49" t="s">
        <v>1810</v>
      </c>
      <c r="E14" s="142">
        <f>'03_Beta_Calculation'!E67</f>
        <v>1.346211488724866</v>
      </c>
    </row>
    <row r="15" spans="1:9" ht="28.8">
      <c r="A15" s="49" t="s">
        <v>1643</v>
      </c>
      <c r="B15" s="51" t="s">
        <v>1644</v>
      </c>
      <c r="C15" s="49" t="s">
        <v>1645</v>
      </c>
      <c r="D15" s="49" t="s">
        <v>1646</v>
      </c>
      <c r="E15" s="139">
        <f>'03_Beta_Calculation'!J63</f>
        <v>1.6098834225706264</v>
      </c>
    </row>
    <row r="16" spans="1:9">
      <c r="A16" s="49" t="s">
        <v>1640</v>
      </c>
      <c r="B16" s="51" t="s">
        <v>1443</v>
      </c>
      <c r="C16" s="49" t="s">
        <v>1641</v>
      </c>
      <c r="D16" s="49" t="s">
        <v>1642</v>
      </c>
      <c r="E16" s="139">
        <f>'03b_Size Premium Method 15Y'!E27</f>
        <v>6.0302553965607313</v>
      </c>
    </row>
    <row r="17" spans="1:5">
      <c r="A17" t="s">
        <v>1442</v>
      </c>
      <c r="B17" s="51"/>
      <c r="C17" s="49"/>
      <c r="D17" s="49"/>
      <c r="E17" s="139">
        <f>'10_CSRP_Scoring'!B21</f>
        <v>4.4000000000000004</v>
      </c>
    </row>
    <row r="18" spans="1:5">
      <c r="A18" t="s">
        <v>1348</v>
      </c>
      <c r="B18" s="51"/>
      <c r="C18" s="49"/>
      <c r="D18" s="49"/>
      <c r="E18" s="139">
        <f>'05_WACC'!E21</f>
        <v>7.9647855343864329</v>
      </c>
    </row>
    <row r="19" spans="1:5">
      <c r="A19" s="49" t="s">
        <v>1806</v>
      </c>
      <c r="B19" s="51" t="s">
        <v>1647</v>
      </c>
      <c r="C19" s="49" t="s">
        <v>1648</v>
      </c>
      <c r="D19" s="49" t="s">
        <v>1649</v>
      </c>
      <c r="E19" s="139">
        <f>'11b_DLOM'!D49</f>
        <v>0.15</v>
      </c>
    </row>
    <row r="20" spans="1:5">
      <c r="A20" s="49" t="s">
        <v>1650</v>
      </c>
      <c r="B20" s="51" t="s">
        <v>1651</v>
      </c>
      <c r="C20" s="49" t="s">
        <v>1652</v>
      </c>
      <c r="D20" s="49" t="s">
        <v>1653</v>
      </c>
      <c r="E20" s="139">
        <f>'11a_DLOC'!D32</f>
        <v>0.26340601060695357</v>
      </c>
    </row>
    <row r="21" spans="1:5">
      <c r="A21" s="49" t="s">
        <v>1654</v>
      </c>
      <c r="B21" s="51" t="s">
        <v>1655</v>
      </c>
      <c r="C21" s="49" t="s">
        <v>1656</v>
      </c>
      <c r="D21" s="49" t="s">
        <v>1657</v>
      </c>
      <c r="E21" s="47">
        <f>'14_Case Study_Gamma'!B5</f>
        <v>500000</v>
      </c>
    </row>
    <row r="22" spans="1:5" ht="28.8">
      <c r="A22" s="49" t="s">
        <v>2561</v>
      </c>
      <c r="B22" s="51" t="s">
        <v>1295</v>
      </c>
      <c r="E22" s="33">
        <f>' 04_CAPM'!D18</f>
        <v>0.03</v>
      </c>
    </row>
    <row r="23" spans="1:5">
      <c r="A23" s="55"/>
      <c r="E23" s="139"/>
    </row>
    <row r="24" spans="1:5">
      <c r="A24" s="55" t="s">
        <v>1658</v>
      </c>
    </row>
    <row r="26" spans="1:5" ht="18">
      <c r="A26" s="54" t="s">
        <v>1659</v>
      </c>
    </row>
    <row r="28" spans="1:5">
      <c r="A28" t="s">
        <v>1660</v>
      </c>
    </row>
    <row r="30" spans="1:5">
      <c r="A30" s="40" t="s">
        <v>1629</v>
      </c>
      <c r="B30" s="40" t="s">
        <v>1661</v>
      </c>
      <c r="C30" s="40" t="s">
        <v>1380</v>
      </c>
    </row>
    <row r="31" spans="1:5">
      <c r="A31" s="51" t="s">
        <v>1662</v>
      </c>
      <c r="B31" s="49" t="s">
        <v>1663</v>
      </c>
      <c r="C31" s="49" t="s">
        <v>1664</v>
      </c>
    </row>
    <row r="32" spans="1:5">
      <c r="A32" s="51" t="s">
        <v>1665</v>
      </c>
      <c r="B32" s="49" t="s">
        <v>1663</v>
      </c>
      <c r="C32" s="49" t="s">
        <v>1666</v>
      </c>
    </row>
    <row r="33" spans="1:3">
      <c r="A33" s="51" t="s">
        <v>1651</v>
      </c>
      <c r="B33" s="49" t="s">
        <v>1663</v>
      </c>
      <c r="C33" s="49" t="s">
        <v>1667</v>
      </c>
    </row>
    <row r="34" spans="1:3">
      <c r="A34" s="51" t="s">
        <v>1655</v>
      </c>
      <c r="B34" s="49" t="s">
        <v>1668</v>
      </c>
      <c r="C34" s="49" t="s">
        <v>1669</v>
      </c>
    </row>
    <row r="35" spans="1:3">
      <c r="A35" s="55"/>
    </row>
    <row r="36" spans="1:3">
      <c r="A36" s="55" t="s">
        <v>1670</v>
      </c>
    </row>
    <row r="38" spans="1:3" ht="18">
      <c r="A38" s="54" t="s">
        <v>1671</v>
      </c>
    </row>
    <row r="40" spans="1:3">
      <c r="A40" t="s">
        <v>1672</v>
      </c>
    </row>
    <row r="41" spans="1:3">
      <c r="A41" s="55"/>
    </row>
    <row r="42" spans="1:3">
      <c r="A42" s="119" t="s">
        <v>1673</v>
      </c>
    </row>
    <row r="43" spans="1:3">
      <c r="A43" s="55"/>
    </row>
    <row r="44" spans="1:3">
      <c r="A44" s="119" t="s">
        <v>1674</v>
      </c>
    </row>
    <row r="45" spans="1:3">
      <c r="A45" s="55"/>
    </row>
    <row r="46" spans="1:3">
      <c r="A46" s="119" t="s">
        <v>1675</v>
      </c>
    </row>
    <row r="48" spans="1:3">
      <c r="A48" t="s">
        <v>1676</v>
      </c>
    </row>
    <row r="50" spans="1:1" ht="18">
      <c r="A50" s="54" t="s">
        <v>1677</v>
      </c>
    </row>
    <row r="51" spans="1:1">
      <c r="A51" s="55"/>
    </row>
    <row r="52" spans="1:1">
      <c r="A52" s="55" t="s">
        <v>1678</v>
      </c>
    </row>
    <row r="53" spans="1:1">
      <c r="A53" s="55"/>
    </row>
    <row r="54" spans="1:1">
      <c r="A54" s="55" t="s">
        <v>1679</v>
      </c>
    </row>
    <row r="55" spans="1:1">
      <c r="A55" s="55"/>
    </row>
    <row r="56" spans="1:1">
      <c r="A56" s="55" t="s">
        <v>1680</v>
      </c>
    </row>
    <row r="57" spans="1:1">
      <c r="A57" s="55"/>
    </row>
    <row r="58" spans="1:1">
      <c r="A58" s="55" t="s">
        <v>1681</v>
      </c>
    </row>
    <row r="60" spans="1:1" ht="18">
      <c r="A60" s="54" t="s">
        <v>1682</v>
      </c>
    </row>
    <row r="61" spans="1:1">
      <c r="A61" s="55"/>
    </row>
    <row r="62" spans="1:1">
      <c r="A62" s="55" t="s">
        <v>1683</v>
      </c>
    </row>
    <row r="63" spans="1:1">
      <c r="A63" s="55"/>
    </row>
    <row r="64" spans="1:1">
      <c r="A64" s="55" t="s">
        <v>1684</v>
      </c>
    </row>
    <row r="65" spans="1:1">
      <c r="A65" s="55"/>
    </row>
    <row r="66" spans="1:1">
      <c r="A66" s="55" t="s">
        <v>1685</v>
      </c>
    </row>
    <row r="67" spans="1:1">
      <c r="A67" s="55"/>
    </row>
    <row r="68" spans="1:1">
      <c r="A68" s="55" t="s">
        <v>1686</v>
      </c>
    </row>
  </sheetData>
  <mergeCells count="1">
    <mergeCell ref="A1:E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4BC45-CA8D-4578-8006-99632FB828A0}">
  <dimension ref="A3:S143"/>
  <sheetViews>
    <sheetView topLeftCell="A10" zoomScale="70" zoomScaleNormal="70" workbookViewId="0">
      <selection activeCell="A3" sqref="A3:H82"/>
    </sheetView>
  </sheetViews>
  <sheetFormatPr defaultRowHeight="14.4"/>
  <cols>
    <col min="1" max="1" width="51.77734375" customWidth="1"/>
    <col min="2" max="8" width="11.5546875" customWidth="1"/>
    <col min="11" max="11" width="51.77734375" customWidth="1"/>
    <col min="12" max="19" width="12.44140625" customWidth="1"/>
  </cols>
  <sheetData>
    <row r="3" spans="1:19">
      <c r="A3" s="24" t="s">
        <v>1472</v>
      </c>
      <c r="P3" s="306"/>
      <c r="Q3" s="34" t="s">
        <v>1548</v>
      </c>
      <c r="R3" t="s">
        <v>1549</v>
      </c>
    </row>
    <row r="4" spans="1:19" ht="28.8">
      <c r="A4" s="308" t="s">
        <v>1473</v>
      </c>
      <c r="B4" s="308"/>
      <c r="C4" s="308"/>
      <c r="D4" s="308"/>
      <c r="E4" s="80"/>
      <c r="F4" s="80"/>
      <c r="G4" s="80"/>
      <c r="P4" s="306"/>
      <c r="Q4" s="110" t="s">
        <v>2510</v>
      </c>
      <c r="R4" s="111">
        <v>44651</v>
      </c>
    </row>
    <row r="5" spans="1:19">
      <c r="F5" s="53"/>
      <c r="G5" s="309"/>
      <c r="H5" s="296"/>
      <c r="K5" s="24" t="s">
        <v>1550</v>
      </c>
      <c r="L5" s="52">
        <v>2021</v>
      </c>
      <c r="M5" s="52">
        <v>2022</v>
      </c>
      <c r="N5" s="52">
        <v>2023</v>
      </c>
      <c r="O5" s="52">
        <v>2024</v>
      </c>
      <c r="P5" s="52">
        <v>2025</v>
      </c>
      <c r="Q5" s="52">
        <v>2026</v>
      </c>
      <c r="R5" s="112" t="s">
        <v>1551</v>
      </c>
      <c r="S5" s="52" t="s">
        <v>1552</v>
      </c>
    </row>
    <row r="6" spans="1:19">
      <c r="B6" s="311" t="s">
        <v>1475</v>
      </c>
      <c r="C6" s="311"/>
      <c r="D6" s="311"/>
      <c r="E6" s="311"/>
      <c r="F6" s="311"/>
      <c r="G6" s="309"/>
      <c r="H6" s="295"/>
    </row>
    <row r="7" spans="1:19">
      <c r="A7" s="24" t="s">
        <v>1476</v>
      </c>
      <c r="B7" s="299">
        <v>2021</v>
      </c>
      <c r="C7" s="299">
        <v>2022</v>
      </c>
      <c r="D7" s="299">
        <v>2023</v>
      </c>
      <c r="E7" s="299">
        <v>2024</v>
      </c>
      <c r="F7" s="299">
        <v>2025</v>
      </c>
      <c r="G7" s="297"/>
      <c r="H7" s="297"/>
      <c r="K7" s="24" t="s">
        <v>1553</v>
      </c>
      <c r="L7" s="24"/>
      <c r="M7" s="24"/>
      <c r="N7" s="43"/>
      <c r="O7" s="43"/>
      <c r="P7" s="43"/>
      <c r="Q7" s="43"/>
      <c r="R7" s="43"/>
      <c r="S7" s="43"/>
    </row>
    <row r="8" spans="1:19">
      <c r="G8" s="126"/>
      <c r="H8" s="126"/>
      <c r="N8" s="43"/>
      <c r="O8" s="43"/>
      <c r="P8" s="43"/>
      <c r="Q8" s="43"/>
      <c r="R8" s="43"/>
      <c r="S8" s="43"/>
    </row>
    <row r="9" spans="1:19">
      <c r="A9" s="24" t="s">
        <v>1477</v>
      </c>
      <c r="B9" s="83">
        <v>3549913</v>
      </c>
      <c r="C9" s="83">
        <v>3852126</v>
      </c>
      <c r="D9" s="83">
        <v>4297121</v>
      </c>
      <c r="E9" s="83">
        <v>3536194</v>
      </c>
      <c r="F9" s="83">
        <v>5394455</v>
      </c>
      <c r="G9" s="96"/>
      <c r="H9" s="101"/>
      <c r="K9" t="s">
        <v>1554</v>
      </c>
      <c r="L9" s="43">
        <v>0</v>
      </c>
      <c r="M9" s="43">
        <v>12160</v>
      </c>
      <c r="N9" s="43">
        <v>12160</v>
      </c>
      <c r="O9" s="43">
        <v>0</v>
      </c>
      <c r="P9" s="43">
        <v>0</v>
      </c>
      <c r="Q9" s="43"/>
      <c r="R9" s="43">
        <v>0</v>
      </c>
      <c r="S9" s="43">
        <f>P9+R9</f>
        <v>0</v>
      </c>
    </row>
    <row r="10" spans="1:19">
      <c r="B10" s="43"/>
      <c r="C10" s="43"/>
      <c r="D10" s="43"/>
      <c r="E10" s="43"/>
      <c r="F10" s="43"/>
      <c r="G10" s="92"/>
      <c r="H10" s="126"/>
      <c r="L10" s="43"/>
      <c r="M10" s="43"/>
      <c r="N10" s="43"/>
      <c r="O10" s="43"/>
      <c r="P10" s="43"/>
      <c r="Q10" s="43"/>
      <c r="R10" s="43"/>
      <c r="S10" s="43"/>
    </row>
    <row r="11" spans="1:19">
      <c r="A11" t="s">
        <v>1478</v>
      </c>
      <c r="B11" s="43">
        <v>2002710</v>
      </c>
      <c r="C11" s="43">
        <v>2900887</v>
      </c>
      <c r="D11" s="43">
        <v>3191245</v>
      </c>
      <c r="E11" s="43">
        <v>2345295</v>
      </c>
      <c r="F11" s="43">
        <v>2999566</v>
      </c>
      <c r="G11" s="92"/>
      <c r="H11" s="101"/>
      <c r="K11" s="113" t="s">
        <v>1555</v>
      </c>
      <c r="L11" s="43">
        <f>930180+23372</f>
        <v>953552</v>
      </c>
      <c r="M11" s="43">
        <f>717115+63541</f>
        <v>780656</v>
      </c>
      <c r="N11" s="43">
        <v>798757</v>
      </c>
      <c r="O11" s="43">
        <v>999440</v>
      </c>
      <c r="P11" s="43">
        <v>1231473</v>
      </c>
      <c r="Q11" s="43">
        <f>333113+108398</f>
        <v>441511</v>
      </c>
      <c r="R11" s="43">
        <f>394408+5091</f>
        <v>399499</v>
      </c>
      <c r="S11" s="43">
        <f>P11+R11</f>
        <v>1630972</v>
      </c>
    </row>
    <row r="12" spans="1:19">
      <c r="B12" s="43"/>
      <c r="C12" s="43"/>
      <c r="D12" s="43"/>
      <c r="E12" s="43"/>
      <c r="F12" s="43"/>
      <c r="G12" s="92"/>
      <c r="H12" s="126"/>
      <c r="L12" s="43"/>
      <c r="M12" s="43"/>
      <c r="N12" s="43"/>
      <c r="O12" s="43"/>
      <c r="P12" s="43"/>
      <c r="Q12" s="43"/>
      <c r="R12" s="43"/>
      <c r="S12" s="43"/>
    </row>
    <row r="13" spans="1:19">
      <c r="A13" s="24" t="s">
        <v>1479</v>
      </c>
      <c r="B13" s="83">
        <f t="shared" ref="B13:F13" si="0">B9-B11</f>
        <v>1547203</v>
      </c>
      <c r="C13" s="83">
        <f t="shared" si="0"/>
        <v>951239</v>
      </c>
      <c r="D13" s="83">
        <f t="shared" si="0"/>
        <v>1105876</v>
      </c>
      <c r="E13" s="83">
        <f t="shared" si="0"/>
        <v>1190899</v>
      </c>
      <c r="F13" s="83">
        <f t="shared" si="0"/>
        <v>2394889</v>
      </c>
      <c r="G13" s="96"/>
      <c r="H13" s="96"/>
      <c r="K13" t="s">
        <v>1556</v>
      </c>
      <c r="L13" s="43">
        <v>31427</v>
      </c>
      <c r="M13" s="43">
        <v>40911</v>
      </c>
      <c r="N13" s="43">
        <v>69573</v>
      </c>
      <c r="O13" s="43">
        <v>35594</v>
      </c>
      <c r="P13" s="43">
        <v>328911</v>
      </c>
      <c r="Q13" s="43">
        <v>12980</v>
      </c>
      <c r="R13" s="43">
        <v>13143</v>
      </c>
      <c r="S13" s="43">
        <f>P13+R13</f>
        <v>342054</v>
      </c>
    </row>
    <row r="14" spans="1:19">
      <c r="B14" s="43"/>
      <c r="C14" s="43"/>
      <c r="D14" s="43"/>
      <c r="E14" s="43"/>
      <c r="F14" s="43"/>
      <c r="G14" s="92"/>
      <c r="H14" s="92"/>
      <c r="L14" s="43"/>
      <c r="M14" s="43"/>
      <c r="N14" s="43"/>
      <c r="O14" s="43"/>
      <c r="P14" s="43"/>
      <c r="Q14" s="43"/>
      <c r="R14" s="43"/>
      <c r="S14" s="43"/>
    </row>
    <row r="15" spans="1:19">
      <c r="A15" t="s">
        <v>1480</v>
      </c>
      <c r="B15" s="43">
        <f t="shared" ref="B15:F15" si="1">B91</f>
        <v>950694</v>
      </c>
      <c r="C15" s="43">
        <f t="shared" si="1"/>
        <v>1144657</v>
      </c>
      <c r="D15" s="43">
        <f t="shared" si="1"/>
        <v>1096546</v>
      </c>
      <c r="E15" s="43">
        <f t="shared" si="1"/>
        <v>1124337</v>
      </c>
      <c r="F15" s="43">
        <f t="shared" si="1"/>
        <v>1653376</v>
      </c>
      <c r="G15" s="92"/>
      <c r="H15" s="101"/>
      <c r="K15" t="s">
        <v>1557</v>
      </c>
      <c r="L15" s="43">
        <v>0</v>
      </c>
      <c r="M15" s="43">
        <v>208800</v>
      </c>
      <c r="N15" s="43">
        <v>200000</v>
      </c>
      <c r="O15" s="43">
        <v>0</v>
      </c>
      <c r="P15" s="43">
        <v>0</v>
      </c>
      <c r="Q15" s="43">
        <v>300000</v>
      </c>
      <c r="R15" s="43">
        <v>342241</v>
      </c>
      <c r="S15" s="43">
        <f>P15+R15</f>
        <v>342241</v>
      </c>
    </row>
    <row r="16" spans="1:19">
      <c r="B16" s="43"/>
      <c r="C16" s="43"/>
      <c r="D16" s="43"/>
      <c r="E16" s="43"/>
      <c r="F16" s="43"/>
      <c r="G16" s="92"/>
      <c r="H16" s="126"/>
      <c r="L16" s="43"/>
      <c r="M16" s="43"/>
      <c r="N16" s="43"/>
      <c r="O16" s="43"/>
      <c r="P16" s="43"/>
      <c r="Q16" s="43"/>
      <c r="R16" s="43"/>
      <c r="S16" s="43"/>
    </row>
    <row r="17" spans="1:19">
      <c r="A17" s="24" t="s">
        <v>1481</v>
      </c>
      <c r="B17" s="83">
        <f t="shared" ref="B17:F17" si="2">B13-B15</f>
        <v>596509</v>
      </c>
      <c r="C17" s="83">
        <f t="shared" si="2"/>
        <v>-193418</v>
      </c>
      <c r="D17" s="83">
        <f t="shared" si="2"/>
        <v>9330</v>
      </c>
      <c r="E17" s="83">
        <f t="shared" si="2"/>
        <v>66562</v>
      </c>
      <c r="F17" s="83">
        <f t="shared" si="2"/>
        <v>741513</v>
      </c>
      <c r="G17" s="96"/>
      <c r="H17" s="96"/>
      <c r="K17" t="s">
        <v>1558</v>
      </c>
      <c r="L17" s="43">
        <v>537788</v>
      </c>
      <c r="M17" s="43">
        <v>387973</v>
      </c>
      <c r="N17" s="43">
        <v>508107</v>
      </c>
      <c r="O17" s="43">
        <v>707171</v>
      </c>
      <c r="P17" s="43">
        <v>253871</v>
      </c>
      <c r="Q17" s="43">
        <v>1099123</v>
      </c>
      <c r="R17" s="43">
        <v>732538</v>
      </c>
      <c r="S17" s="43"/>
    </row>
    <row r="18" spans="1:19">
      <c r="B18" s="43"/>
      <c r="C18" s="43"/>
      <c r="D18" s="43"/>
      <c r="E18" s="43"/>
      <c r="F18" s="43"/>
      <c r="G18" s="92"/>
      <c r="H18" s="126"/>
      <c r="L18" s="43"/>
      <c r="M18" s="43"/>
      <c r="N18" s="43"/>
      <c r="O18" s="43"/>
      <c r="P18" s="43"/>
      <c r="Q18" s="43"/>
      <c r="R18" s="43"/>
      <c r="S18" s="43"/>
    </row>
    <row r="19" spans="1:19">
      <c r="A19" t="s">
        <v>1482</v>
      </c>
      <c r="B19" s="43">
        <v>91645</v>
      </c>
      <c r="C19" s="43">
        <v>258581</v>
      </c>
      <c r="D19" s="43">
        <v>74842</v>
      </c>
      <c r="E19" s="43">
        <v>51017</v>
      </c>
      <c r="F19" s="43">
        <v>199652</v>
      </c>
      <c r="G19" s="92"/>
      <c r="H19" s="101"/>
      <c r="K19" s="24" t="s">
        <v>1559</v>
      </c>
      <c r="L19" s="83">
        <f t="shared" ref="L19:S19" si="3">SUM(L9:L17)</f>
        <v>1522767</v>
      </c>
      <c r="M19" s="83">
        <f t="shared" si="3"/>
        <v>1430500</v>
      </c>
      <c r="N19" s="83">
        <f t="shared" si="3"/>
        <v>1588597</v>
      </c>
      <c r="O19" s="83">
        <f t="shared" si="3"/>
        <v>1742205</v>
      </c>
      <c r="P19" s="83">
        <f t="shared" si="3"/>
        <v>1814255</v>
      </c>
      <c r="Q19" s="83">
        <f t="shared" si="3"/>
        <v>1853614</v>
      </c>
      <c r="R19" s="83">
        <f t="shared" si="3"/>
        <v>1487421</v>
      </c>
      <c r="S19" s="83">
        <f t="shared" si="3"/>
        <v>2315267</v>
      </c>
    </row>
    <row r="20" spans="1:19">
      <c r="B20" s="43"/>
      <c r="C20" s="43"/>
      <c r="D20" s="43"/>
      <c r="E20" s="43"/>
      <c r="F20" s="43"/>
      <c r="G20" s="92"/>
      <c r="H20" s="126"/>
      <c r="L20" s="43"/>
      <c r="M20" s="43"/>
      <c r="N20" s="43"/>
      <c r="O20" s="43"/>
      <c r="P20" s="43"/>
      <c r="Q20" s="43"/>
      <c r="R20" s="43"/>
      <c r="S20" s="43"/>
    </row>
    <row r="21" spans="1:19">
      <c r="A21" s="24" t="s">
        <v>1483</v>
      </c>
      <c r="B21" s="83">
        <f t="shared" ref="B21:F21" si="4">B17+B19</f>
        <v>688154</v>
      </c>
      <c r="C21" s="83">
        <f t="shared" si="4"/>
        <v>65163</v>
      </c>
      <c r="D21" s="83">
        <f t="shared" si="4"/>
        <v>84172</v>
      </c>
      <c r="E21" s="83">
        <f t="shared" si="4"/>
        <v>117579</v>
      </c>
      <c r="F21" s="83">
        <f t="shared" si="4"/>
        <v>941165</v>
      </c>
      <c r="G21" s="96"/>
      <c r="H21" s="96"/>
      <c r="K21" s="24" t="s">
        <v>1560</v>
      </c>
      <c r="L21" s="83"/>
      <c r="M21" s="83"/>
      <c r="N21" s="43"/>
      <c r="O21" s="43"/>
      <c r="P21" s="43"/>
      <c r="Q21" s="43"/>
      <c r="R21" s="43"/>
      <c r="S21" s="43"/>
    </row>
    <row r="22" spans="1:19">
      <c r="B22" s="43"/>
      <c r="C22" s="43"/>
      <c r="D22" s="43"/>
      <c r="E22" s="43"/>
      <c r="F22" s="43"/>
      <c r="G22" s="92"/>
      <c r="H22" s="126"/>
      <c r="K22" t="s">
        <v>1561</v>
      </c>
      <c r="L22" s="84">
        <v>301783</v>
      </c>
      <c r="M22" s="85">
        <v>279139</v>
      </c>
      <c r="N22" s="85">
        <v>277755</v>
      </c>
      <c r="O22" s="85">
        <v>270688</v>
      </c>
      <c r="P22" s="86">
        <v>4859035</v>
      </c>
      <c r="Q22" s="85">
        <v>4684353</v>
      </c>
      <c r="R22" s="43">
        <v>4617812</v>
      </c>
      <c r="S22" s="43">
        <f>P22+R22</f>
        <v>9476847</v>
      </c>
    </row>
    <row r="23" spans="1:19">
      <c r="A23" t="s">
        <v>1484</v>
      </c>
      <c r="B23" s="43">
        <v>56830</v>
      </c>
      <c r="C23" s="43">
        <v>0</v>
      </c>
      <c r="D23" s="43">
        <v>0</v>
      </c>
      <c r="E23" s="43">
        <v>8706</v>
      </c>
      <c r="F23" s="43">
        <v>149213</v>
      </c>
      <c r="G23" s="92"/>
      <c r="H23" s="101"/>
      <c r="K23" t="s">
        <v>1562</v>
      </c>
      <c r="L23" s="89"/>
      <c r="M23" s="90"/>
      <c r="N23" s="90">
        <v>0</v>
      </c>
      <c r="O23" s="90">
        <v>0</v>
      </c>
      <c r="P23" s="91">
        <v>0</v>
      </c>
      <c r="Q23" s="90"/>
      <c r="R23" s="43">
        <v>150000</v>
      </c>
      <c r="S23" s="43">
        <f>P23+R23</f>
        <v>150000</v>
      </c>
    </row>
    <row r="24" spans="1:19">
      <c r="B24" s="43"/>
      <c r="C24" s="43"/>
      <c r="D24" s="43"/>
      <c r="E24" s="43"/>
      <c r="F24" s="43"/>
      <c r="G24" s="92"/>
      <c r="H24" s="126"/>
      <c r="K24" t="s">
        <v>1563</v>
      </c>
      <c r="L24" s="89"/>
      <c r="M24" s="90"/>
      <c r="N24" s="90">
        <v>0</v>
      </c>
      <c r="O24" s="90">
        <v>0</v>
      </c>
      <c r="P24" s="91">
        <v>0</v>
      </c>
      <c r="Q24" s="90"/>
      <c r="R24" s="43"/>
      <c r="S24" s="43">
        <f>P24+R24</f>
        <v>0</v>
      </c>
    </row>
    <row r="25" spans="1:19">
      <c r="A25" s="24" t="s">
        <v>1485</v>
      </c>
      <c r="B25" s="83">
        <f t="shared" ref="B25:F25" si="5">B21-B23</f>
        <v>631324</v>
      </c>
      <c r="C25" s="83">
        <f t="shared" si="5"/>
        <v>65163</v>
      </c>
      <c r="D25" s="83">
        <f t="shared" si="5"/>
        <v>84172</v>
      </c>
      <c r="E25" s="83">
        <f t="shared" si="5"/>
        <v>108873</v>
      </c>
      <c r="F25" s="83">
        <f t="shared" si="5"/>
        <v>791952</v>
      </c>
      <c r="G25" s="96"/>
      <c r="H25" s="96"/>
      <c r="K25" t="s">
        <v>1564</v>
      </c>
      <c r="L25" s="93"/>
      <c r="M25" s="94"/>
      <c r="N25" s="94">
        <v>0</v>
      </c>
      <c r="O25" s="94">
        <v>0</v>
      </c>
      <c r="P25" s="95">
        <v>0</v>
      </c>
      <c r="Q25" s="94"/>
      <c r="R25" s="43"/>
      <c r="S25" s="43">
        <f>P25+R25</f>
        <v>0</v>
      </c>
    </row>
    <row r="26" spans="1:19">
      <c r="B26" s="43"/>
      <c r="C26" s="43"/>
      <c r="D26" s="43"/>
      <c r="E26" s="43"/>
      <c r="F26" s="43"/>
      <c r="G26" s="92"/>
      <c r="H26" s="126"/>
      <c r="L26" s="43"/>
      <c r="M26" s="43"/>
      <c r="N26" s="43"/>
      <c r="O26" s="43"/>
      <c r="P26" s="43"/>
      <c r="Q26" s="43"/>
      <c r="R26" s="43"/>
      <c r="S26" s="43"/>
    </row>
    <row r="27" spans="1:19">
      <c r="A27" s="24" t="s">
        <v>1486</v>
      </c>
      <c r="B27" s="43">
        <f>SUM(B28:B34)-B56</f>
        <v>361896</v>
      </c>
      <c r="C27" s="43">
        <f t="shared" ref="C27:F27" si="6">SUM(C28:C34)-C56</f>
        <v>-172451</v>
      </c>
      <c r="D27" s="43">
        <f t="shared" si="6"/>
        <v>59181</v>
      </c>
      <c r="E27" s="43">
        <f t="shared" si="6"/>
        <v>229772</v>
      </c>
      <c r="F27" s="43">
        <f t="shared" si="6"/>
        <v>331340</v>
      </c>
      <c r="G27" s="92"/>
      <c r="H27" s="92"/>
      <c r="L27" s="43"/>
      <c r="M27" s="43"/>
      <c r="N27" s="43"/>
      <c r="O27" s="43"/>
      <c r="P27" s="43"/>
      <c r="Q27" s="43"/>
      <c r="R27" s="43"/>
      <c r="S27" s="43"/>
    </row>
    <row r="28" spans="1:19">
      <c r="A28" t="s">
        <v>1487</v>
      </c>
      <c r="B28" s="84">
        <v>0</v>
      </c>
      <c r="C28" s="85">
        <v>0</v>
      </c>
      <c r="D28" s="86">
        <v>0</v>
      </c>
      <c r="E28" s="85">
        <v>18342</v>
      </c>
      <c r="F28" s="85">
        <v>17695</v>
      </c>
      <c r="G28" s="92"/>
      <c r="H28" s="101"/>
      <c r="K28" s="24" t="s">
        <v>1565</v>
      </c>
      <c r="L28" s="83">
        <f t="shared" ref="L28:S28" si="7">SUM(L22:L26)</f>
        <v>301783</v>
      </c>
      <c r="M28" s="83">
        <f t="shared" si="7"/>
        <v>279139</v>
      </c>
      <c r="N28" s="83">
        <f t="shared" si="7"/>
        <v>277755</v>
      </c>
      <c r="O28" s="83">
        <f t="shared" si="7"/>
        <v>270688</v>
      </c>
      <c r="P28" s="83">
        <f t="shared" si="7"/>
        <v>4859035</v>
      </c>
      <c r="Q28" s="83">
        <f t="shared" si="7"/>
        <v>4684353</v>
      </c>
      <c r="R28" s="83">
        <f t="shared" si="7"/>
        <v>4767812</v>
      </c>
      <c r="S28" s="83">
        <f t="shared" si="7"/>
        <v>9626847</v>
      </c>
    </row>
    <row r="29" spans="1:19">
      <c r="A29" s="88" t="s">
        <v>1488</v>
      </c>
      <c r="B29" s="89"/>
      <c r="C29" s="90"/>
      <c r="D29" s="91"/>
      <c r="E29" s="90">
        <v>6221</v>
      </c>
      <c r="F29" s="90">
        <v>214000</v>
      </c>
      <c r="G29" s="92"/>
      <c r="H29" s="101"/>
      <c r="L29" s="43"/>
      <c r="M29" s="43"/>
      <c r="N29" s="43"/>
      <c r="O29" s="43"/>
      <c r="P29" s="43"/>
      <c r="Q29" s="43"/>
      <c r="R29" s="43"/>
      <c r="S29" s="43"/>
    </row>
    <row r="30" spans="1:19">
      <c r="A30" t="s">
        <v>1489</v>
      </c>
      <c r="B30" s="89">
        <v>68957</v>
      </c>
      <c r="C30" s="90">
        <v>57025</v>
      </c>
      <c r="D30" s="91">
        <v>64015</v>
      </c>
      <c r="E30" s="90">
        <v>48775</v>
      </c>
      <c r="F30" s="90">
        <v>39347</v>
      </c>
      <c r="G30" s="92"/>
      <c r="H30" s="101"/>
      <c r="K30" s="24" t="s">
        <v>1566</v>
      </c>
      <c r="L30" s="43"/>
      <c r="M30" s="43"/>
      <c r="N30" s="43"/>
      <c r="O30" s="43"/>
      <c r="P30" s="43"/>
      <c r="Q30" s="43"/>
      <c r="R30" s="43"/>
      <c r="S30" s="43"/>
    </row>
    <row r="31" spans="1:19">
      <c r="A31" t="s">
        <v>1490</v>
      </c>
      <c r="B31" s="89">
        <v>1985</v>
      </c>
      <c r="C31" s="90">
        <v>6882</v>
      </c>
      <c r="D31" s="91">
        <v>2856</v>
      </c>
      <c r="E31" s="90">
        <v>5201</v>
      </c>
      <c r="F31" s="90">
        <v>12843</v>
      </c>
      <c r="G31" s="92"/>
      <c r="H31" s="101"/>
      <c r="K31" t="s">
        <v>1567</v>
      </c>
      <c r="L31" s="84"/>
      <c r="M31" s="85"/>
      <c r="N31" s="86">
        <v>0</v>
      </c>
      <c r="O31" s="85">
        <v>0</v>
      </c>
      <c r="P31" s="86">
        <v>0</v>
      </c>
      <c r="Q31" s="85"/>
      <c r="R31" s="43"/>
      <c r="S31" s="43">
        <f>P31+R31</f>
        <v>0</v>
      </c>
    </row>
    <row r="32" spans="1:19">
      <c r="A32" t="s">
        <v>1491</v>
      </c>
      <c r="B32" s="89">
        <v>-82546</v>
      </c>
      <c r="C32" s="90">
        <v>-227901</v>
      </c>
      <c r="D32" s="91">
        <v>-40000</v>
      </c>
      <c r="E32" s="90">
        <v>-45232</v>
      </c>
      <c r="F32" s="90">
        <v>-183907</v>
      </c>
      <c r="G32" s="92"/>
      <c r="H32" s="101"/>
      <c r="K32" t="s">
        <v>1568</v>
      </c>
      <c r="L32" s="89"/>
      <c r="M32" s="90"/>
      <c r="N32" s="91">
        <v>0</v>
      </c>
      <c r="O32" s="90">
        <v>0</v>
      </c>
      <c r="P32" s="91">
        <v>0</v>
      </c>
      <c r="Q32" s="90"/>
      <c r="R32" s="43"/>
      <c r="S32" s="43">
        <f>P32+R32</f>
        <v>0</v>
      </c>
    </row>
    <row r="33" spans="1:19">
      <c r="A33" t="s">
        <v>1492</v>
      </c>
      <c r="B33" s="89">
        <v>0</v>
      </c>
      <c r="C33" s="90">
        <f>-16382+16725</f>
        <v>343</v>
      </c>
      <c r="D33" s="91">
        <v>32310</v>
      </c>
      <c r="E33" s="90">
        <v>-2248</v>
      </c>
      <c r="F33" s="90">
        <v>31362</v>
      </c>
      <c r="G33" s="92"/>
      <c r="H33" s="101"/>
      <c r="K33" t="s">
        <v>1569</v>
      </c>
      <c r="L33" s="89"/>
      <c r="M33" s="90"/>
      <c r="N33" s="91">
        <v>0</v>
      </c>
      <c r="O33" s="90">
        <v>0</v>
      </c>
      <c r="P33" s="91">
        <v>0</v>
      </c>
      <c r="Q33" s="90"/>
      <c r="R33" s="43"/>
      <c r="S33" s="43">
        <f>P33+R33</f>
        <v>0</v>
      </c>
    </row>
    <row r="34" spans="1:19">
      <c r="A34" t="s">
        <v>1493</v>
      </c>
      <c r="B34" s="93">
        <v>0</v>
      </c>
      <c r="C34" s="94">
        <v>-8800</v>
      </c>
      <c r="D34" s="95">
        <v>0</v>
      </c>
      <c r="E34" s="94">
        <v>-1287</v>
      </c>
      <c r="F34" s="94">
        <v>0</v>
      </c>
      <c r="G34" s="92"/>
      <c r="H34" s="101"/>
      <c r="K34" t="s">
        <v>1570</v>
      </c>
      <c r="L34" s="89"/>
      <c r="M34" s="90"/>
      <c r="N34" s="91">
        <v>0</v>
      </c>
      <c r="O34" s="90">
        <v>0</v>
      </c>
      <c r="P34" s="91">
        <v>0</v>
      </c>
      <c r="Q34" s="90"/>
      <c r="R34" s="43"/>
      <c r="S34" s="43">
        <f>P34+R34</f>
        <v>0</v>
      </c>
    </row>
    <row r="35" spans="1:19">
      <c r="B35" s="92"/>
      <c r="C35" s="92"/>
      <c r="D35" s="92"/>
      <c r="E35" s="92"/>
      <c r="F35" s="92"/>
      <c r="G35" s="92"/>
      <c r="H35" s="126"/>
      <c r="K35" t="s">
        <v>1571</v>
      </c>
      <c r="L35" s="93"/>
      <c r="M35" s="94"/>
      <c r="N35" s="95">
        <v>0</v>
      </c>
      <c r="O35" s="94">
        <v>0</v>
      </c>
      <c r="P35" s="95">
        <v>0</v>
      </c>
      <c r="Q35" s="94"/>
      <c r="R35" s="43"/>
      <c r="S35" s="43">
        <f>P35+R35</f>
        <v>0</v>
      </c>
    </row>
    <row r="36" spans="1:19">
      <c r="A36" s="24" t="s">
        <v>1494</v>
      </c>
      <c r="B36" s="96">
        <f t="shared" ref="B36:F36" si="8">B25+SUM(B28:B34)-B56</f>
        <v>993220</v>
      </c>
      <c r="C36" s="96">
        <f t="shared" si="8"/>
        <v>-107288</v>
      </c>
      <c r="D36" s="96">
        <f t="shared" si="8"/>
        <v>143353</v>
      </c>
      <c r="E36" s="96">
        <f t="shared" si="8"/>
        <v>338645</v>
      </c>
      <c r="F36" s="96">
        <f t="shared" si="8"/>
        <v>1123292</v>
      </c>
      <c r="G36" s="96"/>
      <c r="H36" s="96"/>
      <c r="L36" s="43"/>
      <c r="M36" s="43"/>
      <c r="N36" s="43">
        <f>SUM(N31:N35)</f>
        <v>0</v>
      </c>
      <c r="O36" s="43"/>
      <c r="P36" s="43"/>
      <c r="Q36" s="43"/>
      <c r="R36" s="43"/>
      <c r="S36" s="43"/>
    </row>
    <row r="37" spans="1:19">
      <c r="A37" s="24"/>
      <c r="B37" s="96"/>
      <c r="C37" s="96"/>
      <c r="D37" s="96"/>
      <c r="E37" s="96"/>
      <c r="F37" s="96"/>
      <c r="G37" s="96"/>
      <c r="H37" s="126"/>
      <c r="L37" s="43"/>
      <c r="M37" s="43"/>
      <c r="N37" s="43"/>
      <c r="O37" s="43"/>
      <c r="P37" s="43"/>
      <c r="Q37" s="43"/>
      <c r="R37" s="43"/>
      <c r="S37" s="43"/>
    </row>
    <row r="38" spans="1:19">
      <c r="A38" s="24" t="s">
        <v>1324</v>
      </c>
      <c r="B38" s="96">
        <f t="shared" ref="B38:F38" si="9">B21+B31+B90</f>
        <v>694605</v>
      </c>
      <c r="C38" s="96">
        <f t="shared" si="9"/>
        <v>80793</v>
      </c>
      <c r="D38" s="96">
        <f t="shared" si="9"/>
        <v>91492</v>
      </c>
      <c r="E38" s="96">
        <f t="shared" si="9"/>
        <v>129794</v>
      </c>
      <c r="F38" s="96">
        <f t="shared" si="9"/>
        <v>967817</v>
      </c>
      <c r="G38" s="96"/>
      <c r="H38" s="96"/>
      <c r="K38" s="24" t="s">
        <v>1572</v>
      </c>
      <c r="L38" s="83">
        <f t="shared" ref="L38:S38" si="10">L28-L36</f>
        <v>301783</v>
      </c>
      <c r="M38" s="83">
        <f t="shared" si="10"/>
        <v>279139</v>
      </c>
      <c r="N38" s="83">
        <f t="shared" si="10"/>
        <v>277755</v>
      </c>
      <c r="O38" s="83">
        <f t="shared" si="10"/>
        <v>270688</v>
      </c>
      <c r="P38" s="83">
        <f t="shared" si="10"/>
        <v>4859035</v>
      </c>
      <c r="Q38" s="83">
        <f t="shared" si="10"/>
        <v>4684353</v>
      </c>
      <c r="R38" s="83">
        <f t="shared" si="10"/>
        <v>4767812</v>
      </c>
      <c r="S38" s="83">
        <f t="shared" si="10"/>
        <v>9626847</v>
      </c>
    </row>
    <row r="39" spans="1:19">
      <c r="B39" s="92"/>
      <c r="C39" s="92"/>
      <c r="D39" s="92"/>
      <c r="E39" s="92"/>
      <c r="F39" s="92"/>
      <c r="G39" s="92"/>
      <c r="H39" s="92"/>
      <c r="L39" s="43"/>
      <c r="M39" s="43"/>
      <c r="N39" s="43"/>
      <c r="O39" s="43"/>
      <c r="P39" s="43"/>
      <c r="Q39" s="43"/>
      <c r="R39" s="43"/>
      <c r="S39" s="43"/>
    </row>
    <row r="40" spans="1:19">
      <c r="A40" s="24" t="s">
        <v>1256</v>
      </c>
      <c r="B40" s="83">
        <f t="shared" ref="B40:F40" si="11">B38+B30</f>
        <v>763562</v>
      </c>
      <c r="C40" s="83">
        <f t="shared" si="11"/>
        <v>137818</v>
      </c>
      <c r="D40" s="83">
        <f t="shared" si="11"/>
        <v>155507</v>
      </c>
      <c r="E40" s="83">
        <f t="shared" si="11"/>
        <v>178569</v>
      </c>
      <c r="F40" s="83">
        <f t="shared" si="11"/>
        <v>1007164</v>
      </c>
      <c r="G40" s="96"/>
      <c r="H40" s="96"/>
      <c r="K40" s="24" t="s">
        <v>1257</v>
      </c>
      <c r="L40" s="83">
        <f t="shared" ref="L40:S40" si="12">L38+L19</f>
        <v>1824550</v>
      </c>
      <c r="M40" s="83">
        <f t="shared" si="12"/>
        <v>1709639</v>
      </c>
      <c r="N40" s="83">
        <f t="shared" si="12"/>
        <v>1866352</v>
      </c>
      <c r="O40" s="83">
        <f t="shared" si="12"/>
        <v>2012893</v>
      </c>
      <c r="P40" s="83">
        <f t="shared" si="12"/>
        <v>6673290</v>
      </c>
      <c r="Q40" s="83">
        <f t="shared" si="12"/>
        <v>6537967</v>
      </c>
      <c r="R40" s="83">
        <f t="shared" si="12"/>
        <v>6255233</v>
      </c>
      <c r="S40" s="83">
        <f t="shared" si="12"/>
        <v>11942114</v>
      </c>
    </row>
    <row r="41" spans="1:19">
      <c r="A41" s="24" t="s">
        <v>1495</v>
      </c>
      <c r="B41" s="43">
        <f>B40+B32</f>
        <v>681016</v>
      </c>
      <c r="C41" s="43">
        <f t="shared" ref="C41:F41" si="13">C40+C32</f>
        <v>-90083</v>
      </c>
      <c r="D41" s="43">
        <f t="shared" si="13"/>
        <v>115507</v>
      </c>
      <c r="E41" s="43">
        <f t="shared" si="13"/>
        <v>133337</v>
      </c>
      <c r="F41" s="43">
        <f t="shared" si="13"/>
        <v>823257</v>
      </c>
      <c r="G41" s="92"/>
      <c r="H41" s="92"/>
      <c r="L41" s="43"/>
      <c r="M41" s="43"/>
      <c r="N41" s="43"/>
      <c r="O41" s="43"/>
      <c r="P41" s="43"/>
      <c r="Q41" s="43"/>
      <c r="R41" s="43"/>
      <c r="S41" s="43"/>
    </row>
    <row r="42" spans="1:19">
      <c r="A42" s="24" t="s">
        <v>1496</v>
      </c>
      <c r="B42" s="83">
        <f t="shared" ref="B42:F42" si="14">SUM(B43:B48)</f>
        <v>-137098</v>
      </c>
      <c r="C42" s="83">
        <f t="shared" si="14"/>
        <v>-32390</v>
      </c>
      <c r="D42" s="83">
        <f t="shared" si="14"/>
        <v>-56127</v>
      </c>
      <c r="E42" s="83">
        <f t="shared" si="14"/>
        <v>72568</v>
      </c>
      <c r="F42" s="83">
        <f t="shared" si="14"/>
        <v>-601856</v>
      </c>
      <c r="G42" s="96"/>
      <c r="H42" s="96"/>
      <c r="K42" s="24" t="s">
        <v>1573</v>
      </c>
      <c r="L42" s="83"/>
      <c r="M42" s="83"/>
      <c r="N42" s="43"/>
      <c r="O42" s="43"/>
      <c r="P42" s="43"/>
      <c r="Q42" s="43"/>
      <c r="R42" s="43"/>
      <c r="S42" s="43"/>
    </row>
    <row r="43" spans="1:19">
      <c r="A43" t="s">
        <v>1497</v>
      </c>
      <c r="B43" s="84">
        <v>6576</v>
      </c>
      <c r="C43" s="85">
        <v>-12160</v>
      </c>
      <c r="D43" s="86">
        <v>0</v>
      </c>
      <c r="E43" s="85">
        <v>12160</v>
      </c>
      <c r="F43" s="85">
        <v>0</v>
      </c>
      <c r="G43" s="92"/>
      <c r="H43" s="101"/>
      <c r="L43" s="43"/>
      <c r="M43" s="43"/>
      <c r="N43" s="43"/>
      <c r="O43" s="43"/>
      <c r="P43" s="43"/>
      <c r="Q43" s="43"/>
      <c r="R43" s="43"/>
      <c r="S43" s="43"/>
    </row>
    <row r="44" spans="1:19">
      <c r="A44" t="s">
        <v>1498</v>
      </c>
      <c r="B44" s="89">
        <v>-393392</v>
      </c>
      <c r="C44" s="90">
        <v>203581</v>
      </c>
      <c r="D44" s="91">
        <v>-110304</v>
      </c>
      <c r="E44" s="90">
        <v>-172925</v>
      </c>
      <c r="F44" s="90">
        <v>-739350</v>
      </c>
      <c r="G44" s="92"/>
      <c r="H44" s="101"/>
      <c r="K44" t="s">
        <v>1574</v>
      </c>
      <c r="L44" s="84">
        <v>316979</v>
      </c>
      <c r="M44" s="85">
        <v>431479</v>
      </c>
      <c r="N44" s="86">
        <v>456815</v>
      </c>
      <c r="O44" s="85">
        <v>360834</v>
      </c>
      <c r="P44" s="86">
        <v>120793</v>
      </c>
      <c r="Q44" s="85"/>
      <c r="R44" s="43"/>
      <c r="S44" s="43">
        <f>P44+R44</f>
        <v>120793</v>
      </c>
    </row>
    <row r="45" spans="1:19">
      <c r="A45" t="s">
        <v>1499</v>
      </c>
      <c r="B45" s="89">
        <v>0</v>
      </c>
      <c r="C45" s="90">
        <v>-54353</v>
      </c>
      <c r="D45" s="91">
        <v>-4711</v>
      </c>
      <c r="E45" s="90">
        <v>-8706</v>
      </c>
      <c r="F45" s="90">
        <v>-5631</v>
      </c>
      <c r="G45" s="92"/>
      <c r="H45" s="101"/>
      <c r="K45" t="s">
        <v>1575</v>
      </c>
      <c r="L45" s="89">
        <v>972708</v>
      </c>
      <c r="M45" s="90">
        <v>728919</v>
      </c>
      <c r="N45" s="91">
        <v>698930</v>
      </c>
      <c r="O45" s="90">
        <f>1397784-360834</f>
        <v>1036950</v>
      </c>
      <c r="P45" s="91">
        <f>1540909-120793</f>
        <v>1420116</v>
      </c>
      <c r="Q45" s="90">
        <f>615246+52321</f>
        <v>667567</v>
      </c>
      <c r="R45" s="43">
        <f>570911+54835</f>
        <v>625746</v>
      </c>
      <c r="S45" s="43">
        <f>P45+R45</f>
        <v>2045862</v>
      </c>
    </row>
    <row r="46" spans="1:19">
      <c r="A46" t="s">
        <v>1500</v>
      </c>
      <c r="B46" s="89">
        <v>0</v>
      </c>
      <c r="C46" s="90">
        <v>0</v>
      </c>
      <c r="D46" s="91">
        <v>0</v>
      </c>
      <c r="E46" s="90">
        <v>0</v>
      </c>
      <c r="F46" s="90">
        <v>0</v>
      </c>
      <c r="G46" s="92"/>
      <c r="H46" s="101"/>
      <c r="K46" t="s">
        <v>1576</v>
      </c>
      <c r="L46" s="89">
        <v>66071</v>
      </c>
      <c r="M46" s="90">
        <v>9901</v>
      </c>
      <c r="N46" s="91">
        <v>22287</v>
      </c>
      <c r="O46" s="90">
        <v>32537</v>
      </c>
      <c r="P46" s="91">
        <v>11974</v>
      </c>
      <c r="Q46" s="90"/>
      <c r="R46" s="43"/>
      <c r="S46" s="43">
        <f>P46+R46</f>
        <v>11974</v>
      </c>
    </row>
    <row r="47" spans="1:19">
      <c r="A47" t="s">
        <v>1501</v>
      </c>
      <c r="B47" s="89">
        <f>370791-121073</f>
        <v>249718</v>
      </c>
      <c r="C47" s="90">
        <f>-243789+74331</f>
        <v>-169458</v>
      </c>
      <c r="D47" s="91">
        <v>58888</v>
      </c>
      <c r="E47" s="90">
        <v>242039</v>
      </c>
      <c r="F47" s="90">
        <v>143125</v>
      </c>
      <c r="G47" s="92"/>
      <c r="H47" s="101"/>
      <c r="K47" t="s">
        <v>1577</v>
      </c>
      <c r="L47" s="89">
        <v>59417</v>
      </c>
      <c r="M47" s="90">
        <v>5064</v>
      </c>
      <c r="N47" s="91">
        <v>353</v>
      </c>
      <c r="O47" s="90">
        <v>353</v>
      </c>
      <c r="P47" s="91">
        <v>143935</v>
      </c>
      <c r="Q47" s="90"/>
      <c r="R47" s="43"/>
      <c r="S47" s="43">
        <f>P47+R47</f>
        <v>143935</v>
      </c>
    </row>
    <row r="48" spans="1:19">
      <c r="B48" s="93">
        <v>0</v>
      </c>
      <c r="C48" s="94">
        <v>0</v>
      </c>
      <c r="D48" s="95">
        <v>0</v>
      </c>
      <c r="E48" s="94">
        <v>0</v>
      </c>
      <c r="F48" s="94">
        <v>0</v>
      </c>
      <c r="G48" s="92"/>
      <c r="H48" s="101"/>
      <c r="K48" t="s">
        <v>1578</v>
      </c>
      <c r="L48" s="93">
        <v>0</v>
      </c>
      <c r="M48" s="94">
        <v>0</v>
      </c>
      <c r="N48" s="95">
        <v>0</v>
      </c>
      <c r="O48" s="94">
        <v>0</v>
      </c>
      <c r="P48" s="95">
        <v>442662</v>
      </c>
      <c r="Q48" s="94"/>
      <c r="R48" s="43"/>
      <c r="S48" s="43">
        <f>P48+R48</f>
        <v>442662</v>
      </c>
    </row>
    <row r="49" spans="1:19">
      <c r="B49" s="43"/>
      <c r="C49" s="43"/>
      <c r="D49" s="43"/>
      <c r="E49" s="43"/>
      <c r="F49" s="43"/>
      <c r="G49" s="92"/>
      <c r="H49" s="126"/>
      <c r="R49" s="43"/>
      <c r="S49" s="43"/>
    </row>
    <row r="50" spans="1:19">
      <c r="A50" s="24" t="s">
        <v>1502</v>
      </c>
      <c r="B50" s="83">
        <f t="shared" ref="B50:F50" si="15">SUM(B51:B62)</f>
        <v>-663697</v>
      </c>
      <c r="C50" s="83">
        <f t="shared" si="15"/>
        <v>-238038</v>
      </c>
      <c r="D50" s="83">
        <f t="shared" si="15"/>
        <v>-7092</v>
      </c>
      <c r="E50" s="83">
        <f t="shared" si="15"/>
        <v>-66087</v>
      </c>
      <c r="F50" s="83">
        <f t="shared" si="15"/>
        <v>-1107856</v>
      </c>
      <c r="G50" s="96"/>
      <c r="H50" s="96"/>
      <c r="L50" s="43"/>
      <c r="M50" s="43"/>
      <c r="N50" s="43"/>
      <c r="O50" s="43"/>
      <c r="P50" s="43"/>
      <c r="Q50" s="43"/>
      <c r="R50" s="43"/>
      <c r="S50" s="43"/>
    </row>
    <row r="51" spans="1:19">
      <c r="A51" t="s">
        <v>1503</v>
      </c>
      <c r="B51" s="85">
        <v>0</v>
      </c>
      <c r="C51" s="86">
        <v>-200000</v>
      </c>
      <c r="D51" s="86">
        <v>8800</v>
      </c>
      <c r="E51" s="85">
        <v>200000</v>
      </c>
      <c r="F51" s="85">
        <v>0</v>
      </c>
      <c r="G51" s="92"/>
      <c r="H51" s="101"/>
      <c r="K51" s="24" t="s">
        <v>1579</v>
      </c>
      <c r="L51" s="92">
        <f t="shared" ref="L51:S51" si="16">SUM(L44:L48)</f>
        <v>1415175</v>
      </c>
      <c r="M51" s="92">
        <f t="shared" si="16"/>
        <v>1175363</v>
      </c>
      <c r="N51" s="92">
        <f t="shared" si="16"/>
        <v>1178385</v>
      </c>
      <c r="O51" s="92">
        <f t="shared" si="16"/>
        <v>1430674</v>
      </c>
      <c r="P51" s="92">
        <f t="shared" si="16"/>
        <v>2139480</v>
      </c>
      <c r="Q51" s="92">
        <f t="shared" si="16"/>
        <v>667567</v>
      </c>
      <c r="R51" s="92">
        <f t="shared" si="16"/>
        <v>625746</v>
      </c>
      <c r="S51" s="92">
        <f t="shared" si="16"/>
        <v>2765226</v>
      </c>
    </row>
    <row r="52" spans="1:19">
      <c r="A52" t="s">
        <v>1504</v>
      </c>
      <c r="B52" s="90">
        <v>-279283</v>
      </c>
      <c r="C52" s="91">
        <v>-16436</v>
      </c>
      <c r="D52" s="91">
        <v>-99441</v>
      </c>
      <c r="E52" s="90">
        <v>-82512</v>
      </c>
      <c r="F52" s="90">
        <v>-4781734</v>
      </c>
      <c r="G52" s="92"/>
      <c r="H52" s="101"/>
      <c r="L52" s="43"/>
      <c r="M52" s="43"/>
      <c r="N52" s="43"/>
      <c r="O52" s="43"/>
      <c r="P52" s="43"/>
      <c r="Q52" s="43"/>
      <c r="R52" s="43"/>
      <c r="S52" s="43"/>
    </row>
    <row r="53" spans="1:19">
      <c r="A53" t="s">
        <v>1505</v>
      </c>
      <c r="B53" s="90">
        <v>0</v>
      </c>
      <c r="C53" s="91">
        <v>75000</v>
      </c>
      <c r="D53" s="91">
        <v>101000</v>
      </c>
      <c r="E53" s="90">
        <v>139898</v>
      </c>
      <c r="F53" s="90">
        <v>188883</v>
      </c>
      <c r="G53" s="92"/>
      <c r="H53" s="101"/>
      <c r="K53" s="24" t="s">
        <v>1580</v>
      </c>
      <c r="L53" s="43"/>
      <c r="M53" s="43"/>
      <c r="N53" s="43"/>
      <c r="O53" s="43"/>
      <c r="P53" s="43"/>
      <c r="Q53" s="43"/>
      <c r="R53" s="43"/>
      <c r="S53" s="43"/>
    </row>
    <row r="54" spans="1:19">
      <c r="A54" t="s">
        <v>1506</v>
      </c>
      <c r="B54" s="90">
        <v>0</v>
      </c>
      <c r="C54" s="91">
        <v>0</v>
      </c>
      <c r="D54" s="91">
        <v>0</v>
      </c>
      <c r="E54" s="90">
        <v>1287</v>
      </c>
      <c r="F54" s="90">
        <v>0</v>
      </c>
      <c r="G54" s="92"/>
      <c r="H54" s="101"/>
      <c r="L54" s="43"/>
      <c r="M54" s="43"/>
      <c r="N54" s="43"/>
      <c r="O54" s="43"/>
      <c r="P54" s="43"/>
      <c r="Q54" s="43"/>
      <c r="R54" s="43"/>
      <c r="S54" s="43"/>
    </row>
    <row r="55" spans="1:19">
      <c r="B55" s="90"/>
      <c r="C55" s="91"/>
      <c r="D55" s="91"/>
      <c r="E55" s="90"/>
      <c r="F55" s="90"/>
      <c r="G55" s="92"/>
      <c r="H55" s="101"/>
      <c r="K55" t="s">
        <v>1581</v>
      </c>
      <c r="L55" s="84">
        <v>0</v>
      </c>
      <c r="M55" s="85">
        <v>59738</v>
      </c>
      <c r="N55" s="87">
        <v>129257</v>
      </c>
      <c r="O55" s="85">
        <v>114636</v>
      </c>
      <c r="P55" s="86">
        <v>66937</v>
      </c>
      <c r="Q55" s="85">
        <v>105141</v>
      </c>
      <c r="R55" s="43">
        <v>99882</v>
      </c>
      <c r="S55" s="43"/>
    </row>
    <row r="56" spans="1:19">
      <c r="A56" s="97" t="s">
        <v>1507</v>
      </c>
      <c r="B56" s="90">
        <v>-373500</v>
      </c>
      <c r="C56" s="90">
        <v>0</v>
      </c>
      <c r="D56" s="90">
        <v>0</v>
      </c>
      <c r="E56" s="90">
        <v>-200000</v>
      </c>
      <c r="F56" s="90">
        <v>-200000</v>
      </c>
      <c r="G56" s="92"/>
      <c r="H56" s="101"/>
      <c r="K56" t="s">
        <v>1582</v>
      </c>
      <c r="L56" s="89"/>
      <c r="M56" s="90"/>
      <c r="N56" s="92"/>
      <c r="O56" s="90">
        <v>0</v>
      </c>
      <c r="P56" s="91">
        <v>3207338</v>
      </c>
      <c r="Q56" s="90">
        <v>3207800</v>
      </c>
      <c r="R56" s="43">
        <v>3179420</v>
      </c>
      <c r="S56" s="43"/>
    </row>
    <row r="57" spans="1:19">
      <c r="A57" s="98" t="s">
        <v>1508</v>
      </c>
      <c r="B57" s="90">
        <v>-1985</v>
      </c>
      <c r="C57" s="91">
        <v>-6882</v>
      </c>
      <c r="D57" s="91">
        <v>-2856</v>
      </c>
      <c r="E57" s="90">
        <v>-5201</v>
      </c>
      <c r="F57" s="90">
        <v>-12843</v>
      </c>
      <c r="G57" s="92"/>
      <c r="H57" s="101"/>
      <c r="L57" s="93"/>
      <c r="M57" s="94"/>
      <c r="N57" s="44"/>
      <c r="O57" s="94"/>
      <c r="P57" s="95"/>
      <c r="Q57" s="94"/>
      <c r="R57" s="43"/>
      <c r="S57" s="43">
        <f>P57+R57</f>
        <v>0</v>
      </c>
    </row>
    <row r="58" spans="1:19">
      <c r="A58" s="98" t="s">
        <v>1509</v>
      </c>
      <c r="B58" s="90">
        <v>-8929</v>
      </c>
      <c r="C58" s="91">
        <v>-89720</v>
      </c>
      <c r="D58" s="91">
        <v>-14595</v>
      </c>
      <c r="E58" s="90">
        <v>-119559</v>
      </c>
      <c r="F58" s="90">
        <v>-152162</v>
      </c>
      <c r="G58" s="92"/>
      <c r="H58" s="101"/>
      <c r="L58" s="43"/>
      <c r="M58" s="43"/>
      <c r="N58" s="43"/>
      <c r="O58" s="43"/>
      <c r="P58" s="43"/>
      <c r="Q58" s="43"/>
      <c r="R58" s="43"/>
      <c r="S58" s="43">
        <f>N58+R58</f>
        <v>0</v>
      </c>
    </row>
    <row r="59" spans="1:19">
      <c r="A59" s="98" t="s">
        <v>1510</v>
      </c>
      <c r="B59" s="90">
        <v>0</v>
      </c>
      <c r="C59" s="91">
        <v>0</v>
      </c>
      <c r="D59" s="91">
        <v>0</v>
      </c>
      <c r="E59" s="90">
        <v>0</v>
      </c>
      <c r="F59" s="90">
        <v>200000</v>
      </c>
      <c r="G59" s="92"/>
      <c r="H59" s="101"/>
      <c r="K59" s="24" t="s">
        <v>1583</v>
      </c>
      <c r="L59" s="83">
        <f>SUM(L55:L57)</f>
        <v>0</v>
      </c>
      <c r="M59" s="83">
        <f t="shared" ref="M59:S59" si="17">SUM(M55:M57)</f>
        <v>59738</v>
      </c>
      <c r="N59" s="83">
        <f t="shared" si="17"/>
        <v>129257</v>
      </c>
      <c r="O59" s="83">
        <f t="shared" si="17"/>
        <v>114636</v>
      </c>
      <c r="P59" s="83">
        <f t="shared" si="17"/>
        <v>3274275</v>
      </c>
      <c r="Q59" s="83">
        <f>SUM(Q55:Q57)</f>
        <v>3312941</v>
      </c>
      <c r="R59" s="83">
        <f t="shared" si="17"/>
        <v>3279302</v>
      </c>
      <c r="S59" s="83">
        <f t="shared" si="17"/>
        <v>0</v>
      </c>
    </row>
    <row r="60" spans="1:19">
      <c r="A60" s="98" t="s">
        <v>1511</v>
      </c>
      <c r="B60" s="89">
        <v>0</v>
      </c>
      <c r="C60" s="90">
        <v>0</v>
      </c>
      <c r="D60" s="92">
        <v>0</v>
      </c>
      <c r="E60" s="90">
        <v>0</v>
      </c>
      <c r="F60" s="90">
        <v>3650000</v>
      </c>
      <c r="G60" s="92"/>
      <c r="H60" s="101"/>
      <c r="L60" s="43"/>
      <c r="M60" s="43"/>
      <c r="N60" s="43"/>
      <c r="O60" s="43"/>
      <c r="P60" s="43"/>
      <c r="Q60" s="43"/>
      <c r="R60" s="43"/>
      <c r="S60" s="43"/>
    </row>
    <row r="61" spans="1:19">
      <c r="A61" s="98"/>
      <c r="B61" s="89">
        <v>0</v>
      </c>
      <c r="C61" s="90">
        <v>0</v>
      </c>
      <c r="D61" s="92">
        <v>0</v>
      </c>
      <c r="E61" s="90">
        <v>0</v>
      </c>
      <c r="F61" s="90"/>
      <c r="G61" s="92"/>
      <c r="H61" s="101"/>
      <c r="K61" s="24" t="s">
        <v>1584</v>
      </c>
      <c r="L61" s="83">
        <f>L59+L51</f>
        <v>1415175</v>
      </c>
      <c r="M61" s="83">
        <f t="shared" ref="M61:S61" si="18">M59+M51</f>
        <v>1235101</v>
      </c>
      <c r="N61" s="83">
        <f t="shared" si="18"/>
        <v>1307642</v>
      </c>
      <c r="O61" s="83">
        <f t="shared" si="18"/>
        <v>1545310</v>
      </c>
      <c r="P61" s="83">
        <f t="shared" si="18"/>
        <v>5413755</v>
      </c>
      <c r="Q61" s="83">
        <f>Q59+Q51</f>
        <v>3980508</v>
      </c>
      <c r="R61" s="83">
        <f t="shared" si="18"/>
        <v>3905048</v>
      </c>
      <c r="S61" s="83">
        <f t="shared" si="18"/>
        <v>2765226</v>
      </c>
    </row>
    <row r="62" spans="1:19">
      <c r="A62" s="98"/>
      <c r="B62" s="99"/>
      <c r="C62" s="99"/>
      <c r="D62" s="99"/>
      <c r="E62" s="99"/>
      <c r="F62" s="100"/>
      <c r="G62" s="126"/>
      <c r="H62" s="101"/>
      <c r="K62" s="24"/>
      <c r="L62" s="83"/>
      <c r="M62" s="83"/>
      <c r="N62" s="83"/>
      <c r="O62" s="83"/>
      <c r="P62" s="83"/>
      <c r="Q62" s="83"/>
      <c r="R62" s="83"/>
      <c r="S62" s="83"/>
    </row>
    <row r="63" spans="1:19">
      <c r="G63" s="126"/>
      <c r="H63" s="126"/>
      <c r="K63" s="24" t="s">
        <v>1585</v>
      </c>
      <c r="L63" s="83"/>
      <c r="M63" s="83"/>
      <c r="N63" s="83"/>
      <c r="O63" s="83">
        <v>0</v>
      </c>
      <c r="P63" s="83">
        <v>0</v>
      </c>
      <c r="Q63" s="83">
        <v>0</v>
      </c>
      <c r="R63" s="83"/>
      <c r="S63" s="83">
        <v>0</v>
      </c>
    </row>
    <row r="64" spans="1:19">
      <c r="B64" s="92"/>
      <c r="C64" s="92"/>
      <c r="D64" s="92"/>
      <c r="E64" s="92"/>
      <c r="F64" s="92"/>
      <c r="G64" s="92"/>
      <c r="H64" s="126"/>
      <c r="L64" s="43"/>
      <c r="M64" s="43"/>
      <c r="N64" s="43"/>
      <c r="O64" s="43"/>
      <c r="P64" s="43"/>
      <c r="Q64" s="43"/>
      <c r="R64" s="43"/>
      <c r="S64" s="43"/>
    </row>
    <row r="65" spans="1:19">
      <c r="A65" s="24" t="s">
        <v>2512</v>
      </c>
      <c r="B65" s="43">
        <f t="shared" ref="B65:F65" si="19">B21+SUM(B28:B34)+B42+B50-B32</f>
        <v>-41699</v>
      </c>
      <c r="C65" s="43">
        <f t="shared" si="19"/>
        <v>-149815</v>
      </c>
      <c r="D65" s="43">
        <f t="shared" si="19"/>
        <v>120134</v>
      </c>
      <c r="E65" s="43">
        <f t="shared" si="19"/>
        <v>199064</v>
      </c>
      <c r="F65" s="43">
        <f t="shared" si="19"/>
        <v>-453300</v>
      </c>
      <c r="G65" s="92"/>
      <c r="H65" s="101"/>
      <c r="K65" s="24" t="s">
        <v>1586</v>
      </c>
      <c r="L65" s="83">
        <f>L40-L61+L63</f>
        <v>409375</v>
      </c>
      <c r="M65" s="83">
        <f t="shared" ref="M65:S65" si="20">M40-M61+M63</f>
        <v>474538</v>
      </c>
      <c r="N65" s="83">
        <f t="shared" si="20"/>
        <v>558710</v>
      </c>
      <c r="O65" s="83">
        <f t="shared" si="20"/>
        <v>467583</v>
      </c>
      <c r="P65" s="83">
        <f t="shared" si="20"/>
        <v>1259535</v>
      </c>
      <c r="Q65" s="83">
        <f>Q40-Q61+Q63</f>
        <v>2557459</v>
      </c>
      <c r="R65" s="83">
        <f t="shared" si="20"/>
        <v>2350185</v>
      </c>
      <c r="S65" s="83">
        <f t="shared" si="20"/>
        <v>9176888</v>
      </c>
    </row>
    <row r="66" spans="1:19">
      <c r="A66" s="24" t="s">
        <v>2511</v>
      </c>
      <c r="B66" s="43">
        <f t="shared" ref="B66:F66" si="21">B65-B56</f>
        <v>331801</v>
      </c>
      <c r="C66" s="43">
        <f t="shared" si="21"/>
        <v>-149815</v>
      </c>
      <c r="D66" s="43">
        <f t="shared" si="21"/>
        <v>120134</v>
      </c>
      <c r="E66" s="43">
        <f t="shared" si="21"/>
        <v>399064</v>
      </c>
      <c r="F66" s="43">
        <f t="shared" si="21"/>
        <v>-253300</v>
      </c>
      <c r="G66" s="92"/>
      <c r="H66" s="92"/>
      <c r="K66" s="24" t="s">
        <v>1587</v>
      </c>
      <c r="L66" s="43">
        <f>L65+L48</f>
        <v>409375</v>
      </c>
      <c r="M66" s="43">
        <f t="shared" ref="M66:S66" si="22">M65+M48</f>
        <v>474538</v>
      </c>
      <c r="N66" s="43">
        <f t="shared" si="22"/>
        <v>558710</v>
      </c>
      <c r="O66" s="43">
        <f t="shared" si="22"/>
        <v>467583</v>
      </c>
      <c r="P66" s="43">
        <f t="shared" si="22"/>
        <v>1702197</v>
      </c>
      <c r="Q66" s="43">
        <f>Q65+Q48</f>
        <v>2557459</v>
      </c>
      <c r="R66" s="43">
        <f t="shared" si="22"/>
        <v>2350185</v>
      </c>
      <c r="S66" s="43">
        <f t="shared" si="22"/>
        <v>9619550</v>
      </c>
    </row>
    <row r="67" spans="1:19">
      <c r="A67" t="s">
        <v>1512</v>
      </c>
      <c r="G67" s="126"/>
      <c r="H67" s="126"/>
      <c r="K67" t="s">
        <v>1588</v>
      </c>
    </row>
    <row r="68" spans="1:19">
      <c r="G68" s="126"/>
      <c r="H68" s="126"/>
    </row>
    <row r="69" spans="1:19">
      <c r="A69" t="s">
        <v>1513</v>
      </c>
      <c r="B69" s="46">
        <f t="shared" ref="B69:F69" si="23">B21</f>
        <v>688154</v>
      </c>
      <c r="C69" s="46">
        <f t="shared" si="23"/>
        <v>65163</v>
      </c>
      <c r="D69" s="46">
        <f t="shared" si="23"/>
        <v>84172</v>
      </c>
      <c r="E69" s="46">
        <f t="shared" si="23"/>
        <v>117579</v>
      </c>
      <c r="F69" s="46">
        <f t="shared" si="23"/>
        <v>941165</v>
      </c>
      <c r="G69" s="298"/>
      <c r="H69" s="101"/>
      <c r="K69" t="s">
        <v>1589</v>
      </c>
    </row>
    <row r="70" spans="1:19">
      <c r="A70" s="102"/>
      <c r="B70" s="102"/>
      <c r="C70" s="102"/>
      <c r="D70" s="103"/>
      <c r="E70" s="305"/>
      <c r="F70" s="305"/>
      <c r="G70" s="104"/>
      <c r="H70" s="105"/>
      <c r="K70" t="s">
        <v>1590</v>
      </c>
    </row>
    <row r="71" spans="1:19">
      <c r="A71" s="79" t="s">
        <v>1514</v>
      </c>
    </row>
    <row r="72" spans="1:19">
      <c r="A72" t="s">
        <v>1485</v>
      </c>
      <c r="B72" s="46">
        <f>B25</f>
        <v>631324</v>
      </c>
      <c r="C72" s="46">
        <f t="shared" ref="C72:F72" si="24">C25</f>
        <v>65163</v>
      </c>
      <c r="D72" s="46">
        <f t="shared" si="24"/>
        <v>84172</v>
      </c>
      <c r="E72" s="46">
        <f t="shared" si="24"/>
        <v>108873</v>
      </c>
      <c r="F72" s="46">
        <f t="shared" si="24"/>
        <v>791952</v>
      </c>
      <c r="G72" s="46"/>
      <c r="H72" s="46"/>
    </row>
    <row r="73" spans="1:19">
      <c r="A73" t="s">
        <v>1515</v>
      </c>
      <c r="B73" s="46">
        <f>B56</f>
        <v>-373500</v>
      </c>
      <c r="C73" s="46">
        <f t="shared" ref="C73:F73" si="25">C56</f>
        <v>0</v>
      </c>
      <c r="D73" s="46">
        <f t="shared" si="25"/>
        <v>0</v>
      </c>
      <c r="E73" s="46">
        <f t="shared" si="25"/>
        <v>-200000</v>
      </c>
      <c r="F73" s="46">
        <f t="shared" si="25"/>
        <v>-200000</v>
      </c>
      <c r="G73" s="46"/>
      <c r="H73" s="46"/>
    </row>
    <row r="74" spans="1:19">
      <c r="A74" t="s">
        <v>2600</v>
      </c>
      <c r="B74" s="59">
        <f>-B73/B72</f>
        <v>0.59161381477656483</v>
      </c>
      <c r="C74" s="59">
        <f t="shared" ref="C74:F74" si="26">-C73/C72</f>
        <v>0</v>
      </c>
      <c r="D74" s="59">
        <f t="shared" si="26"/>
        <v>0</v>
      </c>
      <c r="E74" s="59">
        <f t="shared" si="26"/>
        <v>1.8370027463191057</v>
      </c>
      <c r="F74" s="59">
        <f t="shared" si="26"/>
        <v>0.25254055801361697</v>
      </c>
      <c r="G74" s="46"/>
      <c r="H74" s="46"/>
    </row>
    <row r="75" spans="1:19">
      <c r="A75" s="12" t="s">
        <v>2601</v>
      </c>
      <c r="B75" s="276">
        <f>1-B74</f>
        <v>0.40838618522343517</v>
      </c>
      <c r="C75" s="276">
        <f t="shared" ref="C75:F75" si="27">1-C74</f>
        <v>1</v>
      </c>
      <c r="D75" s="276">
        <f t="shared" si="27"/>
        <v>1</v>
      </c>
      <c r="E75" s="276">
        <f t="shared" si="27"/>
        <v>-0.83700274631910565</v>
      </c>
      <c r="F75" s="276">
        <f t="shared" si="27"/>
        <v>0.74745944198638303</v>
      </c>
      <c r="G75" s="106"/>
      <c r="H75" s="106"/>
    </row>
    <row r="76" spans="1:19" ht="15.6">
      <c r="A76" t="s">
        <v>2602</v>
      </c>
      <c r="B76" s="227">
        <f>B72/L65</f>
        <v>1.5421654961832061</v>
      </c>
      <c r="C76" s="227">
        <f t="shared" ref="C76:F76" si="28">C72/M65</f>
        <v>0.1373188237822893</v>
      </c>
      <c r="D76" s="227">
        <f t="shared" si="28"/>
        <v>0.15065418553453491</v>
      </c>
      <c r="E76" s="227">
        <f t="shared" si="28"/>
        <v>0.23284208365145867</v>
      </c>
      <c r="F76" s="227">
        <f t="shared" si="28"/>
        <v>0.62876537769891272</v>
      </c>
      <c r="G76" s="35"/>
      <c r="H76" s="35"/>
      <c r="K76" s="275"/>
    </row>
    <row r="77" spans="1:19" ht="15.6">
      <c r="A77" t="s">
        <v>2603</v>
      </c>
      <c r="B77" s="227">
        <f>B76*B75</f>
        <v>0.6297990839694656</v>
      </c>
      <c r="C77" s="227">
        <f t="shared" ref="C77:F77" si="29">C76*C75</f>
        <v>0.1373188237822893</v>
      </c>
      <c r="D77" s="227">
        <f t="shared" si="29"/>
        <v>0.15065418553453491</v>
      </c>
      <c r="E77" s="227">
        <f t="shared" si="29"/>
        <v>-0.19488946347493383</v>
      </c>
      <c r="F77" s="227">
        <f t="shared" si="29"/>
        <v>0.46997661835518667</v>
      </c>
      <c r="G77" s="277">
        <f>AVERAGE(B77:F77)</f>
        <v>0.23857184963330855</v>
      </c>
      <c r="H77" s="62" t="s">
        <v>1279</v>
      </c>
      <c r="K77" s="275"/>
    </row>
    <row r="78" spans="1:19" ht="15.6">
      <c r="A78" t="s">
        <v>1516</v>
      </c>
      <c r="B78" s="43">
        <f>L65</f>
        <v>409375</v>
      </c>
      <c r="C78" s="43">
        <f>M65</f>
        <v>474538</v>
      </c>
      <c r="D78" s="43">
        <f>N65</f>
        <v>558710</v>
      </c>
      <c r="E78" s="43">
        <f>O65</f>
        <v>467583</v>
      </c>
      <c r="F78" s="43">
        <f>P65</f>
        <v>1259535</v>
      </c>
      <c r="K78" s="275"/>
    </row>
    <row r="79" spans="1:19" ht="15.6">
      <c r="G79" s="43"/>
      <c r="H79" s="43"/>
      <c r="K79" s="275"/>
    </row>
    <row r="81" spans="1:8">
      <c r="A81" s="278" t="s">
        <v>2373</v>
      </c>
    </row>
    <row r="82" spans="1:8" ht="30.6" customHeight="1">
      <c r="A82" s="310" t="s">
        <v>2604</v>
      </c>
      <c r="B82" s="310"/>
      <c r="C82" s="310"/>
      <c r="D82" s="310"/>
      <c r="E82" s="310"/>
      <c r="F82" s="310"/>
      <c r="G82" s="310"/>
    </row>
    <row r="84" spans="1:8">
      <c r="F84" s="306"/>
      <c r="G84" s="306" t="s">
        <v>1474</v>
      </c>
    </row>
    <row r="85" spans="1:8">
      <c r="B85" s="307" t="s">
        <v>1475</v>
      </c>
      <c r="C85" s="307"/>
      <c r="D85" s="307"/>
      <c r="E85" s="307"/>
      <c r="F85" s="306"/>
      <c r="G85" s="306"/>
      <c r="H85" s="52" t="s">
        <v>1517</v>
      </c>
    </row>
    <row r="86" spans="1:8">
      <c r="A86" s="24" t="s">
        <v>1476</v>
      </c>
      <c r="B86" s="81">
        <v>2016</v>
      </c>
      <c r="C86" s="81">
        <v>2017</v>
      </c>
      <c r="D86" s="81">
        <v>2018</v>
      </c>
      <c r="E86" s="81">
        <v>2019</v>
      </c>
      <c r="F86" s="81">
        <v>2020</v>
      </c>
      <c r="G86" s="82">
        <v>44561</v>
      </c>
      <c r="H86" s="81" t="s">
        <v>1455</v>
      </c>
    </row>
    <row r="87" spans="1:8">
      <c r="A87" t="s">
        <v>1518</v>
      </c>
      <c r="B87" s="43">
        <v>867671</v>
      </c>
      <c r="C87" s="43">
        <v>1043856</v>
      </c>
      <c r="D87" s="43">
        <v>986753</v>
      </c>
      <c r="E87" s="43">
        <v>1027409</v>
      </c>
      <c r="F87" s="43">
        <v>1329187</v>
      </c>
      <c r="G87" s="43">
        <v>913419</v>
      </c>
    </row>
    <row r="88" spans="1:8">
      <c r="A88" t="s">
        <v>1519</v>
      </c>
      <c r="B88" s="43">
        <v>9600</v>
      </c>
      <c r="C88" s="43">
        <v>17328</v>
      </c>
      <c r="D88" s="43">
        <v>8926</v>
      </c>
      <c r="E88" s="43">
        <v>16576</v>
      </c>
      <c r="F88" s="43">
        <v>7976</v>
      </c>
      <c r="G88" s="43">
        <v>4376</v>
      </c>
    </row>
    <row r="89" spans="1:8">
      <c r="A89" t="s">
        <v>1520</v>
      </c>
      <c r="B89" s="43">
        <v>68957</v>
      </c>
      <c r="C89" s="43">
        <v>74725</v>
      </c>
      <c r="D89" s="43">
        <v>96403</v>
      </c>
      <c r="E89" s="43">
        <v>73338</v>
      </c>
      <c r="F89" s="43">
        <v>302404</v>
      </c>
      <c r="G89" s="43">
        <v>504692</v>
      </c>
    </row>
    <row r="90" spans="1:8">
      <c r="A90" t="s">
        <v>1521</v>
      </c>
      <c r="B90" s="43">
        <v>4466</v>
      </c>
      <c r="C90" s="43">
        <v>8748</v>
      </c>
      <c r="D90" s="43">
        <v>4464</v>
      </c>
      <c r="E90" s="43">
        <v>7014</v>
      </c>
      <c r="F90" s="43">
        <v>13809</v>
      </c>
      <c r="G90" s="43">
        <v>53313</v>
      </c>
    </row>
    <row r="91" spans="1:8">
      <c r="A91" t="s">
        <v>1522</v>
      </c>
      <c r="B91" s="43">
        <f>SUM(B87:B90)</f>
        <v>950694</v>
      </c>
      <c r="C91" s="43">
        <f t="shared" ref="C91:H91" si="30">SUM(C87:C90)</f>
        <v>1144657</v>
      </c>
      <c r="D91" s="43">
        <f t="shared" si="30"/>
        <v>1096546</v>
      </c>
      <c r="E91" s="43">
        <f t="shared" si="30"/>
        <v>1124337</v>
      </c>
      <c r="F91" s="43">
        <f t="shared" si="30"/>
        <v>1653376</v>
      </c>
      <c r="G91" s="43">
        <f t="shared" si="30"/>
        <v>1475800</v>
      </c>
      <c r="H91" s="43">
        <f t="shared" si="30"/>
        <v>0</v>
      </c>
    </row>
    <row r="93" spans="1:8">
      <c r="A93" t="s">
        <v>1523</v>
      </c>
      <c r="B93" s="43"/>
      <c r="C93" s="43"/>
      <c r="D93" s="43"/>
      <c r="E93" s="43"/>
      <c r="F93" s="43"/>
      <c r="H93" s="43"/>
    </row>
    <row r="94" spans="1:8">
      <c r="A94" s="24" t="s">
        <v>1524</v>
      </c>
      <c r="B94" s="43"/>
      <c r="C94" s="43"/>
      <c r="D94" s="43"/>
      <c r="E94" s="43"/>
      <c r="F94" s="43"/>
      <c r="H94" s="43"/>
    </row>
    <row r="95" spans="1:8">
      <c r="A95" t="s">
        <v>1525</v>
      </c>
      <c r="B95" s="43"/>
      <c r="C95" s="43"/>
      <c r="D95" s="43"/>
      <c r="E95" s="43"/>
      <c r="F95" s="43"/>
      <c r="G95" s="43">
        <f>9015+25823+1409+6110</f>
        <v>42357</v>
      </c>
      <c r="H95" s="43"/>
    </row>
    <row r="96" spans="1:8">
      <c r="A96" t="s">
        <v>1526</v>
      </c>
      <c r="B96" s="43"/>
      <c r="C96" s="43"/>
      <c r="D96" s="43"/>
      <c r="E96" s="43"/>
      <c r="F96" s="43"/>
      <c r="G96" s="43">
        <f>854992+157295+1147+89607</f>
        <v>1103041</v>
      </c>
      <c r="H96" s="43"/>
    </row>
    <row r="97" spans="1:8">
      <c r="A97" t="s">
        <v>1527</v>
      </c>
      <c r="B97" s="43"/>
      <c r="C97" s="43"/>
      <c r="D97" s="43"/>
      <c r="E97" s="43"/>
      <c r="F97" s="43"/>
      <c r="G97" s="43">
        <f>4046+11946</f>
        <v>15992</v>
      </c>
      <c r="H97" s="43"/>
    </row>
    <row r="98" spans="1:8">
      <c r="A98" t="s">
        <v>1528</v>
      </c>
      <c r="B98" s="43"/>
      <c r="C98" s="43"/>
      <c r="D98" s="43"/>
      <c r="E98" s="43"/>
      <c r="F98" s="43"/>
      <c r="G98" s="43">
        <f>160+120</f>
        <v>280</v>
      </c>
      <c r="H98" s="43"/>
    </row>
    <row r="99" spans="1:8">
      <c r="B99" s="43"/>
      <c r="C99" s="43"/>
      <c r="D99" s="43"/>
      <c r="E99" s="43"/>
      <c r="F99" s="43"/>
      <c r="G99" s="107">
        <f>SUM(G95:G98)</f>
        <v>1161670</v>
      </c>
      <c r="H99" s="43"/>
    </row>
    <row r="100" spans="1:8">
      <c r="B100" s="43"/>
      <c r="C100" s="43"/>
      <c r="D100" s="43"/>
      <c r="E100" s="43"/>
      <c r="F100" s="43"/>
      <c r="G100" s="43"/>
      <c r="H100" s="43"/>
    </row>
    <row r="101" spans="1:8">
      <c r="A101" s="24" t="s">
        <v>1529</v>
      </c>
      <c r="B101" s="43"/>
      <c r="C101" s="43"/>
      <c r="D101" s="43"/>
      <c r="E101" s="43"/>
      <c r="F101" s="43"/>
      <c r="G101" s="43"/>
      <c r="H101" s="43"/>
    </row>
    <row r="102" spans="1:8">
      <c r="A102" t="s">
        <v>1530</v>
      </c>
      <c r="B102" s="43"/>
      <c r="C102" s="43"/>
      <c r="D102" s="43"/>
      <c r="E102" s="43"/>
      <c r="F102" s="43"/>
      <c r="G102" s="43">
        <v>1200</v>
      </c>
      <c r="H102" s="43"/>
    </row>
    <row r="103" spans="1:8">
      <c r="A103" t="s">
        <v>1531</v>
      </c>
      <c r="B103" s="43"/>
      <c r="C103" s="43"/>
      <c r="D103" s="43"/>
      <c r="E103" s="43"/>
      <c r="F103" s="43"/>
      <c r="G103" s="43">
        <f>10833+1840+27268</f>
        <v>39941</v>
      </c>
      <c r="H103" s="43"/>
    </row>
    <row r="104" spans="1:8">
      <c r="A104" t="s">
        <v>1532</v>
      </c>
      <c r="B104" s="43"/>
      <c r="C104" s="43"/>
      <c r="D104" s="43"/>
      <c r="E104" s="43"/>
      <c r="F104" s="43"/>
      <c r="G104" s="43">
        <f>79274+6447</f>
        <v>85721</v>
      </c>
      <c r="H104" s="43"/>
    </row>
    <row r="105" spans="1:8">
      <c r="A105" t="s">
        <v>1533</v>
      </c>
      <c r="B105" s="43"/>
      <c r="C105" s="43"/>
      <c r="D105" s="43"/>
      <c r="E105" s="43"/>
      <c r="F105" s="43"/>
      <c r="G105" s="43">
        <f>3+15+480+5</f>
        <v>503</v>
      </c>
    </row>
    <row r="106" spans="1:8">
      <c r="A106" t="s">
        <v>1534</v>
      </c>
      <c r="B106" s="43"/>
      <c r="C106" s="43"/>
      <c r="D106" s="43"/>
      <c r="E106" s="43"/>
      <c r="F106" s="43"/>
      <c r="G106" s="43">
        <f>31963</f>
        <v>31963</v>
      </c>
    </row>
    <row r="107" spans="1:8">
      <c r="A107" t="s">
        <v>1535</v>
      </c>
      <c r="B107" s="43"/>
      <c r="C107" s="43"/>
      <c r="D107" s="43"/>
      <c r="E107" s="43"/>
      <c r="F107" s="43"/>
      <c r="G107" s="43">
        <v>839</v>
      </c>
    </row>
    <row r="108" spans="1:8" ht="15" thickBot="1">
      <c r="A108" t="s">
        <v>1328</v>
      </c>
      <c r="B108" s="43"/>
      <c r="C108" s="43"/>
      <c r="D108" s="43"/>
      <c r="E108" s="43"/>
      <c r="F108" s="43"/>
      <c r="G108" s="108">
        <f>SUM(G102:G107)</f>
        <v>160167</v>
      </c>
    </row>
    <row r="109" spans="1:8" ht="15" thickTop="1"/>
    <row r="110" spans="1:8">
      <c r="A110" s="24" t="s">
        <v>1536</v>
      </c>
    </row>
    <row r="111" spans="1:8">
      <c r="A111" t="s">
        <v>1537</v>
      </c>
      <c r="B111" s="43"/>
      <c r="C111" s="43"/>
      <c r="D111" s="43"/>
      <c r="E111" s="43"/>
      <c r="F111" s="43"/>
      <c r="G111" s="43">
        <f>148000</f>
        <v>148000</v>
      </c>
    </row>
    <row r="112" spans="1:8">
      <c r="A112" t="s">
        <v>1538</v>
      </c>
      <c r="B112" s="43"/>
      <c r="C112" s="43"/>
      <c r="D112" s="43"/>
      <c r="E112" s="43"/>
      <c r="F112" s="43"/>
      <c r="G112" s="43">
        <f>130000</f>
        <v>130000</v>
      </c>
    </row>
    <row r="113" spans="1:7" ht="15" thickBot="1">
      <c r="A113" t="s">
        <v>1328</v>
      </c>
      <c r="B113" s="43"/>
      <c r="C113" s="43"/>
      <c r="D113" s="43"/>
      <c r="E113" s="43"/>
      <c r="F113" s="43"/>
      <c r="G113" s="108">
        <f>SUM(G111:G112)</f>
        <v>278000</v>
      </c>
    </row>
    <row r="114" spans="1:7" ht="15" thickTop="1"/>
    <row r="115" spans="1:7">
      <c r="A115" s="24" t="s">
        <v>1539</v>
      </c>
    </row>
    <row r="116" spans="1:7">
      <c r="A116" t="s">
        <v>1540</v>
      </c>
      <c r="B116" s="43"/>
      <c r="C116" s="43"/>
      <c r="D116" s="43"/>
      <c r="E116" s="43"/>
      <c r="F116" s="43"/>
      <c r="G116" s="43">
        <f>12000</f>
        <v>12000</v>
      </c>
    </row>
    <row r="117" spans="1:7">
      <c r="A117" t="s">
        <v>1541</v>
      </c>
      <c r="B117" s="43"/>
      <c r="C117" s="43"/>
      <c r="D117" s="43"/>
      <c r="E117" s="43"/>
      <c r="F117" s="43"/>
      <c r="G117" s="43">
        <f>148000</f>
        <v>148000</v>
      </c>
    </row>
    <row r="118" spans="1:7">
      <c r="A118" t="s">
        <v>1542</v>
      </c>
      <c r="B118" s="43"/>
      <c r="C118" s="43"/>
      <c r="D118" s="43"/>
      <c r="E118" s="43"/>
      <c r="F118" s="43"/>
      <c r="G118" s="43">
        <f>23400</f>
        <v>23400</v>
      </c>
    </row>
    <row r="119" spans="1:7">
      <c r="A119" t="s">
        <v>1328</v>
      </c>
      <c r="B119" s="43"/>
      <c r="C119" s="43"/>
      <c r="D119" s="43"/>
      <c r="E119" s="43"/>
      <c r="F119" s="43"/>
      <c r="G119" s="87">
        <f>SUM(G116:G118)</f>
        <v>183400</v>
      </c>
    </row>
    <row r="120" spans="1:7">
      <c r="A120" t="s">
        <v>1543</v>
      </c>
      <c r="G120" s="109">
        <f>G108+G113+G119+G99</f>
        <v>1783237</v>
      </c>
    </row>
    <row r="122" spans="1:7">
      <c r="A122" s="24" t="s">
        <v>1544</v>
      </c>
    </row>
    <row r="123" spans="1:7">
      <c r="A123" t="s">
        <v>1537</v>
      </c>
      <c r="B123" s="43"/>
      <c r="C123" s="43"/>
      <c r="D123" s="43"/>
      <c r="E123" s="43"/>
      <c r="F123" s="43"/>
      <c r="G123" s="43">
        <f>123034</f>
        <v>123034</v>
      </c>
    </row>
    <row r="124" spans="1:7">
      <c r="A124" t="s">
        <v>1545</v>
      </c>
      <c r="B124" s="43"/>
      <c r="C124" s="43"/>
      <c r="D124" s="43"/>
      <c r="E124" s="43"/>
      <c r="F124" s="43"/>
      <c r="G124" s="43">
        <f>129488</f>
        <v>129488</v>
      </c>
    </row>
    <row r="125" spans="1:7">
      <c r="B125" s="43"/>
      <c r="C125" s="43"/>
      <c r="D125" s="43"/>
      <c r="E125" s="43"/>
      <c r="F125" s="43"/>
      <c r="G125" s="107">
        <f>SUM(G123:G124)</f>
        <v>252522</v>
      </c>
    </row>
    <row r="126" spans="1:7">
      <c r="A126" s="24" t="s">
        <v>1546</v>
      </c>
      <c r="B126" s="43"/>
      <c r="C126" s="43"/>
      <c r="D126" s="43"/>
      <c r="E126" s="43"/>
      <c r="F126" s="43"/>
      <c r="G126" s="43">
        <f>252170</f>
        <v>252170</v>
      </c>
    </row>
    <row r="127" spans="1:7">
      <c r="A127" t="s">
        <v>1547</v>
      </c>
      <c r="B127" s="43"/>
      <c r="C127" s="43"/>
      <c r="D127" s="43"/>
      <c r="E127" s="43"/>
      <c r="F127" s="43"/>
      <c r="G127" s="107">
        <f>G126+G125</f>
        <v>504692</v>
      </c>
    </row>
    <row r="130" spans="1:6">
      <c r="B130" s="272" t="s">
        <v>1342</v>
      </c>
      <c r="C130" s="272" t="s">
        <v>1343</v>
      </c>
      <c r="D130" s="272" t="s">
        <v>1344</v>
      </c>
      <c r="E130" s="272" t="s">
        <v>1345</v>
      </c>
      <c r="F130" s="272" t="s">
        <v>1346</v>
      </c>
    </row>
    <row r="132" spans="1:6">
      <c r="A132" s="21" t="s">
        <v>2599</v>
      </c>
      <c r="B132" s="47">
        <f>B9</f>
        <v>3549913</v>
      </c>
      <c r="C132" s="47">
        <f t="shared" ref="C132:F132" si="31">C9</f>
        <v>3852126</v>
      </c>
      <c r="D132" s="47">
        <f t="shared" si="31"/>
        <v>4297121</v>
      </c>
      <c r="E132" s="47">
        <f t="shared" si="31"/>
        <v>3536194</v>
      </c>
      <c r="F132" s="47">
        <f t="shared" si="31"/>
        <v>5394455</v>
      </c>
    </row>
    <row r="133" spans="1:6">
      <c r="A133" s="21" t="s">
        <v>1256</v>
      </c>
      <c r="B133" s="47">
        <f>B40</f>
        <v>763562</v>
      </c>
      <c r="C133" s="47">
        <f t="shared" ref="C133:F133" si="32">C40</f>
        <v>137818</v>
      </c>
      <c r="D133" s="47">
        <f t="shared" si="32"/>
        <v>155507</v>
      </c>
      <c r="E133" s="47">
        <f t="shared" si="32"/>
        <v>178569</v>
      </c>
      <c r="F133" s="47">
        <f t="shared" si="32"/>
        <v>1007164</v>
      </c>
    </row>
    <row r="134" spans="1:6">
      <c r="A134" s="21" t="s">
        <v>1310</v>
      </c>
      <c r="B134" s="46">
        <f>L46+L55+L56</f>
        <v>66071</v>
      </c>
      <c r="C134" s="46">
        <f t="shared" ref="C134:F134" si="33">M46+M55+M56</f>
        <v>69639</v>
      </c>
      <c r="D134" s="46">
        <f t="shared" si="33"/>
        <v>151544</v>
      </c>
      <c r="E134" s="46">
        <f t="shared" si="33"/>
        <v>147173</v>
      </c>
      <c r="F134" s="46">
        <f t="shared" si="33"/>
        <v>3286249</v>
      </c>
    </row>
    <row r="135" spans="1:6">
      <c r="A135" s="21" t="s">
        <v>1692</v>
      </c>
      <c r="B135" s="47">
        <f>L40-L61</f>
        <v>409375</v>
      </c>
      <c r="C135" s="47">
        <f t="shared" ref="C135:F135" si="34">M40-M61</f>
        <v>474538</v>
      </c>
      <c r="D135" s="47">
        <f t="shared" si="34"/>
        <v>558710</v>
      </c>
      <c r="E135" s="47">
        <f t="shared" si="34"/>
        <v>467583</v>
      </c>
      <c r="F135" s="47">
        <f t="shared" si="34"/>
        <v>1259535</v>
      </c>
    </row>
    <row r="138" spans="1:6">
      <c r="B138" s="272" t="s">
        <v>1342</v>
      </c>
      <c r="C138" s="272" t="s">
        <v>1343</v>
      </c>
      <c r="D138" s="272" t="s">
        <v>1344</v>
      </c>
      <c r="E138" s="272" t="s">
        <v>1345</v>
      </c>
      <c r="F138" s="272" t="s">
        <v>1346</v>
      </c>
    </row>
    <row r="140" spans="1:6">
      <c r="A140" s="21" t="s">
        <v>2599</v>
      </c>
      <c r="B140" s="47">
        <v>3550000</v>
      </c>
      <c r="C140" s="47">
        <v>3852000</v>
      </c>
      <c r="D140" s="47">
        <v>4297000</v>
      </c>
      <c r="E140" s="47">
        <v>3536000</v>
      </c>
      <c r="F140" s="47">
        <v>5394000</v>
      </c>
    </row>
    <row r="141" spans="1:6">
      <c r="A141" s="21" t="s">
        <v>1256</v>
      </c>
      <c r="B141" s="47">
        <v>760000</v>
      </c>
      <c r="C141" s="47">
        <v>138000</v>
      </c>
      <c r="D141" s="47">
        <v>155000</v>
      </c>
      <c r="E141" s="47">
        <v>178000</v>
      </c>
      <c r="F141" s="47">
        <v>1008000</v>
      </c>
    </row>
    <row r="142" spans="1:6">
      <c r="A142" s="21" t="s">
        <v>1310</v>
      </c>
      <c r="B142">
        <v>66000</v>
      </c>
      <c r="C142" s="47">
        <v>69000</v>
      </c>
      <c r="D142" s="47">
        <v>150000</v>
      </c>
      <c r="E142" s="47">
        <v>148000</v>
      </c>
      <c r="F142" s="47">
        <v>3290000</v>
      </c>
    </row>
    <row r="143" spans="1:6">
      <c r="A143" s="21" t="s">
        <v>1692</v>
      </c>
      <c r="B143" s="47">
        <v>409000</v>
      </c>
      <c r="C143" s="47">
        <v>475000</v>
      </c>
      <c r="D143" s="47">
        <v>559000</v>
      </c>
      <c r="E143" s="47">
        <v>467000</v>
      </c>
      <c r="F143" s="47">
        <v>1260000</v>
      </c>
    </row>
  </sheetData>
  <mergeCells count="9">
    <mergeCell ref="E70:F70"/>
    <mergeCell ref="F84:F85"/>
    <mergeCell ref="G84:G85"/>
    <mergeCell ref="B85:E85"/>
    <mergeCell ref="P3:P4"/>
    <mergeCell ref="A4:D4"/>
    <mergeCell ref="G5:G6"/>
    <mergeCell ref="A82:G82"/>
    <mergeCell ref="B6:F6"/>
  </mergeCells>
  <phoneticPr fontId="4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57A0-52B5-4666-BAF2-64CABA797454}">
  <dimension ref="A1:Y942"/>
  <sheetViews>
    <sheetView topLeftCell="A10" zoomScale="70" zoomScaleNormal="70" workbookViewId="0">
      <selection activeCell="C14" sqref="C14"/>
    </sheetView>
  </sheetViews>
  <sheetFormatPr defaultRowHeight="14.4"/>
  <cols>
    <col min="1" max="1" width="4.6640625" customWidth="1"/>
    <col min="2" max="2" width="28.77734375" customWidth="1"/>
    <col min="3" max="3" width="13" customWidth="1"/>
    <col min="4" max="4" width="10.33203125" customWidth="1"/>
    <col min="5" max="10" width="11.44140625" customWidth="1"/>
    <col min="13" max="13" width="8.21875" customWidth="1"/>
    <col min="16" max="18" width="10.88671875" customWidth="1"/>
    <col min="19" max="19" width="10.44140625" customWidth="1"/>
    <col min="20" max="23" width="11.21875" customWidth="1"/>
  </cols>
  <sheetData>
    <row r="1" spans="1:25">
      <c r="B1" t="s">
        <v>2169</v>
      </c>
    </row>
    <row r="2" spans="1:25">
      <c r="A2" s="1"/>
      <c r="B2" s="24" t="s">
        <v>2161</v>
      </c>
    </row>
    <row r="3" spans="1:25">
      <c r="A3" s="5"/>
      <c r="B3" t="s">
        <v>2162</v>
      </c>
    </row>
    <row r="4" spans="1:25">
      <c r="A4" s="1"/>
      <c r="B4" t="s">
        <v>2163</v>
      </c>
    </row>
    <row r="5" spans="1:25">
      <c r="A5" s="5"/>
      <c r="B5" t="s">
        <v>2164</v>
      </c>
    </row>
    <row r="6" spans="1:25">
      <c r="A6" s="5"/>
      <c r="B6" t="s">
        <v>2165</v>
      </c>
    </row>
    <row r="7" spans="1:25">
      <c r="A7" s="5"/>
      <c r="B7" t="s">
        <v>2166</v>
      </c>
    </row>
    <row r="8" spans="1:25">
      <c r="A8" s="5"/>
      <c r="B8" t="s">
        <v>2167</v>
      </c>
    </row>
    <row r="9" spans="1:25">
      <c r="A9" s="5"/>
      <c r="B9" t="s">
        <v>2168</v>
      </c>
    </row>
    <row r="10" spans="1:25">
      <c r="A10" s="169" t="s">
        <v>1688</v>
      </c>
      <c r="B10" s="15" t="s">
        <v>1242</v>
      </c>
    </row>
    <row r="11" spans="1:25">
      <c r="B11" s="16"/>
    </row>
    <row r="12" spans="1:25" ht="57.6">
      <c r="A12" s="17"/>
      <c r="B12" s="17"/>
      <c r="C12" s="180" t="s">
        <v>1243</v>
      </c>
      <c r="D12" s="180" t="s">
        <v>1451</v>
      </c>
      <c r="E12" s="183" t="s">
        <v>1469</v>
      </c>
      <c r="F12" s="183" t="s">
        <v>1245</v>
      </c>
      <c r="G12" s="183" t="s">
        <v>1246</v>
      </c>
      <c r="H12" s="180" t="s">
        <v>1247</v>
      </c>
      <c r="I12" s="180" t="s">
        <v>1248</v>
      </c>
      <c r="J12" s="183" t="s">
        <v>1249</v>
      </c>
      <c r="K12" s="181" t="s">
        <v>1250</v>
      </c>
      <c r="L12" s="181" t="s">
        <v>1251</v>
      </c>
      <c r="M12" s="181" t="s">
        <v>1252</v>
      </c>
      <c r="N12" s="181" t="s">
        <v>1253</v>
      </c>
      <c r="O12" s="184" t="s">
        <v>1254</v>
      </c>
      <c r="P12" s="182" t="s">
        <v>1255</v>
      </c>
      <c r="Q12" s="182" t="s">
        <v>1256</v>
      </c>
      <c r="R12" s="182" t="s">
        <v>1257</v>
      </c>
      <c r="S12" s="182" t="s">
        <v>1258</v>
      </c>
      <c r="T12" s="185" t="s">
        <v>1259</v>
      </c>
      <c r="U12" s="185" t="s">
        <v>1260</v>
      </c>
      <c r="V12" s="185" t="s">
        <v>1261</v>
      </c>
      <c r="W12" s="185" t="s">
        <v>1262</v>
      </c>
    </row>
    <row r="13" spans="1:25">
      <c r="A13">
        <v>1</v>
      </c>
      <c r="B13" t="str">
        <f>'16_DB-SGX_Loading'!B10</f>
        <v>COSCO SHP SG</v>
      </c>
      <c r="C13" s="62">
        <f>'16_DB-SGX_Loading'!C10</f>
        <v>510.548</v>
      </c>
      <c r="D13" s="62">
        <f>'16_DB-SGX_Loading'!D10</f>
        <v>0.71</v>
      </c>
      <c r="E13" s="63">
        <f t="shared" ref="E13:E15" si="0">D13/(1+(1-0.17)*(F13/G13))</f>
        <v>0.64578105451939949</v>
      </c>
      <c r="F13" s="63">
        <f t="shared" ref="F13:F15" si="1">H13/J13%</f>
        <v>10.699284069576274</v>
      </c>
      <c r="G13" s="63">
        <f t="shared" ref="G13:G15" si="2">I13/J13%</f>
        <v>89.300715930423735</v>
      </c>
      <c r="H13" s="62">
        <f>'16_DB-SGX_Loading'!E10</f>
        <v>93.582999999999998</v>
      </c>
      <c r="I13" s="62">
        <f>'16_DB-SGX_Loading'!F10</f>
        <v>781.08299999999997</v>
      </c>
      <c r="J13" s="67">
        <f t="shared" ref="J13:J21" si="3">H13+I13</f>
        <v>874.66599999999994</v>
      </c>
      <c r="K13" s="62">
        <f>'16_DB-SGX_Loading'!H10</f>
        <v>0</v>
      </c>
      <c r="L13" s="62">
        <f>'16_DB-SGX_Loading'!I10</f>
        <v>0.78</v>
      </c>
      <c r="M13" s="62">
        <f>'16_DB-SGX_Loading'!J10</f>
        <v>0.114</v>
      </c>
      <c r="N13" s="62">
        <f>'16_DB-SGX_Loading'!K10</f>
        <v>0.121</v>
      </c>
      <c r="O13" s="63">
        <f t="shared" ref="O13:O21" si="4">(M13-N13)/N13*100</f>
        <v>-5.7851239669421428</v>
      </c>
      <c r="P13" s="62">
        <f>'16_DB-SGX_Loading'!M10</f>
        <v>193.999</v>
      </c>
      <c r="Q13" s="62">
        <f>'16_DB-SGX_Loading'!N10</f>
        <v>61.284999999999997</v>
      </c>
      <c r="R13" s="62">
        <f>'16_DB-SGX_Loading'!O10</f>
        <v>980.30799999999999</v>
      </c>
      <c r="S13" s="62">
        <f>'16_DB-SGX_Loading'!P10</f>
        <v>33.244999999999997</v>
      </c>
      <c r="T13" s="246">
        <f>C13/P13</f>
        <v>2.6317042871355008</v>
      </c>
      <c r="U13" s="246">
        <f>C13/Q13</f>
        <v>8.3307171412254224</v>
      </c>
      <c r="V13" s="246">
        <f>C13/R13</f>
        <v>0.52080366578667114</v>
      </c>
      <c r="W13" s="246">
        <f>C13/S13</f>
        <v>15.357136411490451</v>
      </c>
      <c r="X13" s="35"/>
      <c r="Y13" s="229"/>
    </row>
    <row r="14" spans="1:25">
      <c r="A14">
        <v>2</v>
      </c>
      <c r="B14" t="str">
        <f>'16_DB-SGX_Loading'!B11</f>
        <v>SATS</v>
      </c>
      <c r="C14" s="62">
        <f>'16_DB-SGX_Loading'!C11</f>
        <v>5321</v>
      </c>
      <c r="D14" s="62">
        <f>'16_DB-SGX_Loading'!D11</f>
        <v>0.52</v>
      </c>
      <c r="E14" s="63">
        <f t="shared" si="0"/>
        <v>0.33495355453765074</v>
      </c>
      <c r="F14" s="63">
        <f t="shared" si="1"/>
        <v>39.961837854246625</v>
      </c>
      <c r="G14" s="63">
        <f t="shared" si="2"/>
        <v>60.038162145753383</v>
      </c>
      <c r="H14" s="62">
        <f>'16_DB-SGX_Loading'!E11</f>
        <v>1843</v>
      </c>
      <c r="I14" s="62">
        <f>'16_DB-SGX_Loading'!F11</f>
        <v>2768.9</v>
      </c>
      <c r="J14" s="67">
        <f t="shared" si="3"/>
        <v>4611.8999999999996</v>
      </c>
      <c r="K14" s="62">
        <f>'16_DB-SGX_Loading'!H11</f>
        <v>19.89</v>
      </c>
      <c r="L14" s="62">
        <f>'16_DB-SGX_Loading'!I11</f>
        <v>1.54</v>
      </c>
      <c r="M14" s="62">
        <f>'16_DB-SGX_Loading'!J11</f>
        <v>3.58</v>
      </c>
      <c r="N14" s="62">
        <f>'16_DB-SGX_Loading'!K11</f>
        <v>3.81</v>
      </c>
      <c r="O14" s="63">
        <f t="shared" si="4"/>
        <v>-6.0367454068241466</v>
      </c>
      <c r="P14" s="62">
        <f>'16_DB-SGX_Loading'!M11</f>
        <v>5821</v>
      </c>
      <c r="Q14" s="62">
        <f>'16_DB-SGX_Loading'!N11</f>
        <v>1166</v>
      </c>
      <c r="R14" s="62">
        <f>'16_DB-SGX_Loading'!O11</f>
        <v>8882</v>
      </c>
      <c r="S14" s="62">
        <f>'16_DB-SGX_Loading'!P11</f>
        <v>669.4</v>
      </c>
      <c r="T14" s="246">
        <f t="shared" ref="T14:T21" si="5">C14/P14</f>
        <v>0.91410410582374158</v>
      </c>
      <c r="U14" s="246">
        <f t="shared" ref="U14:U21" si="6">C14/Q14</f>
        <v>4.563464837049743</v>
      </c>
      <c r="V14" s="246">
        <f t="shared" ref="V14:V21" si="7">C14/R14</f>
        <v>0.59907678450799373</v>
      </c>
      <c r="W14" s="246">
        <f t="shared" ref="W14:W21" si="8">C14/S14</f>
        <v>7.9489094711682107</v>
      </c>
      <c r="X14" s="35"/>
      <c r="Y14" s="229"/>
    </row>
    <row r="15" spans="1:25">
      <c r="A15">
        <v>3</v>
      </c>
      <c r="B15" t="str">
        <f>'16_DB-SGX_Loading'!B12</f>
        <v>SIA</v>
      </c>
      <c r="C15" s="62">
        <f>'16_DB-SGX_Loading'!C12</f>
        <v>20973</v>
      </c>
      <c r="D15" s="62">
        <f>'16_DB-SGX_Loading'!D12</f>
        <v>0.5</v>
      </c>
      <c r="E15" s="63">
        <f t="shared" si="0"/>
        <v>0.29993800783452262</v>
      </c>
      <c r="F15" s="63">
        <f t="shared" si="1"/>
        <v>44.55619076534537</v>
      </c>
      <c r="G15" s="63">
        <f t="shared" si="2"/>
        <v>55.443809234654623</v>
      </c>
      <c r="H15" s="62">
        <f>'16_DB-SGX_Loading'!E12</f>
        <v>12914.3</v>
      </c>
      <c r="I15" s="62">
        <f>'16_DB-SGX_Loading'!F12</f>
        <v>16070</v>
      </c>
      <c r="J15" s="67">
        <f t="shared" si="3"/>
        <v>28984.3</v>
      </c>
      <c r="K15" s="62">
        <f>'16_DB-SGX_Loading'!H12</f>
        <v>17.5</v>
      </c>
      <c r="L15" s="62">
        <f>'16_DB-SGX_Loading'!I12</f>
        <v>5.26</v>
      </c>
      <c r="M15" s="62">
        <f>'16_DB-SGX_Loading'!J12</f>
        <v>6.65</v>
      </c>
      <c r="N15" s="62">
        <f>'16_DB-SGX_Loading'!K12</f>
        <v>6.4</v>
      </c>
      <c r="O15" s="63">
        <f t="shared" si="4"/>
        <v>3.90625</v>
      </c>
      <c r="P15" s="62">
        <f>'16_DB-SGX_Loading'!M12</f>
        <v>19539.8</v>
      </c>
      <c r="Q15" s="62">
        <f>'16_DB-SGX_Loading'!N12</f>
        <v>5711.9</v>
      </c>
      <c r="R15" s="62">
        <f>'16_DB-SGX_Loading'!O12</f>
        <v>43086.8</v>
      </c>
      <c r="S15" s="62">
        <f>'16_DB-SGX_Loading'!P12</f>
        <v>2834</v>
      </c>
      <c r="T15" s="246">
        <f t="shared" si="5"/>
        <v>1.0733477312971473</v>
      </c>
      <c r="U15" s="246">
        <f t="shared" si="6"/>
        <v>3.6718079798315801</v>
      </c>
      <c r="V15" s="246">
        <f t="shared" si="7"/>
        <v>0.48676160680301156</v>
      </c>
      <c r="W15" s="246">
        <f t="shared" si="8"/>
        <v>7.4004940014114329</v>
      </c>
      <c r="X15" s="35"/>
      <c r="Y15" s="229"/>
    </row>
    <row r="16" spans="1:25">
      <c r="A16">
        <v>4</v>
      </c>
      <c r="B16" t="str">
        <f>'16_DB-SGX_Loading'!B13</f>
        <v>SIA Engineering</v>
      </c>
      <c r="C16" s="62">
        <f>'16_DB-SGX_Loading'!C13</f>
        <v>3651</v>
      </c>
      <c r="D16" s="62">
        <f>'16_DB-SGX_Loading'!D13</f>
        <v>0.32</v>
      </c>
      <c r="E16" s="63">
        <f t="shared" ref="E16:E21" si="9">D16/(1+(1-0.17)*(F16/G16))</f>
        <v>0.30751391732096439</v>
      </c>
      <c r="F16" s="63">
        <f t="shared" ref="F16:F21" si="10">H16/J16%</f>
        <v>4.6638128759969559</v>
      </c>
      <c r="G16" s="63">
        <f t="shared" ref="G16:G21" si="11">I16/J16%</f>
        <v>95.336187124003047</v>
      </c>
      <c r="H16" s="62">
        <f>'16_DB-SGX_Loading'!E13</f>
        <v>85.198999999999998</v>
      </c>
      <c r="I16" s="62">
        <f>'16_DB-SGX_Loading'!F13</f>
        <v>1741.6110000000001</v>
      </c>
      <c r="J16" s="67">
        <f t="shared" si="3"/>
        <v>1826.8100000000002</v>
      </c>
      <c r="K16" s="62">
        <f>'16_DB-SGX_Loading'!H13</f>
        <v>23.29</v>
      </c>
      <c r="L16" s="62">
        <f>'16_DB-SGX_Loading'!I13</f>
        <v>2.91</v>
      </c>
      <c r="M16" s="62">
        <f>'16_DB-SGX_Loading'!J13</f>
        <v>3.26</v>
      </c>
      <c r="N16" s="62">
        <f>'16_DB-SGX_Loading'!K13</f>
        <v>3.6</v>
      </c>
      <c r="O16" s="63">
        <f t="shared" si="4"/>
        <v>-9.4444444444444517</v>
      </c>
      <c r="P16" s="62">
        <f>'16_DB-SGX_Loading'!M13</f>
        <v>1245</v>
      </c>
      <c r="Q16" s="62">
        <f>'16_DB-SGX_Loading'!N13</f>
        <v>214.881</v>
      </c>
      <c r="R16" s="62">
        <f>'16_DB-SGX_Loading'!O13</f>
        <v>2141.393</v>
      </c>
      <c r="S16" s="62">
        <f>'16_DB-SGX_Loading'!P13</f>
        <v>102.60299999999999</v>
      </c>
      <c r="T16" s="246">
        <f t="shared" si="5"/>
        <v>2.9325301204819278</v>
      </c>
      <c r="U16" s="246">
        <f t="shared" si="6"/>
        <v>16.990799558825582</v>
      </c>
      <c r="V16" s="246">
        <f t="shared" si="7"/>
        <v>1.7049649457152423</v>
      </c>
      <c r="W16" s="246">
        <f t="shared" si="8"/>
        <v>35.58375486096898</v>
      </c>
      <c r="X16" s="35"/>
      <c r="Y16" s="229"/>
    </row>
    <row r="17" spans="1:25">
      <c r="A17">
        <v>5</v>
      </c>
      <c r="B17" t="str">
        <f>'16_DB-SGX_Loading'!B14</f>
        <v>SingPost</v>
      </c>
      <c r="C17" s="62">
        <f>'16_DB-SGX_Loading'!C14</f>
        <v>776.68700000000001</v>
      </c>
      <c r="D17" s="62">
        <f>'16_DB-SGX_Loading'!D14</f>
        <v>0.21</v>
      </c>
      <c r="E17" s="63">
        <f t="shared" si="9"/>
        <v>0.17629808346332629</v>
      </c>
      <c r="F17" s="63">
        <f t="shared" si="10"/>
        <v>18.720237041831208</v>
      </c>
      <c r="G17" s="63">
        <f t="shared" si="11"/>
        <v>81.279762958168789</v>
      </c>
      <c r="H17" s="62">
        <f>'16_DB-SGX_Loading'!E14</f>
        <v>370.23200000000003</v>
      </c>
      <c r="I17" s="62">
        <f>'16_DB-SGX_Loading'!F14</f>
        <v>1607.4780000000001</v>
      </c>
      <c r="J17" s="67">
        <f t="shared" si="3"/>
        <v>1977.71</v>
      </c>
      <c r="K17" s="62">
        <f>'16_DB-SGX_Loading'!H14</f>
        <v>3.14</v>
      </c>
      <c r="L17" s="62">
        <f>'16_DB-SGX_Loading'!I14</f>
        <v>1.22</v>
      </c>
      <c r="M17" s="62">
        <f>'16_DB-SGX_Loading'!J14</f>
        <v>0.34499999999999997</v>
      </c>
      <c r="N17" s="62">
        <f>'16_DB-SGX_Loading'!K14</f>
        <v>0.40500000000000003</v>
      </c>
      <c r="O17" s="63">
        <f t="shared" si="4"/>
        <v>-14.814814814814827</v>
      </c>
      <c r="P17" s="62">
        <f>'16_DB-SGX_Loading'!M14</f>
        <v>813.70399999999995</v>
      </c>
      <c r="Q17" s="62">
        <f>'16_DB-SGX_Loading'!N14</f>
        <v>387.25</v>
      </c>
      <c r="R17" s="62">
        <f>'16_DB-SGX_Loading'!O14</f>
        <v>2390.424</v>
      </c>
      <c r="S17" s="62">
        <f>'16_DB-SGX_Loading'!P14</f>
        <v>26.670999999999999</v>
      </c>
      <c r="T17" s="246">
        <f t="shared" si="5"/>
        <v>0.95450802748911157</v>
      </c>
      <c r="U17" s="246">
        <f t="shared" si="6"/>
        <v>2.0056475145255002</v>
      </c>
      <c r="V17" s="246">
        <f t="shared" si="7"/>
        <v>0.32491599816601574</v>
      </c>
      <c r="W17" s="246">
        <f t="shared" si="8"/>
        <v>29.121030332570957</v>
      </c>
      <c r="X17" s="35"/>
      <c r="Y17" s="229"/>
    </row>
    <row r="18" spans="1:25">
      <c r="A18">
        <v>6</v>
      </c>
      <c r="B18" t="str">
        <f>'16_DB-SGX_Loading'!B15</f>
        <v>Wing Tai</v>
      </c>
      <c r="C18" s="62">
        <f>'16_DB-SGX_Loading'!C15</f>
        <v>1222</v>
      </c>
      <c r="D18" s="62">
        <f>'16_DB-SGX_Loading'!D15</f>
        <v>0.23</v>
      </c>
      <c r="E18" s="63">
        <f t="shared" si="9"/>
        <v>0.16972396131963588</v>
      </c>
      <c r="F18" s="63">
        <f t="shared" si="10"/>
        <v>29.966174331622788</v>
      </c>
      <c r="G18" s="63">
        <f t="shared" si="11"/>
        <v>70.033825668377204</v>
      </c>
      <c r="H18" s="62">
        <f>'16_DB-SGX_Loading'!E15</f>
        <v>1242.1210000000001</v>
      </c>
      <c r="I18" s="62">
        <f>'16_DB-SGX_Loading'!F15</f>
        <v>2902.9560000000001</v>
      </c>
      <c r="J18" s="67">
        <f t="shared" si="3"/>
        <v>4145.0770000000002</v>
      </c>
      <c r="K18" s="62">
        <f>'16_DB-SGX_Loading'!H15</f>
        <v>0</v>
      </c>
      <c r="L18" s="62">
        <f>'16_DB-SGX_Loading'!I15</f>
        <v>1.88</v>
      </c>
      <c r="M18" s="62">
        <f>'16_DB-SGX_Loading'!J15</f>
        <v>1.6</v>
      </c>
      <c r="N18" s="62">
        <f>'16_DB-SGX_Loading'!K15</f>
        <v>1.42</v>
      </c>
      <c r="O18" s="63">
        <f t="shared" si="4"/>
        <v>12.676056338028181</v>
      </c>
      <c r="P18" s="62">
        <f>'16_DB-SGX_Loading'!M15</f>
        <v>230.20599999999999</v>
      </c>
      <c r="Q18" s="62">
        <f>'16_DB-SGX_Loading'!N15</f>
        <v>-4.157</v>
      </c>
      <c r="R18" s="62">
        <f>'16_DB-SGX_Loading'!O15</f>
        <v>4275.5519999999997</v>
      </c>
      <c r="S18" s="62">
        <f>'16_DB-SGX_Loading'!P15</f>
        <v>-447.44400000000002</v>
      </c>
      <c r="T18" s="246">
        <f t="shared" si="5"/>
        <v>5.3082890975908539</v>
      </c>
      <c r="U18" s="246">
        <f t="shared" si="6"/>
        <v>-293.96199182102475</v>
      </c>
      <c r="V18" s="246">
        <f t="shared" si="7"/>
        <v>0.28581104849151645</v>
      </c>
      <c r="W18" s="246">
        <f t="shared" si="8"/>
        <v>-2.7310680219200614</v>
      </c>
      <c r="X18" s="35"/>
      <c r="Y18" s="229"/>
    </row>
    <row r="19" spans="1:25">
      <c r="A19">
        <v>7</v>
      </c>
      <c r="B19" t="str">
        <f>'16_DB-SGX_Loading'!B16</f>
        <v>CapitaLandInvest</v>
      </c>
      <c r="C19" s="62">
        <f>'16_DB-SGX_Loading'!C16</f>
        <v>13679</v>
      </c>
      <c r="D19" s="62">
        <f>'16_DB-SGX_Loading'!D16</f>
        <v>0.61</v>
      </c>
      <c r="E19" s="63">
        <f t="shared" si="9"/>
        <v>0.40149196056349545</v>
      </c>
      <c r="F19" s="63">
        <f t="shared" si="10"/>
        <v>38.488128809242241</v>
      </c>
      <c r="G19" s="63">
        <f t="shared" si="11"/>
        <v>61.511871190757752</v>
      </c>
      <c r="H19" s="62">
        <f>'16_DB-SGX_Loading'!E16</f>
        <v>8462</v>
      </c>
      <c r="I19" s="62">
        <f>'16_DB-SGX_Loading'!F16</f>
        <v>13524</v>
      </c>
      <c r="J19" s="67">
        <f t="shared" si="3"/>
        <v>21986</v>
      </c>
      <c r="K19" s="62">
        <f>'16_DB-SGX_Loading'!H16</f>
        <v>91.33</v>
      </c>
      <c r="L19" s="62">
        <f>'16_DB-SGX_Loading'!I16</f>
        <v>4.38</v>
      </c>
      <c r="M19" s="62">
        <f>'16_DB-SGX_Loading'!J16</f>
        <v>2.74</v>
      </c>
      <c r="N19" s="62">
        <f>'16_DB-SGX_Loading'!K16</f>
        <v>2.71</v>
      </c>
      <c r="O19" s="63">
        <f t="shared" si="4"/>
        <v>1.1070110701107103</v>
      </c>
      <c r="P19" s="62">
        <f>'16_DB-SGX_Loading'!M16</f>
        <v>2133</v>
      </c>
      <c r="Q19" s="62">
        <f>'16_DB-SGX_Loading'!N16</f>
        <v>735</v>
      </c>
      <c r="R19" s="62">
        <f>'16_DB-SGX_Loading'!O16</f>
        <v>24211</v>
      </c>
      <c r="S19" s="62">
        <f>'16_DB-SGX_Loading'!P16</f>
        <v>479</v>
      </c>
      <c r="T19" s="246">
        <f t="shared" si="5"/>
        <v>6.4130332864510082</v>
      </c>
      <c r="U19" s="246">
        <f t="shared" si="6"/>
        <v>18.610884353741497</v>
      </c>
      <c r="V19" s="246">
        <f t="shared" si="7"/>
        <v>0.56499111973896166</v>
      </c>
      <c r="W19" s="246">
        <f t="shared" si="8"/>
        <v>28.55741127348643</v>
      </c>
      <c r="X19" s="35"/>
      <c r="Y19" s="229"/>
    </row>
    <row r="20" spans="1:25">
      <c r="A20">
        <v>8</v>
      </c>
      <c r="B20" t="str">
        <f>'16_DB-SGX_Loading'!B17</f>
        <v>ComfortDelGro</v>
      </c>
      <c r="C20" s="62">
        <f>'16_DB-SGX_Loading'!C17</f>
        <v>3120</v>
      </c>
      <c r="D20" s="62">
        <f>'16_DB-SGX_Loading'!D17</f>
        <v>0.24</v>
      </c>
      <c r="E20" s="63">
        <f t="shared" si="9"/>
        <v>0.15923446509717765</v>
      </c>
      <c r="F20" s="63">
        <f t="shared" si="10"/>
        <v>37.930531839573533</v>
      </c>
      <c r="G20" s="63">
        <f t="shared" si="11"/>
        <v>62.069468160426467</v>
      </c>
      <c r="H20" s="62">
        <f>'16_DB-SGX_Loading'!E17</f>
        <v>1821.5</v>
      </c>
      <c r="I20" s="62">
        <f>'16_DB-SGX_Loading'!F17</f>
        <v>2980.7</v>
      </c>
      <c r="J20" s="67">
        <f t="shared" si="3"/>
        <v>4802.2</v>
      </c>
      <c r="K20" s="62">
        <f>'16_DB-SGX_Loading'!H17</f>
        <v>13.09</v>
      </c>
      <c r="L20" s="62">
        <f>'16_DB-SGX_Loading'!I17</f>
        <v>5.9</v>
      </c>
      <c r="M20" s="62">
        <f>'16_DB-SGX_Loading'!J17</f>
        <v>1.44</v>
      </c>
      <c r="N20" s="62">
        <f>'16_DB-SGX_Loading'!K17</f>
        <v>1.48</v>
      </c>
      <c r="O20" s="63">
        <f t="shared" si="4"/>
        <v>-2.7027027027027053</v>
      </c>
      <c r="P20" s="62">
        <f>'16_DB-SGX_Loading'!M17</f>
        <v>5058</v>
      </c>
      <c r="Q20" s="62">
        <f>'16_DB-SGX_Loading'!N17</f>
        <v>793.8</v>
      </c>
      <c r="R20" s="62">
        <f>'16_DB-SGX_Loading'!O17</f>
        <v>6138.9</v>
      </c>
      <c r="S20" s="62">
        <f>'16_DB-SGX_Loading'!P17</f>
        <v>-136.5</v>
      </c>
      <c r="T20" s="246">
        <f t="shared" si="5"/>
        <v>0.61684460260972718</v>
      </c>
      <c r="U20" s="246">
        <f t="shared" si="6"/>
        <v>3.9304610733182166</v>
      </c>
      <c r="V20" s="246">
        <f t="shared" si="7"/>
        <v>0.5082343742364267</v>
      </c>
      <c r="W20" s="246">
        <f t="shared" si="8"/>
        <v>-22.857142857142858</v>
      </c>
      <c r="X20" s="35"/>
      <c r="Y20" s="229"/>
    </row>
    <row r="21" spans="1:25">
      <c r="A21">
        <v>9</v>
      </c>
      <c r="B21" t="str">
        <f>'16_DB-SGX_Loading'!B18</f>
        <v>Frasers Property</v>
      </c>
      <c r="C21" s="62">
        <f>'16_DB-SGX_Loading'!C18</f>
        <v>3808</v>
      </c>
      <c r="D21" s="62">
        <f>'16_DB-SGX_Loading'!D18</f>
        <v>0.33</v>
      </c>
      <c r="E21" s="63">
        <f t="shared" si="9"/>
        <v>0.17398971946337133</v>
      </c>
      <c r="F21" s="63">
        <f t="shared" si="10"/>
        <v>51.93042172731645</v>
      </c>
      <c r="G21" s="63">
        <f t="shared" si="11"/>
        <v>48.069578272683557</v>
      </c>
      <c r="H21" s="62">
        <f>'16_DB-SGX_Loading'!E18</f>
        <v>18525.843000000001</v>
      </c>
      <c r="I21" s="62">
        <f>'16_DB-SGX_Loading'!F18</f>
        <v>17148.511999999999</v>
      </c>
      <c r="J21" s="67">
        <f t="shared" si="3"/>
        <v>35674.354999999996</v>
      </c>
      <c r="K21" s="62">
        <f>'16_DB-SGX_Loading'!H18</f>
        <v>16.170000000000002</v>
      </c>
      <c r="L21" s="62">
        <f>'16_DB-SGX_Loading'!I18</f>
        <v>4.6399999999999997</v>
      </c>
      <c r="M21" s="62">
        <f>'16_DB-SGX_Loading'!J18</f>
        <v>0.97</v>
      </c>
      <c r="N21" s="62">
        <f>'16_DB-SGX_Loading'!K18</f>
        <v>1.1299999999999999</v>
      </c>
      <c r="O21" s="63">
        <f t="shared" si="4"/>
        <v>-14.159292035398224</v>
      </c>
      <c r="P21" s="62">
        <f>'16_DB-SGX_Loading'!M18</f>
        <v>3403.5189999999998</v>
      </c>
      <c r="Q21" s="62">
        <f>'16_DB-SGX_Loading'!N18</f>
        <v>1322.5340000000001</v>
      </c>
      <c r="R21" s="62">
        <f>'16_DB-SGX_Loading'!O18</f>
        <v>39747.618000000002</v>
      </c>
      <c r="S21" s="62">
        <f>'16_DB-SGX_Loading'!P18</f>
        <v>981.78800000000001</v>
      </c>
      <c r="T21" s="246">
        <f t="shared" si="5"/>
        <v>1.1188419985315199</v>
      </c>
      <c r="U21" s="246">
        <f t="shared" si="6"/>
        <v>2.8793210609330266</v>
      </c>
      <c r="V21" s="246">
        <f t="shared" si="7"/>
        <v>9.5804483176828353E-2</v>
      </c>
      <c r="W21" s="246">
        <f t="shared" si="8"/>
        <v>3.8786377507160403</v>
      </c>
      <c r="X21" s="35"/>
      <c r="Y21" s="229"/>
    </row>
    <row r="22" spans="1:25">
      <c r="X22" s="35"/>
      <c r="Y22" s="229"/>
    </row>
    <row r="23" spans="1:25">
      <c r="B23" s="21" t="s">
        <v>1263</v>
      </c>
      <c r="D23" s="35">
        <f>SUM(D13:D21)</f>
        <v>3.67</v>
      </c>
      <c r="E23" s="121">
        <f>SUM(E13:E21)</f>
        <v>2.668924724119544</v>
      </c>
      <c r="F23" s="256">
        <f>AVERAGE(H13:H21)/AVERAGE(I13:I21)</f>
        <v>0.76199235819964806</v>
      </c>
      <c r="G23" s="171" t="s">
        <v>2403</v>
      </c>
      <c r="T23" s="19"/>
      <c r="U23" s="19"/>
      <c r="V23" s="19"/>
      <c r="W23" s="19"/>
      <c r="Y23" s="121"/>
    </row>
    <row r="24" spans="1:25">
      <c r="B24" s="21" t="s">
        <v>1264</v>
      </c>
      <c r="D24" s="35">
        <f>AVERAGE(D13:D21)</f>
        <v>0.40777777777777779</v>
      </c>
      <c r="E24" s="29">
        <f>AVERAGE(E13:E21)</f>
        <v>0.29654719156883824</v>
      </c>
      <c r="F24" s="29">
        <f>E24*(1+(1-E70)*F23)</f>
        <v>0.48409954744028638</v>
      </c>
      <c r="G24" t="s">
        <v>2402</v>
      </c>
      <c r="Y24" s="29"/>
    </row>
    <row r="25" spans="1:25" ht="15" thickBot="1">
      <c r="A25">
        <v>4</v>
      </c>
      <c r="B25" s="22" t="s">
        <v>1265</v>
      </c>
      <c r="E25" s="23">
        <f>D29</f>
        <v>-2.3989371044026684</v>
      </c>
      <c r="F25" s="192"/>
      <c r="Y25" s="121"/>
    </row>
    <row r="26" spans="1:25">
      <c r="B26" t="s">
        <v>1266</v>
      </c>
    </row>
    <row r="27" spans="1:25">
      <c r="B27" t="s">
        <v>2501</v>
      </c>
      <c r="C27" t="s">
        <v>1292</v>
      </c>
      <c r="D27" s="121">
        <f>F24</f>
        <v>0.48409954744028638</v>
      </c>
    </row>
    <row r="28" spans="1:25">
      <c r="C28" t="s">
        <v>1290</v>
      </c>
      <c r="D28" s="121">
        <f>' 04_CAPM'!D7</f>
        <v>4.6500000000000004</v>
      </c>
    </row>
    <row r="29" spans="1:25">
      <c r="B29" t="s">
        <v>1267</v>
      </c>
      <c r="C29" t="s">
        <v>1291</v>
      </c>
      <c r="D29" s="121">
        <f>(D27*D28)-D28</f>
        <v>-2.3989371044026684</v>
      </c>
    </row>
    <row r="30" spans="1:25">
      <c r="B30" s="24" t="s">
        <v>2499</v>
      </c>
      <c r="E30" s="25"/>
    </row>
    <row r="32" spans="1:25">
      <c r="B32" t="s">
        <v>2498</v>
      </c>
      <c r="O32" s="26"/>
    </row>
    <row r="34" spans="1:25">
      <c r="A34" t="s">
        <v>1268</v>
      </c>
    </row>
    <row r="35" spans="1:25">
      <c r="A35" s="27" t="s">
        <v>1269</v>
      </c>
      <c r="B35" s="27"/>
      <c r="C35" s="27"/>
      <c r="D35" s="27"/>
      <c r="E35" s="27"/>
      <c r="F35" s="27"/>
      <c r="G35" s="27"/>
      <c r="H35" s="27"/>
      <c r="I35" s="27"/>
      <c r="J35" s="27"/>
    </row>
    <row r="36" spans="1:25">
      <c r="A36" s="27" t="s">
        <v>1270</v>
      </c>
      <c r="B36" s="27"/>
      <c r="C36" s="27"/>
      <c r="D36" s="27"/>
    </row>
    <row r="37" spans="1:25">
      <c r="A37" s="27" t="s">
        <v>1271</v>
      </c>
      <c r="B37" s="27"/>
      <c r="C37" s="27"/>
      <c r="D37" s="27"/>
    </row>
    <row r="39" spans="1:25">
      <c r="A39" s="5"/>
    </row>
    <row r="40" spans="1:25">
      <c r="A40" s="1"/>
    </row>
    <row r="42" spans="1:25">
      <c r="A42" s="169" t="s">
        <v>1690</v>
      </c>
      <c r="B42" s="24" t="s">
        <v>1272</v>
      </c>
    </row>
    <row r="43" spans="1:25">
      <c r="B43" s="28" t="s">
        <v>1273</v>
      </c>
    </row>
    <row r="44" spans="1:25" ht="60">
      <c r="A44" s="17"/>
      <c r="B44" s="17"/>
      <c r="C44" s="180" t="s">
        <v>1274</v>
      </c>
      <c r="D44" s="180" t="s">
        <v>1244</v>
      </c>
      <c r="E44" s="183" t="s">
        <v>1466</v>
      </c>
      <c r="F44" s="189" t="s">
        <v>1467</v>
      </c>
      <c r="G44" s="189" t="s">
        <v>1468</v>
      </c>
      <c r="H44" s="180" t="s">
        <v>1247</v>
      </c>
      <c r="I44" s="180" t="s">
        <v>1248</v>
      </c>
      <c r="J44" s="183" t="s">
        <v>1275</v>
      </c>
      <c r="K44" s="181" t="s">
        <v>1250</v>
      </c>
      <c r="L44" s="181" t="s">
        <v>1251</v>
      </c>
      <c r="M44" s="181" t="s">
        <v>1276</v>
      </c>
      <c r="N44" s="181" t="s">
        <v>1277</v>
      </c>
      <c r="O44" s="184" t="s">
        <v>1254</v>
      </c>
      <c r="P44" s="182" t="s">
        <v>1255</v>
      </c>
      <c r="Q44" s="182" t="s">
        <v>1256</v>
      </c>
      <c r="R44" s="182" t="s">
        <v>1257</v>
      </c>
      <c r="S44" s="182" t="s">
        <v>1258</v>
      </c>
      <c r="T44" s="185" t="s">
        <v>1259</v>
      </c>
      <c r="U44" s="185" t="s">
        <v>1260</v>
      </c>
      <c r="V44" s="185" t="s">
        <v>1261</v>
      </c>
      <c r="W44" s="185" t="s">
        <v>1262</v>
      </c>
      <c r="X44" s="245" t="s">
        <v>2445</v>
      </c>
      <c r="Y44" s="245" t="s">
        <v>623</v>
      </c>
    </row>
    <row r="45" spans="1:25">
      <c r="A45">
        <v>1</v>
      </c>
      <c r="B45" t="str">
        <f>'16_DB-SGX_Loading'!B22</f>
        <v>Audience</v>
      </c>
      <c r="C45" s="62">
        <f>'16_DB-SGX_Loading'!C22</f>
        <v>60.491999999999997</v>
      </c>
      <c r="D45" s="62">
        <f>'16_DB-SGX_Loading'!D22</f>
        <v>0.08</v>
      </c>
      <c r="E45" s="193">
        <f t="shared" ref="E45:E56" si="12">D45/(1+(1-$D$76)*(F45/G45))</f>
        <v>7.9920179424563725E-2</v>
      </c>
      <c r="F45" s="63">
        <f>H45/J45%</f>
        <v>0.12018714855990043</v>
      </c>
      <c r="G45" s="63">
        <f>I45/J45%</f>
        <v>99.879812851440093</v>
      </c>
      <c r="H45" s="69">
        <f>'16_DB-SGX_Loading'!E22</f>
        <v>2.8000000000000001E-2</v>
      </c>
      <c r="I45" s="69">
        <f>'16_DB-SGX_Loading'!F22</f>
        <v>23.268999999999998</v>
      </c>
      <c r="J45" s="61">
        <f>H45+I45</f>
        <v>23.296999999999997</v>
      </c>
      <c r="K45" s="62">
        <f>'16_DB-SGX_Loading'!H22</f>
        <v>13</v>
      </c>
      <c r="L45" s="62">
        <f>'16_DB-SGX_Loading'!I22</f>
        <v>5.77</v>
      </c>
      <c r="M45" s="62">
        <f>'16_DB-SGX_Loading'!J22</f>
        <v>0.26</v>
      </c>
      <c r="N45" s="62">
        <f>'16_DB-SGX_Loading'!K22</f>
        <v>0.26</v>
      </c>
      <c r="O45" s="63">
        <f>(N45-M45)/N45*100</f>
        <v>0</v>
      </c>
      <c r="P45" s="69">
        <f>'16_DB-SGX_Loading'!M22</f>
        <v>15.956</v>
      </c>
      <c r="Q45" s="69">
        <f>'16_DB-SGX_Loading'!N22</f>
        <v>5.7880000000000003</v>
      </c>
      <c r="R45" s="69">
        <f>'16_DB-SGX_Loading'!O22</f>
        <v>26.015000000000001</v>
      </c>
      <c r="S45" s="69">
        <f>'16_DB-SGX_Loading'!P22</f>
        <v>4.4359999999999999</v>
      </c>
      <c r="T45" s="66">
        <f>'16_DB-SGX_Loading'!Q22</f>
        <v>3.7911757332664826</v>
      </c>
      <c r="U45" s="66">
        <f>'16_DB-SGX_Loading'!R22</f>
        <v>10.451278507256392</v>
      </c>
      <c r="V45" s="66">
        <f>'16_DB-SGX_Loading'!S22</f>
        <v>2.3252738804535844</v>
      </c>
      <c r="W45" s="66">
        <f>'16_DB-SGX_Loading'!T22</f>
        <v>13.636609558160504</v>
      </c>
      <c r="X45" s="244" t="s">
        <v>684</v>
      </c>
      <c r="Y45" s="230"/>
    </row>
    <row r="46" spans="1:25" ht="18" customHeight="1">
      <c r="A46">
        <v>2</v>
      </c>
      <c r="B46" t="str">
        <f>'16_DB-SGX_Loading'!B23</f>
        <v>Dezign Format</v>
      </c>
      <c r="C46" s="62">
        <f>'16_DB-SGX_Loading'!C23</f>
        <v>38</v>
      </c>
      <c r="D46" s="62">
        <f>'16_DB-SGX_Loading'!D23</f>
        <v>1</v>
      </c>
      <c r="E46" s="193">
        <f t="shared" si="12"/>
        <v>0.84807460729276796</v>
      </c>
      <c r="F46" s="63">
        <f t="shared" ref="F46:F56" si="13">H46/J46%</f>
        <v>17.751874675180044</v>
      </c>
      <c r="G46" s="63">
        <f t="shared" ref="G46:G56" si="14">I46/J46%</f>
        <v>82.248125324819952</v>
      </c>
      <c r="H46" s="69">
        <f>'16_DB-SGX_Loading'!E23</f>
        <v>2.391</v>
      </c>
      <c r="I46" s="69">
        <f>'16_DB-SGX_Loading'!F23</f>
        <v>11.077999999999999</v>
      </c>
      <c r="J46" s="61">
        <f t="shared" ref="J46:J50" si="15">H46+I46</f>
        <v>13.468999999999999</v>
      </c>
      <c r="K46" s="62">
        <f>'16_DB-SGX_Loading'!H23</f>
        <v>19</v>
      </c>
      <c r="L46" s="62">
        <f>'16_DB-SGX_Loading'!I23</f>
        <v>0</v>
      </c>
      <c r="M46" s="62">
        <f>'16_DB-SGX_Loading'!J23</f>
        <v>0.19</v>
      </c>
      <c r="N46" s="62">
        <f>'16_DB-SGX_Loading'!K23</f>
        <v>0.23</v>
      </c>
      <c r="O46" s="63">
        <f t="shared" ref="O46:O50" si="16">(N46-M46)/N46*100</f>
        <v>17.39130434782609</v>
      </c>
      <c r="P46" s="69">
        <f>'16_DB-SGX_Loading'!M23</f>
        <v>33.103999999999999</v>
      </c>
      <c r="Q46" s="69">
        <f>'16_DB-SGX_Loading'!N23</f>
        <v>3.03</v>
      </c>
      <c r="R46" s="69">
        <f>'16_DB-SGX_Loading'!O23</f>
        <v>24.951000000000001</v>
      </c>
      <c r="S46" s="69">
        <f>'16_DB-SGX_Loading'!P23</f>
        <v>-6.5110000000000001</v>
      </c>
      <c r="T46" s="66">
        <f>'16_DB-SGX_Loading'!Q23</f>
        <v>1.1478975350410827</v>
      </c>
      <c r="U46" s="66">
        <f>'16_DB-SGX_Loading'!R23</f>
        <v>12.541254125412543</v>
      </c>
      <c r="V46" s="66">
        <f>'16_DB-SGX_Loading'!S23</f>
        <v>1.5229850506993707</v>
      </c>
      <c r="W46" s="66">
        <f>'16_DB-SGX_Loading'!T23</f>
        <v>-5.8362770695745656</v>
      </c>
      <c r="X46" s="244" t="s">
        <v>762</v>
      </c>
      <c r="Y46" s="230"/>
    </row>
    <row r="47" spans="1:25">
      <c r="A47">
        <v>3</v>
      </c>
      <c r="B47" t="str">
        <f>'16_DB-SGX_Loading'!B24</f>
        <v>GKE</v>
      </c>
      <c r="C47" s="62">
        <f>'16_DB-SGX_Loading'!C24</f>
        <v>64.394999999999996</v>
      </c>
      <c r="D47" s="62">
        <f>'16_DB-SGX_Loading'!D24</f>
        <v>0.28000000000000003</v>
      </c>
      <c r="E47" s="193">
        <f t="shared" si="12"/>
        <v>0.19439740472489342</v>
      </c>
      <c r="F47" s="63">
        <f t="shared" si="13"/>
        <v>34.663595492421031</v>
      </c>
      <c r="G47" s="63">
        <f t="shared" si="14"/>
        <v>65.336404507578976</v>
      </c>
      <c r="H47" s="69">
        <f>'16_DB-SGX_Loading'!E24</f>
        <v>53.122999999999998</v>
      </c>
      <c r="I47" s="69">
        <f>'16_DB-SGX_Loading'!F24</f>
        <v>100.13</v>
      </c>
      <c r="J47" s="61">
        <f t="shared" si="15"/>
        <v>153.25299999999999</v>
      </c>
      <c r="K47" s="62">
        <f>'16_DB-SGX_Loading'!H24</f>
        <v>7.5</v>
      </c>
      <c r="L47" s="62">
        <f>'16_DB-SGX_Loading'!I24</f>
        <v>5.33</v>
      </c>
      <c r="M47" s="62">
        <f>'16_DB-SGX_Loading'!J24</f>
        <v>7.4999999999999997E-2</v>
      </c>
      <c r="N47" s="62">
        <f>'16_DB-SGX_Loading'!K24</f>
        <v>9.5000000000000001E-2</v>
      </c>
      <c r="O47" s="63">
        <f t="shared" si="16"/>
        <v>21.052631578947373</v>
      </c>
      <c r="P47" s="69">
        <f>'16_DB-SGX_Loading'!M24</f>
        <v>126.51900000000001</v>
      </c>
      <c r="Q47" s="69">
        <f>'16_DB-SGX_Loading'!N24</f>
        <v>29.927</v>
      </c>
      <c r="R47" s="69">
        <f>'16_DB-SGX_Loading'!O24</f>
        <v>184.24</v>
      </c>
      <c r="S47" s="69">
        <f>'16_DB-SGX_Loading'!P24</f>
        <v>14.760999999999999</v>
      </c>
      <c r="T47" s="66">
        <f>'16_DB-SGX_Loading'!Q24</f>
        <v>0.50897493657079174</v>
      </c>
      <c r="U47" s="66">
        <f>'16_DB-SGX_Loading'!R24</f>
        <v>2.1517358906672901</v>
      </c>
      <c r="V47" s="66">
        <f>'16_DB-SGX_Loading'!S24</f>
        <v>0.34951693443334775</v>
      </c>
      <c r="W47" s="66">
        <f>'16_DB-SGX_Loading'!T24</f>
        <v>4.3625093150870535</v>
      </c>
      <c r="X47" s="244">
        <v>595</v>
      </c>
      <c r="Y47" s="230" t="s">
        <v>932</v>
      </c>
    </row>
    <row r="48" spans="1:25">
      <c r="A48">
        <v>4</v>
      </c>
      <c r="B48" t="str">
        <f>'16_DB-SGX_Loading'!B25</f>
        <v>Hiap Tong</v>
      </c>
      <c r="C48" s="62">
        <f>'16_DB-SGX_Loading'!C25</f>
        <v>35.545000000000002</v>
      </c>
      <c r="D48" s="62">
        <f>'16_DB-SGX_Loading'!D25</f>
        <v>-0.04</v>
      </c>
      <c r="E48" s="193">
        <f t="shared" si="12"/>
        <v>-2.7828631650079056E-2</v>
      </c>
      <c r="F48" s="63">
        <f t="shared" si="13"/>
        <v>34.509973582951496</v>
      </c>
      <c r="G48" s="63">
        <f t="shared" si="14"/>
        <v>65.490026417048497</v>
      </c>
      <c r="H48" s="69">
        <f>'16_DB-SGX_Loading'!E25</f>
        <v>52.646000000000001</v>
      </c>
      <c r="I48" s="69">
        <f>'16_DB-SGX_Loading'!F25</f>
        <v>99.906999999999996</v>
      </c>
      <c r="J48" s="61">
        <f t="shared" si="15"/>
        <v>152.553</v>
      </c>
      <c r="K48" s="62">
        <f>'16_DB-SGX_Loading'!H25</f>
        <v>11.2</v>
      </c>
      <c r="L48" s="62">
        <f>'16_DB-SGX_Loading'!I25</f>
        <v>0.89</v>
      </c>
      <c r="M48" s="62">
        <f>'16_DB-SGX_Loading'!J25</f>
        <v>0.112</v>
      </c>
      <c r="N48" s="62">
        <f>'16_DB-SGX_Loading'!K25</f>
        <v>9.6000000000000002E-2</v>
      </c>
      <c r="O48" s="63">
        <f t="shared" si="16"/>
        <v>-16.666666666666664</v>
      </c>
      <c r="P48" s="69">
        <f>'16_DB-SGX_Loading'!M25</f>
        <v>91.915999999999997</v>
      </c>
      <c r="Q48" s="69">
        <f>'16_DB-SGX_Loading'!N25</f>
        <v>23.984999999999999</v>
      </c>
      <c r="R48" s="69">
        <f>'16_DB-SGX_Loading'!O25</f>
        <v>182.02600000000001</v>
      </c>
      <c r="S48" s="69">
        <f>'16_DB-SGX_Loading'!P25</f>
        <v>19.872</v>
      </c>
      <c r="T48" s="66">
        <f>'16_DB-SGX_Loading'!Q25</f>
        <v>0.38671178032116282</v>
      </c>
      <c r="U48" s="66">
        <f>'16_DB-SGX_Loading'!R25</f>
        <v>1.4819678966020431</v>
      </c>
      <c r="V48" s="66">
        <f>'16_DB-SGX_Loading'!S25</f>
        <v>0.19527430147341587</v>
      </c>
      <c r="W48" s="66">
        <f>'16_DB-SGX_Loading'!T25</f>
        <v>1.7886976650563609</v>
      </c>
      <c r="X48" s="244" t="s">
        <v>843</v>
      </c>
      <c r="Y48" s="230"/>
    </row>
    <row r="49" spans="1:25">
      <c r="A49">
        <v>5</v>
      </c>
      <c r="B49" t="str">
        <f>'16_DB-SGX_Loading'!B26</f>
        <v>LS 2 Holdings</v>
      </c>
      <c r="C49" s="62">
        <f>'16_DB-SGX_Loading'!C26</f>
        <v>14.8</v>
      </c>
      <c r="D49" s="62">
        <f>'16_DB-SGX_Loading'!D26</f>
        <v>4.1100000000000003</v>
      </c>
      <c r="E49" s="193">
        <f t="shared" si="12"/>
        <v>3.7729932681562746</v>
      </c>
      <c r="F49" s="63">
        <f t="shared" si="13"/>
        <v>9.7159543403238651</v>
      </c>
      <c r="G49" s="63">
        <f t="shared" si="14"/>
        <v>90.284045659676138</v>
      </c>
      <c r="H49" s="69">
        <f>'16_DB-SGX_Loading'!E26</f>
        <v>2.5619999999999998</v>
      </c>
      <c r="I49" s="69">
        <f>'16_DB-SGX_Loading'!F26</f>
        <v>23.806999999999999</v>
      </c>
      <c r="J49" s="61">
        <f t="shared" si="15"/>
        <v>26.369</v>
      </c>
      <c r="K49" s="62">
        <f>'16_DB-SGX_Loading'!H26</f>
        <v>4</v>
      </c>
      <c r="L49" s="62">
        <f>'16_DB-SGX_Loading'!I26</f>
        <v>0</v>
      </c>
      <c r="M49" s="62">
        <f>'16_DB-SGX_Loading'!J26</f>
        <v>0.08</v>
      </c>
      <c r="N49" s="62">
        <f>'16_DB-SGX_Loading'!K26</f>
        <v>7.3999999999999996E-2</v>
      </c>
      <c r="O49" s="63">
        <f t="shared" si="16"/>
        <v>-8.1081081081081159</v>
      </c>
      <c r="P49" s="69">
        <f>'16_DB-SGX_Loading'!M26</f>
        <v>71.805000000000007</v>
      </c>
      <c r="Q49" s="69">
        <f>'16_DB-SGX_Loading'!N26</f>
        <v>7.6139999999999999</v>
      </c>
      <c r="R49" s="69">
        <f>'16_DB-SGX_Loading'!O26</f>
        <v>37.841000000000001</v>
      </c>
      <c r="S49" s="69">
        <f>'16_DB-SGX_Loading'!P26</f>
        <v>6.1539999999999999</v>
      </c>
      <c r="T49" s="66">
        <f>'16_DB-SGX_Loading'!Q26</f>
        <v>0.20611378037741104</v>
      </c>
      <c r="U49" s="66">
        <f>'16_DB-SGX_Loading'!R26</f>
        <v>1.9437877593905963</v>
      </c>
      <c r="V49" s="66">
        <f>'16_DB-SGX_Loading'!S26</f>
        <v>0.39111017150709548</v>
      </c>
      <c r="W49" s="66">
        <f>'16_DB-SGX_Loading'!T26</f>
        <v>2.4049398765030876</v>
      </c>
      <c r="X49" s="244" t="s">
        <v>922</v>
      </c>
      <c r="Y49" s="230"/>
    </row>
    <row r="50" spans="1:25">
      <c r="A50">
        <v>6</v>
      </c>
      <c r="B50" t="str">
        <f>'16_DB-SGX_Loading'!B27</f>
        <v>VCPlus</v>
      </c>
      <c r="C50" s="62">
        <f>'16_DB-SGX_Loading'!C27</f>
        <v>17.012</v>
      </c>
      <c r="D50" s="62">
        <f>'16_DB-SGX_Loading'!D27</f>
        <v>0.69</v>
      </c>
      <c r="E50" s="193">
        <f t="shared" si="12"/>
        <v>0.56308173640985526</v>
      </c>
      <c r="F50" s="63">
        <f t="shared" si="13"/>
        <v>21.356783919597991</v>
      </c>
      <c r="G50" s="63">
        <f t="shared" si="14"/>
        <v>78.643216080402013</v>
      </c>
      <c r="H50" s="69">
        <f>'16_DB-SGX_Loading'!E27</f>
        <v>0.17</v>
      </c>
      <c r="I50" s="69">
        <f>'16_DB-SGX_Loading'!F27</f>
        <v>0.626</v>
      </c>
      <c r="J50" s="61">
        <f t="shared" si="15"/>
        <v>0.79600000000000004</v>
      </c>
      <c r="K50" s="62">
        <f>'16_DB-SGX_Loading'!H27</f>
        <v>0</v>
      </c>
      <c r="L50" s="62">
        <f>'16_DB-SGX_Loading'!I27</f>
        <v>0</v>
      </c>
      <c r="M50" s="62">
        <f>'16_DB-SGX_Loading'!J27</f>
        <v>3.0000000000000001E-3</v>
      </c>
      <c r="N50" s="62">
        <f>'16_DB-SGX_Loading'!K27</f>
        <v>3.0000000000000001E-3</v>
      </c>
      <c r="O50" s="63">
        <f t="shared" si="16"/>
        <v>0</v>
      </c>
      <c r="P50" s="69">
        <f>'16_DB-SGX_Loading'!M27</f>
        <v>0.191</v>
      </c>
      <c r="Q50" s="69">
        <f>'16_DB-SGX_Loading'!N27</f>
        <v>-2.2810000000000001</v>
      </c>
      <c r="R50" s="69">
        <f>'16_DB-SGX_Loading'!O27</f>
        <v>1.4710000000000001</v>
      </c>
      <c r="S50" s="69">
        <f>'16_DB-SGX_Loading'!P27</f>
        <v>-1.3879999999999999</v>
      </c>
      <c r="T50" s="66">
        <f>'16_DB-SGX_Loading'!Q27</f>
        <v>89.068062827225134</v>
      </c>
      <c r="U50" s="66">
        <f>'16_DB-SGX_Loading'!R27</f>
        <v>-7.4581323980710215</v>
      </c>
      <c r="V50" s="66">
        <f>'16_DB-SGX_Loading'!S27</f>
        <v>11.56492182188987</v>
      </c>
      <c r="W50" s="66">
        <f>'16_DB-SGX_Loading'!T27</f>
        <v>-12.256484149855909</v>
      </c>
      <c r="X50" s="244" t="s">
        <v>1150</v>
      </c>
      <c r="Y50" s="230"/>
    </row>
    <row r="51" spans="1:25">
      <c r="A51">
        <v>7</v>
      </c>
      <c r="B51" t="str">
        <f>'16_DB-SGX_Loading'!B28</f>
        <v>ZICO Hldgs</v>
      </c>
      <c r="C51" s="62">
        <f>'16_DB-SGX_Loading'!C28</f>
        <v>19.707000000000001</v>
      </c>
      <c r="D51" s="62">
        <f>'16_DB-SGX_Loading'!D28</f>
        <v>0.18</v>
      </c>
      <c r="E51" s="193">
        <f t="shared" si="12"/>
        <v>0.14286699702499495</v>
      </c>
      <c r="F51" s="63">
        <f t="shared" si="13"/>
        <v>23.847139197267293</v>
      </c>
      <c r="G51" s="63">
        <f t="shared" si="14"/>
        <v>76.152860802732718</v>
      </c>
      <c r="H51" s="69">
        <f>'16_DB-SGX_Loading'!E28</f>
        <v>8.9359999999999999</v>
      </c>
      <c r="I51" s="69">
        <f>'16_DB-SGX_Loading'!F28</f>
        <v>28.536000000000001</v>
      </c>
      <c r="J51" s="67">
        <f>H51+I51</f>
        <v>37.472000000000001</v>
      </c>
      <c r="K51" s="62">
        <f>'16_DB-SGX_Loading'!H28</f>
        <v>0</v>
      </c>
      <c r="L51" s="62">
        <f>'16_DB-SGX_Loading'!I28</f>
        <v>0</v>
      </c>
      <c r="M51" s="62">
        <f>'16_DB-SGX_Loading'!J28</f>
        <v>4.8000000000000001E-2</v>
      </c>
      <c r="N51" s="62">
        <f>'16_DB-SGX_Loading'!K28</f>
        <v>5.5E-2</v>
      </c>
      <c r="O51" s="63">
        <f>(M51-N51)/N51*100</f>
        <v>-12.727272727272727</v>
      </c>
      <c r="P51" s="69">
        <f>'16_DB-SGX_Loading'!M28</f>
        <v>14.311999999999999</v>
      </c>
      <c r="Q51" s="69">
        <f>'16_DB-SGX_Loading'!N28</f>
        <v>3.5489999999999999</v>
      </c>
      <c r="R51" s="69">
        <f>'16_DB-SGX_Loading'!O28</f>
        <v>42.195999999999998</v>
      </c>
      <c r="S51" s="69">
        <f>'16_DB-SGX_Loading'!P28</f>
        <v>-0.504</v>
      </c>
      <c r="T51" s="66">
        <f>'16_DB-SGX_Loading'!Q28</f>
        <v>1.3769564002235888</v>
      </c>
      <c r="U51" s="66">
        <f>'16_DB-SGX_Loading'!R28</f>
        <v>5.5528317836010146</v>
      </c>
      <c r="V51" s="66">
        <f>'16_DB-SGX_Loading'!S28</f>
        <v>0.46703479002749082</v>
      </c>
      <c r="W51" s="66">
        <f>'16_DB-SGX_Loading'!T28</f>
        <v>-39.101190476190474</v>
      </c>
      <c r="X51" s="244" t="s">
        <v>1187</v>
      </c>
      <c r="Y51" s="229"/>
    </row>
    <row r="52" spans="1:25">
      <c r="A52">
        <v>8</v>
      </c>
      <c r="B52" t="str">
        <f>'16_DB-SGX_Loading'!B29</f>
        <v>UnUsUaL</v>
      </c>
      <c r="C52" s="62">
        <f>'16_DB-SGX_Loading'!C29</f>
        <v>25.553000000000001</v>
      </c>
      <c r="D52" s="62">
        <f>'16_DB-SGX_Loading'!D29</f>
        <v>-0.38</v>
      </c>
      <c r="E52" s="193">
        <f t="shared" si="12"/>
        <v>-0.36048030509161633</v>
      </c>
      <c r="F52" s="63">
        <f t="shared" si="13"/>
        <v>6.124434009726647</v>
      </c>
      <c r="G52" s="63">
        <f t="shared" si="14"/>
        <v>93.875565990273344</v>
      </c>
      <c r="H52" s="69">
        <f>'16_DB-SGX_Loading'!E29</f>
        <v>1.8260000000000001</v>
      </c>
      <c r="I52" s="69">
        <f>'16_DB-SGX_Loading'!F29</f>
        <v>27.989000000000001</v>
      </c>
      <c r="J52" s="67">
        <f>H52+I52</f>
        <v>29.815000000000001</v>
      </c>
      <c r="K52" s="62">
        <f>'16_DB-SGX_Loading'!H29</f>
        <v>0</v>
      </c>
      <c r="L52" s="62">
        <f>'16_DB-SGX_Loading'!I29</f>
        <v>0</v>
      </c>
      <c r="M52" s="62">
        <f>'16_DB-SGX_Loading'!J29</f>
        <v>2.5000000000000001E-2</v>
      </c>
      <c r="N52" s="62">
        <f>'16_DB-SGX_Loading'!K29</f>
        <v>3.5999999999999997E-2</v>
      </c>
      <c r="O52" s="63">
        <f>(M52-N52)/N52*100</f>
        <v>-30.555555555555546</v>
      </c>
      <c r="P52" s="69">
        <f>'16_DB-SGX_Loading'!M29</f>
        <v>53.219000000000001</v>
      </c>
      <c r="Q52" s="69">
        <f>'16_DB-SGX_Loading'!N29</f>
        <v>-18.574999999999999</v>
      </c>
      <c r="R52" s="69">
        <f>'16_DB-SGX_Loading'!O29</f>
        <v>37.47</v>
      </c>
      <c r="S52" s="69">
        <f>'16_DB-SGX_Loading'!P29</f>
        <v>4.3730000000000002</v>
      </c>
      <c r="T52" s="66">
        <f>'16_DB-SGX_Loading'!Q29</f>
        <v>0.48014806741953064</v>
      </c>
      <c r="U52" s="66">
        <f>'16_DB-SGX_Loading'!R29</f>
        <v>-1.3756662180349934</v>
      </c>
      <c r="V52" s="66">
        <f>'16_DB-SGX_Loading'!S29</f>
        <v>0.68195890045369634</v>
      </c>
      <c r="W52" s="66">
        <f>'16_DB-SGX_Loading'!T29</f>
        <v>5.8433569631831697</v>
      </c>
      <c r="X52" s="244" t="s">
        <v>1138</v>
      </c>
      <c r="Y52" s="229"/>
    </row>
    <row r="53" spans="1:25">
      <c r="A53">
        <v>9</v>
      </c>
      <c r="B53" t="str">
        <f>'16_DB-SGX_Loading'!B30</f>
        <v>Abundante</v>
      </c>
      <c r="C53" s="62">
        <f>'16_DB-SGX_Loading'!C30</f>
        <v>15.26</v>
      </c>
      <c r="D53" s="62">
        <f>'16_DB-SGX_Loading'!D30</f>
        <v>0.3</v>
      </c>
      <c r="E53" s="193">
        <f t="shared" si="12"/>
        <v>0.29999866416903825</v>
      </c>
      <c r="F53" s="63">
        <f t="shared" si="13"/>
        <v>5.3647780859544748E-4</v>
      </c>
      <c r="G53" s="63">
        <f t="shared" si="14"/>
        <v>99.999463522191405</v>
      </c>
      <c r="H53" s="69">
        <v>1E-4</v>
      </c>
      <c r="I53" s="69">
        <f>'16_DB-SGX_Loading'!F30</f>
        <v>18.64</v>
      </c>
      <c r="J53" s="67">
        <f>H53+I53</f>
        <v>18.6401</v>
      </c>
      <c r="K53" s="62">
        <f>'16_DB-SGX_Loading'!H30</f>
        <v>0</v>
      </c>
      <c r="L53" s="62">
        <f>'16_DB-SGX_Loading'!I30</f>
        <v>0</v>
      </c>
      <c r="M53" s="62">
        <f>'16_DB-SGX_Loading'!J30</f>
        <v>0.15</v>
      </c>
      <c r="N53" s="62">
        <f>'16_DB-SGX_Loading'!K30</f>
        <v>0.16</v>
      </c>
      <c r="O53" s="63">
        <f>(M53-N53)/N53*100</f>
        <v>-6.2500000000000053</v>
      </c>
      <c r="P53" s="69">
        <f>'16_DB-SGX_Loading'!M30</f>
        <v>7.3259999999999996</v>
      </c>
      <c r="Q53" s="69">
        <f>'16_DB-SGX_Loading'!N30</f>
        <v>0.78100000000000003</v>
      </c>
      <c r="R53" s="69">
        <f>'16_DB-SGX_Loading'!O30</f>
        <v>19.591999999999999</v>
      </c>
      <c r="S53" s="69">
        <f>'16_DB-SGX_Loading'!P30</f>
        <v>0.25109999999999999</v>
      </c>
      <c r="T53" s="66">
        <f>'16_DB-SGX_Loading'!Q30</f>
        <v>2.0829920829920829</v>
      </c>
      <c r="U53" s="66">
        <f>'16_DB-SGX_Loading'!R30</f>
        <v>19.539052496798973</v>
      </c>
      <c r="V53" s="66">
        <f>'16_DB-SGX_Loading'!S30</f>
        <v>0.77888934258881182</v>
      </c>
      <c r="W53" s="66">
        <f>'16_DB-SGX_Loading'!T30</f>
        <v>60.772600557546795</v>
      </c>
      <c r="X53" s="244">
        <v>570</v>
      </c>
      <c r="Y53" s="229"/>
    </row>
    <row r="54" spans="1:25">
      <c r="A54">
        <v>10</v>
      </c>
      <c r="B54" t="str">
        <f>'16_DB-SGX_Loading'!B32</f>
        <v>Chasen</v>
      </c>
      <c r="C54" s="62">
        <f>'16_DB-SGX_Loading'!C32</f>
        <v>29.45</v>
      </c>
      <c r="D54" s="62">
        <f>'16_DB-SGX_Loading'!D32</f>
        <v>0.28000000000000003</v>
      </c>
      <c r="E54" s="193">
        <f t="shared" si="12"/>
        <v>0.1388352398091747</v>
      </c>
      <c r="F54" s="63">
        <f t="shared" si="13"/>
        <v>55.05688621117605</v>
      </c>
      <c r="G54" s="63">
        <f t="shared" si="14"/>
        <v>44.94311378882395</v>
      </c>
      <c r="H54" s="69">
        <f>'16_DB-SGX_Loading'!E32</f>
        <v>100.70399999999999</v>
      </c>
      <c r="I54" s="69">
        <f>'16_DB-SGX_Loading'!F32</f>
        <v>82.204999999999998</v>
      </c>
      <c r="J54" s="67">
        <f t="shared" ref="J54:J56" si="17">H54+I54</f>
        <v>182.90899999999999</v>
      </c>
      <c r="K54" s="62">
        <f>'16_DB-SGX_Loading'!H32</f>
        <v>0</v>
      </c>
      <c r="L54" s="62">
        <f>'16_DB-SGX_Loading'!I32</f>
        <v>0</v>
      </c>
      <c r="M54" s="62">
        <f>'16_DB-SGX_Loading'!J32</f>
        <v>7.6999999999999999E-2</v>
      </c>
      <c r="N54" s="62">
        <f>'16_DB-SGX_Loading'!K32</f>
        <v>8.6999999999999994E-2</v>
      </c>
      <c r="O54" s="63">
        <f t="shared" ref="O54:O56" si="18">(M54-N54)/N54*100</f>
        <v>-11.494252873563214</v>
      </c>
      <c r="P54" s="69">
        <f>'16_DB-SGX_Loading'!M32</f>
        <v>116.322</v>
      </c>
      <c r="Q54" s="69">
        <f>'16_DB-SGX_Loading'!N32</f>
        <v>5.1509999999999998</v>
      </c>
      <c r="R54" s="69">
        <f>'16_DB-SGX_Loading'!O32</f>
        <v>205.471</v>
      </c>
      <c r="S54" s="69">
        <f>'16_DB-SGX_Loading'!P32</f>
        <v>-53.247</v>
      </c>
      <c r="T54" s="66">
        <f>'16_DB-SGX_Loading'!Q32</f>
        <v>0.25317652722614808</v>
      </c>
      <c r="U54" s="66">
        <f>'16_DB-SGX_Loading'!R32</f>
        <v>5.7173364395263055</v>
      </c>
      <c r="V54" s="66">
        <f>'16_DB-SGX_Loading'!S32</f>
        <v>0.14332922894228381</v>
      </c>
      <c r="W54" s="66">
        <f>'16_DB-SGX_Loading'!T32</f>
        <v>-0.5530828027870115</v>
      </c>
      <c r="X54" s="244" t="s">
        <v>716</v>
      </c>
    </row>
    <row r="55" spans="1:25">
      <c r="A55">
        <v>11</v>
      </c>
      <c r="B55" t="str">
        <f>'16_DB-SGX_Loading'!B33</f>
        <v>Eneco Energy</v>
      </c>
      <c r="C55" s="62">
        <f>'16_DB-SGX_Loading'!C33</f>
        <v>34.207999999999998</v>
      </c>
      <c r="D55" s="62">
        <f>'16_DB-SGX_Loading'!D33</f>
        <v>0.66</v>
      </c>
      <c r="E55" s="193">
        <f t="shared" si="12"/>
        <v>0.48144478731101242</v>
      </c>
      <c r="F55" s="63">
        <f t="shared" si="13"/>
        <v>30.883656159007465</v>
      </c>
      <c r="G55" s="63">
        <f t="shared" si="14"/>
        <v>69.116343840992528</v>
      </c>
      <c r="H55" s="69">
        <f>'16_DB-SGX_Loading'!E33</f>
        <v>9.7579999999999991</v>
      </c>
      <c r="I55" s="69">
        <f>'16_DB-SGX_Loading'!F33</f>
        <v>21.838000000000001</v>
      </c>
      <c r="J55" s="67">
        <f t="shared" si="17"/>
        <v>31.596</v>
      </c>
      <c r="K55" s="62">
        <f>'16_DB-SGX_Loading'!H33</f>
        <v>0</v>
      </c>
      <c r="L55" s="62">
        <f>'16_DB-SGX_Loading'!I33</f>
        <v>0</v>
      </c>
      <c r="M55" s="62">
        <f>'16_DB-SGX_Loading'!J33</f>
        <v>8.9999999999999993E-3</v>
      </c>
      <c r="N55" s="62">
        <f>'16_DB-SGX_Loading'!K33</f>
        <v>0.01</v>
      </c>
      <c r="O55" s="63">
        <f t="shared" si="18"/>
        <v>-10.000000000000009</v>
      </c>
      <c r="P55" s="69">
        <f>'16_DB-SGX_Loading'!M33</f>
        <v>31.302</v>
      </c>
      <c r="Q55" s="69">
        <f>'16_DB-SGX_Loading'!N33</f>
        <v>6.5229999999999997</v>
      </c>
      <c r="R55" s="69">
        <f>'16_DB-SGX_Loading'!O33</f>
        <v>37.445</v>
      </c>
      <c r="S55" s="69">
        <f>'16_DB-SGX_Loading'!P33</f>
        <v>3.3730000000000002</v>
      </c>
      <c r="T55" s="66">
        <f>'16_DB-SGX_Loading'!Q33</f>
        <v>1.0928375183694332</v>
      </c>
      <c r="U55" s="66">
        <f>'16_DB-SGX_Loading'!R33</f>
        <v>5.2442127855281315</v>
      </c>
      <c r="V55" s="66">
        <f>'16_DB-SGX_Loading'!S33</f>
        <v>0.91355321137668577</v>
      </c>
      <c r="W55" s="66">
        <f>'16_DB-SGX_Loading'!T33</f>
        <v>10.141713608064038</v>
      </c>
      <c r="X55" s="244" t="s">
        <v>778</v>
      </c>
    </row>
    <row r="56" spans="1:25">
      <c r="A56">
        <v>12</v>
      </c>
      <c r="B56" t="str">
        <f>'16_DB-SGX_Loading'!B34</f>
        <v>KingsmenCreative</v>
      </c>
      <c r="C56" s="62">
        <f>'16_DB-SGX_Loading'!C34</f>
        <v>120.15900000000001</v>
      </c>
      <c r="D56" s="62">
        <f>'16_DB-SGX_Loading'!D34</f>
        <v>0.22</v>
      </c>
      <c r="E56" s="193">
        <f t="shared" si="12"/>
        <v>0.19939953221745094</v>
      </c>
      <c r="F56" s="63">
        <f t="shared" si="13"/>
        <v>11.069445239594664</v>
      </c>
      <c r="G56" s="63">
        <f t="shared" si="14"/>
        <v>88.930554760405343</v>
      </c>
      <c r="H56" s="69">
        <f>'16_DB-SGX_Loading'!E34</f>
        <v>15.468</v>
      </c>
      <c r="I56" s="69">
        <f>'16_DB-SGX_Loading'!F34</f>
        <v>124.268</v>
      </c>
      <c r="J56" s="67">
        <f t="shared" si="17"/>
        <v>139.73599999999999</v>
      </c>
      <c r="K56" s="62">
        <f>'16_DB-SGX_Loading'!H34</f>
        <v>8.5</v>
      </c>
      <c r="L56" s="62">
        <f>'16_DB-SGX_Loading'!I34</f>
        <v>5.04</v>
      </c>
      <c r="M56" s="62">
        <f>'16_DB-SGX_Loading'!J34</f>
        <v>0.59499999999999997</v>
      </c>
      <c r="N56" s="62">
        <f>'16_DB-SGX_Loading'!K34</f>
        <v>0.5</v>
      </c>
      <c r="O56" s="63">
        <f t="shared" si="18"/>
        <v>18.999999999999993</v>
      </c>
      <c r="P56" s="69">
        <f>'16_DB-SGX_Loading'!M34</f>
        <v>372.54399999999998</v>
      </c>
      <c r="Q56" s="69">
        <f>'16_DB-SGX_Loading'!N34</f>
        <v>23.413</v>
      </c>
      <c r="R56" s="69">
        <f>'16_DB-SGX_Loading'!O34</f>
        <v>284.75400000000002</v>
      </c>
      <c r="S56" s="69">
        <f>'16_DB-SGX_Loading'!P34</f>
        <v>27.541</v>
      </c>
      <c r="T56" s="66">
        <f>'16_DB-SGX_Loading'!Q34</f>
        <v>0.32253639838515724</v>
      </c>
      <c r="U56" s="66">
        <f>'16_DB-SGX_Loading'!R34</f>
        <v>5.1321488062187672</v>
      </c>
      <c r="V56" s="66">
        <f>'16_DB-SGX_Loading'!S34</f>
        <v>0.42197475715881078</v>
      </c>
      <c r="W56" s="66">
        <f>'16_DB-SGX_Loading'!T34</f>
        <v>4.3629134744562652</v>
      </c>
      <c r="X56" s="244" t="s">
        <v>902</v>
      </c>
    </row>
    <row r="57" spans="1:25">
      <c r="A57">
        <v>13</v>
      </c>
      <c r="B57" t="str">
        <f>'16_DB-SGX_Loading'!B19</f>
        <v>Raffles Edu</v>
      </c>
      <c r="C57" s="62">
        <f>'16_DB-SGX_Loading'!C19</f>
        <v>224.357</v>
      </c>
      <c r="D57" s="62">
        <f>'16_DB-SGX_Loading'!D19</f>
        <v>0.72</v>
      </c>
      <c r="E57" s="63">
        <f>D57/(1+(1-0.17)*(F57/G57))</f>
        <v>0.56091346194366465</v>
      </c>
      <c r="F57" s="63">
        <f>H57/J57%</f>
        <v>25.468323854380948</v>
      </c>
      <c r="G57" s="63">
        <f>I57/J57%</f>
        <v>74.531676145619045</v>
      </c>
      <c r="H57" s="62">
        <f>'16_DB-SGX_Loading'!E19</f>
        <v>218.887</v>
      </c>
      <c r="I57" s="62">
        <f>'16_DB-SGX_Loading'!F19</f>
        <v>640.56100000000004</v>
      </c>
      <c r="J57" s="67">
        <f>H57+I57</f>
        <v>859.44800000000009</v>
      </c>
      <c r="K57" s="62">
        <f>'16_DB-SGX_Loading'!H19</f>
        <v>0</v>
      </c>
      <c r="L57" s="62">
        <f>'16_DB-SGX_Loading'!I19</f>
        <v>0</v>
      </c>
      <c r="M57" s="62">
        <f>'16_DB-SGX_Loading'!J19</f>
        <v>0.126</v>
      </c>
      <c r="N57" s="62">
        <f>'16_DB-SGX_Loading'!K19</f>
        <v>0.13900000000000001</v>
      </c>
      <c r="O57" s="63">
        <f>(M57-N57)/N57*100</f>
        <v>-9.3525179856115184</v>
      </c>
      <c r="P57" s="62">
        <f>'16_DB-SGX_Loading'!M19</f>
        <v>111.71</v>
      </c>
      <c r="Q57" s="62">
        <f>'16_DB-SGX_Loading'!N19</f>
        <v>43.6</v>
      </c>
      <c r="R57" s="62">
        <f>'16_DB-SGX_Loading'!O19</f>
        <v>1018.751</v>
      </c>
      <c r="S57" s="62">
        <f>'16_DB-SGX_Loading'!P19</f>
        <v>0.14499999999999999</v>
      </c>
      <c r="T57" s="246">
        <f>C57/P57</f>
        <v>2.0083877898129083</v>
      </c>
      <c r="U57" s="246">
        <f>C57/Q57</f>
        <v>5.1458027522935774</v>
      </c>
      <c r="V57" s="246">
        <f>C57/R57</f>
        <v>0.22022751388710293</v>
      </c>
      <c r="W57" s="246">
        <f>C57/S57</f>
        <v>1547.2896551724139</v>
      </c>
      <c r="X57" s="244" t="s">
        <v>1031</v>
      </c>
    </row>
    <row r="58" spans="1:25">
      <c r="B58" s="21" t="s">
        <v>1263</v>
      </c>
      <c r="D58" s="35">
        <f>SUM(D45:D57)</f>
        <v>8.1000000000000014</v>
      </c>
      <c r="E58" s="121">
        <f>SUM(E45:E57)</f>
        <v>6.8936169417419961</v>
      </c>
      <c r="F58" s="256">
        <f>AVERAGE(H45:H57)/AVERAGE(I45:I57)</f>
        <v>0.38782686843124775</v>
      </c>
      <c r="G58" t="s">
        <v>2405</v>
      </c>
      <c r="S58" t="s">
        <v>1278</v>
      </c>
      <c r="T58" s="19">
        <f>SUM(T45:T48)+SUM(T68:T70)</f>
        <v>5.8347599851995202</v>
      </c>
      <c r="U58" s="19">
        <f>SUM(U45:U48)+SUM(U68:U70)</f>
        <v>26.626236419938266</v>
      </c>
      <c r="V58" s="19">
        <f>SUM(V45:V48)+SUM(V68:V70)</f>
        <v>4.3930501670597186</v>
      </c>
      <c r="W58" s="19">
        <f>SUM(W45:W48)+SUM(W68:W70)</f>
        <v>13.951539468729354</v>
      </c>
    </row>
    <row r="59" spans="1:25">
      <c r="B59" s="21" t="s">
        <v>1264</v>
      </c>
      <c r="D59" s="35">
        <f>AVERAGE(D45:D57)</f>
        <v>0.62307692307692319</v>
      </c>
      <c r="E59" s="35">
        <f>AVERAGE(E45:E57)</f>
        <v>0.53027822628784582</v>
      </c>
      <c r="F59" s="29">
        <f>E59*(1+(1-E70)*F58)</f>
        <v>0.70097282572359398</v>
      </c>
      <c r="G59" t="s">
        <v>2404</v>
      </c>
      <c r="S59" t="s">
        <v>1279</v>
      </c>
      <c r="T59" s="19">
        <f>T58/11</f>
        <v>0.53043272592722912</v>
      </c>
      <c r="U59" s="19">
        <f>U58/11</f>
        <v>2.420566947267115</v>
      </c>
      <c r="V59" s="19">
        <f>V58/11</f>
        <v>0.39936819700542897</v>
      </c>
      <c r="W59" s="19">
        <f>W58/11</f>
        <v>1.2683217698844869</v>
      </c>
    </row>
    <row r="60" spans="1:25" ht="15" thickBot="1">
      <c r="A60">
        <v>3</v>
      </c>
      <c r="B60" s="22" t="s">
        <v>1280</v>
      </c>
      <c r="E60" s="30">
        <f xml:space="preserve"> E59 * D28</f>
        <v>2.4657937522384832</v>
      </c>
      <c r="F60" s="192"/>
      <c r="H60" s="21" t="s">
        <v>1281</v>
      </c>
      <c r="I60" s="31" t="s">
        <v>1282</v>
      </c>
      <c r="J60" s="31"/>
      <c r="K60" s="31"/>
      <c r="L60" s="31"/>
      <c r="M60" s="31"/>
      <c r="S60" t="s">
        <v>1283</v>
      </c>
      <c r="T60" s="19">
        <f>MEDIAN(T45:T48)</f>
        <v>0.82843623580593717</v>
      </c>
      <c r="U60" s="19">
        <f>MEDIAN(U45:U48)</f>
        <v>6.3015071989618416</v>
      </c>
      <c r="V60" s="19">
        <f>MEDIAN(V45:V48)</f>
        <v>0.93625099256635924</v>
      </c>
      <c r="W60" s="19">
        <f>MEDIAN(W45:W48)</f>
        <v>3.0756034900717069</v>
      </c>
    </row>
    <row r="61" spans="1:25">
      <c r="B61" t="s">
        <v>1266</v>
      </c>
    </row>
    <row r="62" spans="1:25">
      <c r="C62" t="s">
        <v>2500</v>
      </c>
      <c r="D62" s="35">
        <f>D58+D23</f>
        <v>11.770000000000001</v>
      </c>
      <c r="E62" s="35">
        <f>E58+E23</f>
        <v>9.5625416658615396</v>
      </c>
      <c r="F62" s="121">
        <f>(AVERAGE(H13:H21)+AVERAGE(H45:H57))/(AVERAGE(I13:I21)+AVERAGE(I45:I57))</f>
        <v>0.75683008399248131</v>
      </c>
    </row>
    <row r="63" spans="1:25">
      <c r="D63" s="35">
        <f>AVERAGE(D45:D57)+AVERAGE(D13:D21)</f>
        <v>1.0308547008547011</v>
      </c>
      <c r="E63" s="35">
        <f>AVERAGE(E45:E57)+AVERAGE(E13:E21)</f>
        <v>0.82682541785668406</v>
      </c>
      <c r="F63" s="29">
        <f>E63*(1+(1-E70)*F62)</f>
        <v>1.346211488724866</v>
      </c>
      <c r="G63" t="s">
        <v>2509</v>
      </c>
      <c r="J63" s="35">
        <f>(E67*D28)-D28</f>
        <v>1.6098834225706264</v>
      </c>
    </row>
    <row r="64" spans="1:25">
      <c r="M64" s="35"/>
    </row>
    <row r="65" spans="1:19">
      <c r="A65" s="172" t="s">
        <v>1691</v>
      </c>
      <c r="B65" s="24" t="s">
        <v>2073</v>
      </c>
    </row>
    <row r="66" spans="1:19">
      <c r="A66" s="1"/>
      <c r="B66" s="170" t="s">
        <v>1268</v>
      </c>
    </row>
    <row r="67" spans="1:19" ht="31.2">
      <c r="B67" s="312" t="s">
        <v>1807</v>
      </c>
      <c r="C67" s="312"/>
      <c r="D67" s="312"/>
      <c r="E67" s="25">
        <f>E69*(1+(1-E70)*F62)</f>
        <v>1.346211488724866</v>
      </c>
      <c r="G67" s="143"/>
    </row>
    <row r="68" spans="1:19">
      <c r="A68" s="1"/>
      <c r="B68" s="55" t="s">
        <v>1808</v>
      </c>
      <c r="H68" t="s">
        <v>2406</v>
      </c>
      <c r="J68" s="35">
        <f>SUM(H13:H21)+SUM(H45:H57)</f>
        <v>45824.277100000007</v>
      </c>
    </row>
    <row r="69" spans="1:19">
      <c r="A69" s="1"/>
      <c r="B69" s="55" t="s">
        <v>1811</v>
      </c>
      <c r="E69" s="121">
        <f>E63</f>
        <v>0.82682541785668406</v>
      </c>
      <c r="H69" t="s">
        <v>2407</v>
      </c>
      <c r="J69" s="35">
        <f>SUM(I13:I21)+SUM(I45:I57)</f>
        <v>60728.09399999999</v>
      </c>
    </row>
    <row r="70" spans="1:19">
      <c r="A70" s="1"/>
      <c r="B70" s="55" t="s">
        <v>1809</v>
      </c>
      <c r="E70">
        <f>'01_Inputs'!E13</f>
        <v>0.17</v>
      </c>
      <c r="H70" t="s">
        <v>2410</v>
      </c>
      <c r="J70">
        <f>J68/J69</f>
        <v>0.75458118445146682</v>
      </c>
    </row>
    <row r="71" spans="1:19">
      <c r="A71" s="1"/>
      <c r="B71" s="55"/>
      <c r="E71" s="59"/>
      <c r="H71" t="s">
        <v>2408</v>
      </c>
      <c r="J71" s="121">
        <f>(AVERAGE(E13:E21)+AVERAGE(E45:E57))</f>
        <v>0.82682541785668406</v>
      </c>
    </row>
    <row r="72" spans="1:19">
      <c r="A72" s="1"/>
      <c r="H72" t="s">
        <v>1290</v>
      </c>
      <c r="J72" s="121">
        <f>D28</f>
        <v>4.6500000000000004</v>
      </c>
    </row>
    <row r="73" spans="1:19" ht="15" thickBot="1">
      <c r="B73" s="187" t="s">
        <v>2149</v>
      </c>
      <c r="C73" s="32"/>
      <c r="D73" s="188">
        <v>46022</v>
      </c>
      <c r="H73" t="s">
        <v>2409</v>
      </c>
      <c r="J73" s="257">
        <f>J71*(1+(1-E70)*J70)</f>
        <v>1.3446681474636109</v>
      </c>
      <c r="S73" s="120"/>
    </row>
    <row r="74" spans="1:19">
      <c r="A74" s="21" t="s">
        <v>560</v>
      </c>
      <c r="B74" s="55" t="s">
        <v>2150</v>
      </c>
      <c r="D74">
        <v>0.24</v>
      </c>
      <c r="S74" s="120"/>
    </row>
    <row r="75" spans="1:19">
      <c r="A75" s="21" t="s">
        <v>1708</v>
      </c>
      <c r="B75" s="55" t="s">
        <v>2151</v>
      </c>
      <c r="D75">
        <v>0.32</v>
      </c>
      <c r="J75" s="142"/>
    </row>
    <row r="76" spans="1:19">
      <c r="A76" s="21" t="s">
        <v>566</v>
      </c>
      <c r="B76" s="55" t="s">
        <v>2152</v>
      </c>
      <c r="D76">
        <v>0.17</v>
      </c>
    </row>
    <row r="98" spans="1:1">
      <c r="A98" s="1"/>
    </row>
    <row r="100" spans="1:1">
      <c r="A100" s="1"/>
    </row>
    <row r="101" spans="1:1">
      <c r="A101" s="1"/>
    </row>
    <row r="103" spans="1:1">
      <c r="A103" s="1"/>
    </row>
    <row r="105" spans="1:1">
      <c r="A105" s="1"/>
    </row>
    <row r="107" spans="1:1">
      <c r="A107" s="1"/>
    </row>
    <row r="109" spans="1:1">
      <c r="A109" s="1"/>
    </row>
    <row r="111" spans="1:1">
      <c r="A111" s="1"/>
    </row>
    <row r="113" spans="1:1">
      <c r="A113" s="1"/>
    </row>
    <row r="114" spans="1:1">
      <c r="A114" s="1"/>
    </row>
    <row r="115" spans="1:1">
      <c r="A115" s="1"/>
    </row>
    <row r="117" spans="1:1">
      <c r="A117" s="1"/>
    </row>
    <row r="118" spans="1:1">
      <c r="A118" s="1"/>
    </row>
    <row r="119" spans="1:1">
      <c r="A119" s="1"/>
    </row>
    <row r="121" spans="1:1">
      <c r="A121" s="1"/>
    </row>
    <row r="123" spans="1:1">
      <c r="A123" s="1"/>
    </row>
    <row r="125" spans="1:1">
      <c r="A125" s="1"/>
    </row>
    <row r="127" spans="1:1">
      <c r="A127" s="1"/>
    </row>
    <row r="129" spans="1:1">
      <c r="A129" s="1"/>
    </row>
    <row r="131" spans="1:1">
      <c r="A131" s="1"/>
    </row>
    <row r="133" spans="1:1">
      <c r="A133" s="1"/>
    </row>
    <row r="135" spans="1:1">
      <c r="A135" s="1"/>
    </row>
    <row r="137" spans="1:1">
      <c r="A137" s="1"/>
    </row>
    <row r="139" spans="1:1">
      <c r="A139" s="1"/>
    </row>
    <row r="141" spans="1:1">
      <c r="A141" s="1"/>
    </row>
    <row r="143" spans="1:1">
      <c r="A143" s="1"/>
    </row>
    <row r="144" spans="1:1">
      <c r="A144" s="1"/>
    </row>
    <row r="146" spans="1:1">
      <c r="A146" s="1"/>
    </row>
    <row r="148" spans="1:1">
      <c r="A148" s="1"/>
    </row>
    <row r="150" spans="1:1">
      <c r="A150" s="1"/>
    </row>
    <row r="152" spans="1:1">
      <c r="A152" s="1"/>
    </row>
    <row r="153" spans="1:1">
      <c r="A153" s="1"/>
    </row>
    <row r="155" spans="1:1">
      <c r="A155" s="1"/>
    </row>
    <row r="157" spans="1:1">
      <c r="A157" s="1"/>
    </row>
    <row r="159" spans="1:1">
      <c r="A159" s="1"/>
    </row>
    <row r="160" spans="1:1">
      <c r="A160" s="1"/>
    </row>
    <row r="162" spans="1:1">
      <c r="A162" s="1"/>
    </row>
    <row r="163" spans="1:1">
      <c r="A163" s="1"/>
    </row>
    <row r="165" spans="1:1">
      <c r="A165" s="1"/>
    </row>
    <row r="166" spans="1:1">
      <c r="A166" s="1"/>
    </row>
    <row r="167" spans="1:1">
      <c r="A167" s="1"/>
    </row>
    <row r="169" spans="1:1">
      <c r="A169" s="1"/>
    </row>
    <row r="171" spans="1:1">
      <c r="A171" s="1"/>
    </row>
    <row r="173" spans="1:1">
      <c r="A173" s="1"/>
    </row>
    <row r="175" spans="1:1">
      <c r="A175" s="1"/>
    </row>
    <row r="177" spans="1:1">
      <c r="A177" s="1"/>
    </row>
    <row r="179" spans="1:1">
      <c r="A179" s="1"/>
    </row>
    <row r="180" spans="1:1">
      <c r="A180" s="1"/>
    </row>
    <row r="182" spans="1:1">
      <c r="A182" s="1"/>
    </row>
    <row r="183" spans="1:1">
      <c r="A183" s="1"/>
    </row>
    <row r="185" spans="1:1">
      <c r="A185" s="1"/>
    </row>
    <row r="187" spans="1:1">
      <c r="A187" s="1"/>
    </row>
    <row r="189" spans="1:1">
      <c r="A189" s="1"/>
    </row>
    <row r="190" spans="1:1">
      <c r="A190" s="1"/>
    </row>
    <row r="191" spans="1:1">
      <c r="A191" s="1"/>
    </row>
    <row r="192" spans="1:1">
      <c r="A192" s="1"/>
    </row>
    <row r="193" spans="1:1">
      <c r="A193" s="1"/>
    </row>
    <row r="195" spans="1:1">
      <c r="A195" s="1"/>
    </row>
    <row r="197" spans="1:1">
      <c r="A197" s="1"/>
    </row>
    <row r="199" spans="1:1">
      <c r="A199" s="1"/>
    </row>
    <row r="200" spans="1:1">
      <c r="A200" s="1"/>
    </row>
    <row r="202" spans="1:1">
      <c r="A202" s="1"/>
    </row>
    <row r="203" spans="1:1">
      <c r="A203" s="1"/>
    </row>
    <row r="204" spans="1:1">
      <c r="A204" s="1"/>
    </row>
    <row r="206" spans="1:1">
      <c r="A206" s="1"/>
    </row>
    <row r="208" spans="1:1">
      <c r="A208" s="1"/>
    </row>
    <row r="209" spans="1:1">
      <c r="A209" s="1"/>
    </row>
    <row r="211" spans="1:1">
      <c r="A211" s="1"/>
    </row>
    <row r="213" spans="1:1">
      <c r="A213" s="1"/>
    </row>
    <row r="215" spans="1:1">
      <c r="A215" s="1"/>
    </row>
    <row r="217" spans="1:1">
      <c r="A217" s="1"/>
    </row>
    <row r="219" spans="1:1">
      <c r="A219" s="1"/>
    </row>
    <row r="221" spans="1:1">
      <c r="A221" s="1"/>
    </row>
    <row r="223" spans="1:1">
      <c r="A223" s="1"/>
    </row>
    <row r="224" spans="1:1">
      <c r="A224" s="1"/>
    </row>
    <row r="226" spans="1:1">
      <c r="A226" s="1"/>
    </row>
    <row r="228" spans="1:1">
      <c r="A228" s="1"/>
    </row>
    <row r="230" spans="1:1">
      <c r="A230" s="1"/>
    </row>
    <row r="232" spans="1:1">
      <c r="A232" s="1"/>
    </row>
    <row r="234" spans="1:1">
      <c r="A234" s="1"/>
    </row>
    <row r="236" spans="1:1">
      <c r="A236" s="1"/>
    </row>
    <row r="238" spans="1:1">
      <c r="A238" s="1"/>
    </row>
    <row r="240" spans="1:1">
      <c r="A240" s="1"/>
    </row>
    <row r="242" spans="1:1">
      <c r="A242" s="1"/>
    </row>
    <row r="244" spans="1:1">
      <c r="A244" s="1"/>
    </row>
    <row r="245" spans="1:1">
      <c r="A245" s="1"/>
    </row>
    <row r="247" spans="1:1">
      <c r="A247" s="1"/>
    </row>
    <row r="248" spans="1:1">
      <c r="A248" s="1"/>
    </row>
    <row r="250" spans="1:1">
      <c r="A250" s="1"/>
    </row>
    <row r="251" spans="1:1">
      <c r="A251" s="1"/>
    </row>
    <row r="253" spans="1:1">
      <c r="A253" s="1"/>
    </row>
    <row r="255" spans="1:1">
      <c r="A255" s="1"/>
    </row>
    <row r="257" spans="1:1">
      <c r="A257" s="1"/>
    </row>
    <row r="258" spans="1:1">
      <c r="A258" s="1"/>
    </row>
    <row r="259" spans="1:1">
      <c r="A259" s="1"/>
    </row>
    <row r="260" spans="1:1">
      <c r="A260" s="1"/>
    </row>
    <row r="261" spans="1:1">
      <c r="A261" s="1"/>
    </row>
    <row r="263" spans="1:1">
      <c r="A263" s="1"/>
    </row>
    <row r="265" spans="1:1">
      <c r="A265" s="1"/>
    </row>
    <row r="267" spans="1:1">
      <c r="A267" s="1"/>
    </row>
    <row r="269" spans="1:1">
      <c r="A269" s="1"/>
    </row>
    <row r="271" spans="1:1">
      <c r="A271" s="1"/>
    </row>
    <row r="272" spans="1:1">
      <c r="A272" s="1"/>
    </row>
    <row r="274" spans="1:1">
      <c r="A274" s="1"/>
    </row>
    <row r="275" spans="1:1">
      <c r="A275" s="1"/>
    </row>
    <row r="277" spans="1:1">
      <c r="A277" s="1"/>
    </row>
    <row r="279" spans="1:1">
      <c r="A279" s="1"/>
    </row>
    <row r="281" spans="1:1">
      <c r="A281" s="1"/>
    </row>
    <row r="283" spans="1:1">
      <c r="A283" s="1"/>
    </row>
    <row r="285" spans="1:1">
      <c r="A285" s="1"/>
    </row>
    <row r="287" spans="1:1">
      <c r="A287" s="1"/>
    </row>
    <row r="289" spans="1:1">
      <c r="A289" s="1"/>
    </row>
    <row r="291" spans="1:1">
      <c r="A291" s="1"/>
    </row>
    <row r="293" spans="1:1">
      <c r="A293" s="1"/>
    </row>
    <row r="295" spans="1:1">
      <c r="A295" s="1"/>
    </row>
    <row r="296" spans="1:1">
      <c r="A296" s="1"/>
    </row>
    <row r="298" spans="1:1">
      <c r="A298" s="1"/>
    </row>
    <row r="300" spans="1:1">
      <c r="A300" s="1"/>
    </row>
    <row r="301" spans="1:1">
      <c r="A301" s="1"/>
    </row>
    <row r="303" spans="1:1">
      <c r="A303" s="1"/>
    </row>
    <row r="304" spans="1:1">
      <c r="A304" s="1"/>
    </row>
    <row r="306" spans="1:1">
      <c r="A306" s="1"/>
    </row>
    <row r="307" spans="1:1">
      <c r="A307" s="1"/>
    </row>
    <row r="308" spans="1:1">
      <c r="A308" s="1"/>
    </row>
    <row r="310" spans="1:1">
      <c r="A310" s="1"/>
    </row>
    <row r="312" spans="1:1">
      <c r="A312" s="1"/>
    </row>
    <row r="313" spans="1:1">
      <c r="A313" s="1"/>
    </row>
    <row r="315" spans="1:1">
      <c r="A315" s="1"/>
    </row>
    <row r="316" spans="1:1">
      <c r="A316" s="1"/>
    </row>
    <row r="317" spans="1:1">
      <c r="A317" s="1"/>
    </row>
    <row r="319" spans="1:1">
      <c r="A319" s="1"/>
    </row>
    <row r="321" spans="1:1">
      <c r="A321" s="1"/>
    </row>
    <row r="323" spans="1:1">
      <c r="A323" s="1"/>
    </row>
    <row r="325" spans="1:1">
      <c r="A325" s="1"/>
    </row>
    <row r="327" spans="1:1">
      <c r="A327" s="1"/>
    </row>
    <row r="328" spans="1:1">
      <c r="A328" s="1"/>
    </row>
    <row r="330" spans="1:1">
      <c r="A330" s="1"/>
    </row>
    <row r="331" spans="1:1">
      <c r="A331" s="1"/>
    </row>
    <row r="333" spans="1:1">
      <c r="A333" s="1"/>
    </row>
    <row r="334" spans="1:1">
      <c r="A334" s="1"/>
    </row>
    <row r="335" spans="1:1">
      <c r="A335" s="1"/>
    </row>
    <row r="337" spans="1:1">
      <c r="A337" s="1"/>
    </row>
    <row r="339" spans="1:1">
      <c r="A339" s="1"/>
    </row>
    <row r="340" spans="1:1">
      <c r="A340" s="1"/>
    </row>
    <row r="341" spans="1:1">
      <c r="A341" s="1"/>
    </row>
    <row r="342" spans="1:1">
      <c r="A342" s="1"/>
    </row>
    <row r="344" spans="1:1">
      <c r="A344" s="1"/>
    </row>
    <row r="345" spans="1:1">
      <c r="A345" s="1"/>
    </row>
    <row r="347" spans="1:1">
      <c r="A347" s="1"/>
    </row>
    <row r="349" spans="1:1">
      <c r="A349" s="1"/>
    </row>
    <row r="351" spans="1:1">
      <c r="A351" s="1"/>
    </row>
    <row r="352" spans="1:1">
      <c r="A352" s="1"/>
    </row>
    <row r="354" spans="1:1">
      <c r="A354" s="1"/>
    </row>
    <row r="356" spans="1:1">
      <c r="A356" s="1"/>
    </row>
    <row r="358" spans="1:1">
      <c r="A358" s="1"/>
    </row>
    <row r="360" spans="1:1">
      <c r="A360" s="1"/>
    </row>
    <row r="362" spans="1:1">
      <c r="A362" s="1"/>
    </row>
    <row r="364" spans="1:1">
      <c r="A364" s="1"/>
    </row>
    <row r="366" spans="1:1">
      <c r="A366" s="1"/>
    </row>
    <row r="368" spans="1:1">
      <c r="A368" s="1"/>
    </row>
    <row r="370" spans="1:1">
      <c r="A370" s="1"/>
    </row>
    <row r="371" spans="1:1">
      <c r="A371" s="1"/>
    </row>
    <row r="373" spans="1:1">
      <c r="A373" s="1"/>
    </row>
    <row r="375" spans="1:1">
      <c r="A375" s="1"/>
    </row>
    <row r="377" spans="1:1">
      <c r="A377" s="1"/>
    </row>
    <row r="379" spans="1:1">
      <c r="A379" s="1"/>
    </row>
    <row r="381" spans="1:1">
      <c r="A381" s="1"/>
    </row>
    <row r="383" spans="1:1">
      <c r="A383" s="1"/>
    </row>
    <row r="385" spans="1:1">
      <c r="A385" s="1"/>
    </row>
    <row r="387" spans="1:1">
      <c r="A387" s="1"/>
    </row>
    <row r="389" spans="1:1">
      <c r="A389" s="1"/>
    </row>
    <row r="391" spans="1:1">
      <c r="A391" s="1"/>
    </row>
    <row r="393" spans="1:1">
      <c r="A393" s="1"/>
    </row>
    <row r="394" spans="1:1">
      <c r="A394" s="1"/>
    </row>
    <row r="396" spans="1:1">
      <c r="A396" s="1"/>
    </row>
    <row r="398" spans="1:1">
      <c r="A398" s="1"/>
    </row>
    <row r="400" spans="1:1">
      <c r="A400" s="1"/>
    </row>
    <row r="402" spans="1:1">
      <c r="A402" s="1"/>
    </row>
    <row r="404" spans="1:1">
      <c r="A404" s="1"/>
    </row>
    <row r="405" spans="1:1">
      <c r="A405" s="1"/>
    </row>
    <row r="407" spans="1:1">
      <c r="A407" s="1"/>
    </row>
    <row r="409" spans="1:1">
      <c r="A409" s="1"/>
    </row>
    <row r="411" spans="1:1">
      <c r="A411" s="1"/>
    </row>
    <row r="412" spans="1:1">
      <c r="A412" s="1"/>
    </row>
    <row r="414" spans="1:1">
      <c r="A414" s="1"/>
    </row>
    <row r="415" spans="1:1">
      <c r="A415" s="1"/>
    </row>
    <row r="416" spans="1:1">
      <c r="A416" s="1"/>
    </row>
    <row r="417" spans="1:1">
      <c r="A417" s="1"/>
    </row>
    <row r="418" spans="1:1" ht="15" thickBot="1">
      <c r="A418" s="2"/>
    </row>
    <row r="419" spans="1:1">
      <c r="A419" s="1"/>
    </row>
    <row r="421" spans="1:1">
      <c r="A421" s="1"/>
    </row>
    <row r="423" spans="1:1">
      <c r="A423" s="1"/>
    </row>
    <row r="424" spans="1:1">
      <c r="A424" s="1"/>
    </row>
    <row r="425" spans="1:1">
      <c r="A425" s="1"/>
    </row>
    <row r="426" spans="1:1">
      <c r="A426" s="1"/>
    </row>
    <row r="427" spans="1:1">
      <c r="A427" s="1"/>
    </row>
    <row r="428" spans="1:1">
      <c r="A428" s="1"/>
    </row>
    <row r="430" spans="1:1">
      <c r="A430" s="1"/>
    </row>
    <row r="432" spans="1:1">
      <c r="A432" s="1"/>
    </row>
    <row r="433" spans="1:1">
      <c r="A433" s="1"/>
    </row>
    <row r="435" spans="1:1">
      <c r="A435" s="1"/>
    </row>
    <row r="436" spans="1:1">
      <c r="A436" s="1"/>
    </row>
    <row r="438" spans="1:1">
      <c r="A438" s="1"/>
    </row>
    <row r="440" spans="1:1">
      <c r="A440" s="1"/>
    </row>
    <row r="442" spans="1:1">
      <c r="A442" s="1"/>
    </row>
    <row r="443" spans="1:1">
      <c r="A443" s="1"/>
    </row>
    <row r="445" spans="1:1">
      <c r="A445" s="1"/>
    </row>
    <row r="447" spans="1:1">
      <c r="A447" s="1"/>
    </row>
    <row r="449" spans="1:1">
      <c r="A449" s="1"/>
    </row>
    <row r="451" spans="1:1">
      <c r="A451" s="1"/>
    </row>
    <row r="453" spans="1:1">
      <c r="A453" s="1"/>
    </row>
    <row r="454" spans="1:1">
      <c r="A454" s="1"/>
    </row>
    <row r="456" spans="1:1">
      <c r="A456" s="1"/>
    </row>
    <row r="458" spans="1:1">
      <c r="A458" s="1"/>
    </row>
    <row r="459" spans="1:1">
      <c r="A459" s="1"/>
    </row>
    <row r="460" spans="1:1">
      <c r="A460" s="1"/>
    </row>
    <row r="462" spans="1:1">
      <c r="A462" s="1"/>
    </row>
    <row r="464" spans="1:1">
      <c r="A464" s="1"/>
    </row>
    <row r="465" spans="1:1">
      <c r="A465" s="1"/>
    </row>
    <row r="466" spans="1:1">
      <c r="A466" s="1"/>
    </row>
    <row r="467" spans="1:1">
      <c r="A467" s="1"/>
    </row>
    <row r="468" spans="1:1">
      <c r="A468" s="1"/>
    </row>
    <row r="470" spans="1:1">
      <c r="A470" s="1"/>
    </row>
    <row r="471" spans="1:1">
      <c r="A471" s="1"/>
    </row>
    <row r="473" spans="1:1">
      <c r="A473" s="1"/>
    </row>
    <row r="475" spans="1:1">
      <c r="A475" s="1"/>
    </row>
    <row r="477" spans="1:1">
      <c r="A477" s="1"/>
    </row>
    <row r="478" spans="1:1">
      <c r="A478" s="1"/>
    </row>
    <row r="480" spans="1:1">
      <c r="A480" s="1"/>
    </row>
    <row r="481" spans="1:1">
      <c r="A481" s="1"/>
    </row>
    <row r="482" spans="1:1">
      <c r="A482" s="1"/>
    </row>
    <row r="484" spans="1:1">
      <c r="A484" s="1"/>
    </row>
    <row r="486" spans="1:1">
      <c r="A486" s="1"/>
    </row>
    <row r="488" spans="1:1">
      <c r="A488" s="1"/>
    </row>
    <row r="489" spans="1:1">
      <c r="A489" s="1"/>
    </row>
    <row r="490" spans="1:1">
      <c r="A490" s="1"/>
    </row>
    <row r="491" spans="1:1">
      <c r="A491" s="1"/>
    </row>
    <row r="493" spans="1:1">
      <c r="A493" s="1"/>
    </row>
    <row r="495" spans="1:1">
      <c r="A495" s="1"/>
    </row>
    <row r="497" spans="1:1">
      <c r="A497" s="1"/>
    </row>
    <row r="499" spans="1:1">
      <c r="A499" s="1"/>
    </row>
    <row r="500" spans="1:1">
      <c r="A500" s="1"/>
    </row>
    <row r="501" spans="1:1">
      <c r="A501" s="1"/>
    </row>
    <row r="502" spans="1:1">
      <c r="A502" s="1"/>
    </row>
    <row r="503" spans="1:1">
      <c r="A503" s="1"/>
    </row>
    <row r="504" spans="1:1">
      <c r="A504" s="1"/>
    </row>
    <row r="506" spans="1:1">
      <c r="A506" s="1"/>
    </row>
    <row r="507" spans="1:1">
      <c r="A507" s="1"/>
    </row>
    <row r="509" spans="1:1">
      <c r="A509" s="1"/>
    </row>
    <row r="510" spans="1:1">
      <c r="A510" s="1"/>
    </row>
    <row r="512" spans="1:1">
      <c r="A512" s="1"/>
    </row>
    <row r="514" spans="1:1">
      <c r="A514" s="1"/>
    </row>
    <row r="516" spans="1:1">
      <c r="A516" s="1"/>
    </row>
    <row r="517" spans="1:1">
      <c r="A517" s="1"/>
    </row>
    <row r="519" spans="1:1">
      <c r="A519" s="1"/>
    </row>
    <row r="521" spans="1:1">
      <c r="A521" s="1"/>
    </row>
    <row r="523" spans="1:1">
      <c r="A523" s="1"/>
    </row>
    <row r="525" spans="1:1">
      <c r="A525" s="1"/>
    </row>
    <row r="527" spans="1:1">
      <c r="A527" s="1"/>
    </row>
    <row r="528" spans="1:1">
      <c r="A528" s="1"/>
    </row>
    <row r="530" spans="1:1">
      <c r="A530" s="1"/>
    </row>
    <row r="531" spans="1:1">
      <c r="A531" s="1"/>
    </row>
    <row r="532" spans="1:1">
      <c r="A532" s="1"/>
    </row>
    <row r="533" spans="1:1">
      <c r="A533" s="1"/>
    </row>
    <row r="535" spans="1:1">
      <c r="A535" s="1"/>
    </row>
    <row r="537" spans="1:1">
      <c r="A537" s="1"/>
    </row>
    <row r="539" spans="1:1">
      <c r="A539" s="1"/>
    </row>
    <row r="541" spans="1:1">
      <c r="A541" s="1"/>
    </row>
    <row r="542" spans="1:1">
      <c r="A542" s="1"/>
    </row>
    <row r="544" spans="1:1">
      <c r="A544" s="1"/>
    </row>
    <row r="546" spans="1:1">
      <c r="A546" s="1"/>
    </row>
    <row r="548" spans="1:1">
      <c r="A548" s="1"/>
    </row>
    <row r="549" spans="1:1">
      <c r="A549" s="1"/>
    </row>
    <row r="550" spans="1:1">
      <c r="A550" s="1"/>
    </row>
    <row r="552" spans="1:1">
      <c r="A552" s="1"/>
    </row>
    <row r="554" spans="1:1">
      <c r="A554" s="1"/>
    </row>
    <row r="555" spans="1:1">
      <c r="A555" s="1"/>
    </row>
    <row r="556" spans="1:1">
      <c r="A556" s="1"/>
    </row>
    <row r="558" spans="1:1">
      <c r="A558" s="1"/>
    </row>
    <row r="560" spans="1:1">
      <c r="A560" s="1"/>
    </row>
    <row r="562" spans="1:1">
      <c r="A562" s="1"/>
    </row>
    <row r="564" spans="1:1">
      <c r="A564" s="1"/>
    </row>
    <row r="566" spans="1:1">
      <c r="A566" s="1"/>
    </row>
    <row r="568" spans="1:1">
      <c r="A568" s="1"/>
    </row>
    <row r="570" spans="1:1">
      <c r="A570" s="1"/>
    </row>
    <row r="571" spans="1:1">
      <c r="A571" s="1"/>
    </row>
    <row r="572" spans="1:1">
      <c r="A572" s="1"/>
    </row>
    <row r="573" spans="1:1">
      <c r="A573" s="1"/>
    </row>
    <row r="574" spans="1:1">
      <c r="A574" s="1"/>
    </row>
    <row r="575" spans="1:1">
      <c r="A575" s="1"/>
    </row>
    <row r="577" spans="1:1">
      <c r="A577" s="1"/>
    </row>
    <row r="579" spans="1:1">
      <c r="A579" s="1"/>
    </row>
    <row r="580" spans="1:1">
      <c r="A580" s="1"/>
    </row>
    <row r="582" spans="1:1">
      <c r="A582" s="1"/>
    </row>
    <row r="583" spans="1:1">
      <c r="A583" s="1"/>
    </row>
    <row r="584" spans="1:1">
      <c r="A584" s="1"/>
    </row>
    <row r="585" spans="1:1">
      <c r="A585" s="1"/>
    </row>
    <row r="586" spans="1:1">
      <c r="A586" s="1"/>
    </row>
    <row r="588" spans="1:1">
      <c r="A588" s="1"/>
    </row>
    <row r="590" spans="1:1">
      <c r="A590" s="1"/>
    </row>
    <row r="592" spans="1:1">
      <c r="A592" s="1"/>
    </row>
    <row r="593" spans="1:1">
      <c r="A593" s="1"/>
    </row>
    <row r="594" spans="1:1">
      <c r="A594" s="1"/>
    </row>
    <row r="596" spans="1:1">
      <c r="A596" s="1"/>
    </row>
    <row r="598" spans="1:1">
      <c r="A598" s="1"/>
    </row>
    <row r="599" spans="1:1">
      <c r="A599" s="1"/>
    </row>
    <row r="601" spans="1:1">
      <c r="A601" s="1"/>
    </row>
    <row r="603" spans="1:1">
      <c r="A603" s="1"/>
    </row>
    <row r="604" spans="1:1">
      <c r="A604" s="1"/>
    </row>
    <row r="605" spans="1:1">
      <c r="A605" s="1"/>
    </row>
    <row r="606" spans="1:1">
      <c r="A606" s="1"/>
    </row>
    <row r="608" spans="1:1">
      <c r="A608" s="1"/>
    </row>
    <row r="610" spans="1:1">
      <c r="A610" s="1"/>
    </row>
    <row r="611" spans="1:1">
      <c r="A611" s="1"/>
    </row>
    <row r="613" spans="1:1">
      <c r="A613" s="1"/>
    </row>
    <row r="614" spans="1:1">
      <c r="A614" s="1"/>
    </row>
    <row r="616" spans="1:1">
      <c r="A616" s="1"/>
    </row>
    <row r="617" spans="1:1">
      <c r="A617" s="1"/>
    </row>
    <row r="619" spans="1:1">
      <c r="A619" s="1"/>
    </row>
    <row r="620" spans="1:1">
      <c r="A620" s="1"/>
    </row>
    <row r="621" spans="1:1">
      <c r="A621" s="1"/>
    </row>
    <row r="623" spans="1:1">
      <c r="A623" s="1"/>
    </row>
    <row r="624" spans="1:1">
      <c r="A624" s="1"/>
    </row>
    <row r="626" spans="1:1">
      <c r="A626" s="1"/>
    </row>
    <row r="627" spans="1:1">
      <c r="A627" s="1"/>
    </row>
    <row r="628" spans="1:1">
      <c r="A628" s="1"/>
    </row>
    <row r="629" spans="1:1">
      <c r="A629" s="1"/>
    </row>
    <row r="630" spans="1:1">
      <c r="A630" s="1"/>
    </row>
    <row r="631" spans="1:1">
      <c r="A631" s="1"/>
    </row>
    <row r="632" spans="1:1">
      <c r="A632" s="1"/>
    </row>
    <row r="633" spans="1:1">
      <c r="A633" s="1"/>
    </row>
    <row r="634" spans="1:1">
      <c r="A634" s="1"/>
    </row>
    <row r="635" spans="1:1">
      <c r="A635" s="1"/>
    </row>
    <row r="636" spans="1:1">
      <c r="A636" s="1"/>
    </row>
    <row r="638" spans="1:1">
      <c r="A638" s="1"/>
    </row>
    <row r="640" spans="1:1">
      <c r="A640" s="1"/>
    </row>
    <row r="642" spans="1:1">
      <c r="A642" s="1"/>
    </row>
    <row r="644" spans="1:1">
      <c r="A644" s="1"/>
    </row>
    <row r="646" spans="1:1">
      <c r="A646" s="1"/>
    </row>
    <row r="648" spans="1:1">
      <c r="A648" s="1"/>
    </row>
    <row r="649" spans="1:1">
      <c r="A649" s="1"/>
    </row>
    <row r="651" spans="1:1">
      <c r="A651" s="1"/>
    </row>
    <row r="653" spans="1:1">
      <c r="A653" s="1"/>
    </row>
    <row r="654" spans="1:1">
      <c r="A654" s="1"/>
    </row>
    <row r="656" spans="1:1">
      <c r="A656" s="1"/>
    </row>
    <row r="658" spans="1:1">
      <c r="A658" s="1"/>
    </row>
    <row r="659" spans="1:1">
      <c r="A659" s="1"/>
    </row>
    <row r="660" spans="1:1">
      <c r="A660" s="1"/>
    </row>
    <row r="661" spans="1:1">
      <c r="A661" s="1"/>
    </row>
    <row r="662" spans="1:1">
      <c r="A662" s="1"/>
    </row>
    <row r="664" spans="1:1">
      <c r="A664" s="1"/>
    </row>
    <row r="665" spans="1:1">
      <c r="A665" s="1"/>
    </row>
    <row r="666" spans="1:1">
      <c r="A666" s="1"/>
    </row>
    <row r="667" spans="1:1">
      <c r="A667" s="1"/>
    </row>
    <row r="669" spans="1:1">
      <c r="A669" s="1"/>
    </row>
    <row r="671" spans="1:1">
      <c r="A671" s="1"/>
    </row>
    <row r="672" spans="1:1">
      <c r="A672" s="1"/>
    </row>
    <row r="673" spans="1:1">
      <c r="A673" s="1"/>
    </row>
    <row r="675" spans="1:1">
      <c r="A675" s="1"/>
    </row>
    <row r="677" spans="1:1">
      <c r="A677" s="1"/>
    </row>
    <row r="678" spans="1:1">
      <c r="A678" s="1"/>
    </row>
    <row r="680" spans="1:1">
      <c r="A680" s="1"/>
    </row>
    <row r="682" spans="1:1">
      <c r="A682" s="1"/>
    </row>
    <row r="683" spans="1:1">
      <c r="A683" s="1"/>
    </row>
    <row r="685" spans="1:1">
      <c r="A685" s="1"/>
    </row>
    <row r="687" spans="1:1">
      <c r="A687" s="1"/>
    </row>
    <row r="689" spans="1:1">
      <c r="A689" s="1"/>
    </row>
    <row r="691" spans="1:1">
      <c r="A691" s="1"/>
    </row>
    <row r="693" spans="1:1">
      <c r="A693" s="1"/>
    </row>
    <row r="695" spans="1:1">
      <c r="A695" s="1"/>
    </row>
    <row r="697" spans="1:1">
      <c r="A697" s="1"/>
    </row>
    <row r="699" spans="1:1">
      <c r="A699" s="1"/>
    </row>
    <row r="701" spans="1:1">
      <c r="A701" s="1"/>
    </row>
    <row r="703" spans="1:1">
      <c r="A703" s="1"/>
    </row>
    <row r="705" spans="1:1">
      <c r="A705" s="1"/>
    </row>
    <row r="707" spans="1:1">
      <c r="A707" s="1"/>
    </row>
    <row r="709" spans="1:1">
      <c r="A709" s="1"/>
    </row>
    <row r="711" spans="1:1">
      <c r="A711" s="1"/>
    </row>
    <row r="713" spans="1:1">
      <c r="A713" s="1"/>
    </row>
    <row r="715" spans="1:1">
      <c r="A715" s="1"/>
    </row>
    <row r="717" spans="1:1">
      <c r="A717" s="1"/>
    </row>
    <row r="719" spans="1:1">
      <c r="A719" s="1"/>
    </row>
    <row r="720" spans="1:1">
      <c r="A720" s="1"/>
    </row>
    <row r="721" spans="1:1">
      <c r="A721" s="1"/>
    </row>
    <row r="722" spans="1:1">
      <c r="A722" s="1"/>
    </row>
    <row r="723" spans="1:1">
      <c r="A723" s="6"/>
    </row>
    <row r="725" spans="1:1">
      <c r="A725" s="1"/>
    </row>
    <row r="727" spans="1:1">
      <c r="A727" s="1"/>
    </row>
    <row r="729" spans="1:1">
      <c r="A729" s="1"/>
    </row>
    <row r="731" spans="1:1">
      <c r="A731" s="1"/>
    </row>
    <row r="733" spans="1:1">
      <c r="A733" s="1"/>
    </row>
    <row r="734" spans="1:1">
      <c r="A734" s="1"/>
    </row>
    <row r="736" spans="1:1">
      <c r="A736" s="1"/>
    </row>
    <row r="738" spans="1:1">
      <c r="A738" s="1"/>
    </row>
    <row r="740" spans="1:1">
      <c r="A740" s="1"/>
    </row>
    <row r="741" spans="1:1">
      <c r="A741" s="1"/>
    </row>
    <row r="743" spans="1:1">
      <c r="A743" s="1"/>
    </row>
    <row r="744" spans="1:1">
      <c r="A744" s="1"/>
    </row>
    <row r="745" spans="1:1">
      <c r="A745" s="1"/>
    </row>
    <row r="747" spans="1:1">
      <c r="A747" s="1"/>
    </row>
    <row r="748" spans="1:1">
      <c r="A748" s="1"/>
    </row>
    <row r="749" spans="1:1">
      <c r="A749" s="1"/>
    </row>
    <row r="751" spans="1:1">
      <c r="A751" s="1"/>
    </row>
    <row r="752" spans="1:1">
      <c r="A752" s="1"/>
    </row>
    <row r="754" spans="1:1">
      <c r="A754" s="1"/>
    </row>
    <row r="755" spans="1:1">
      <c r="A755" s="1"/>
    </row>
    <row r="757" spans="1:1">
      <c r="A757" s="1"/>
    </row>
    <row r="759" spans="1:1">
      <c r="A759" s="1"/>
    </row>
    <row r="760" spans="1:1">
      <c r="A760" s="1"/>
    </row>
    <row r="761" spans="1:1">
      <c r="A761" s="1"/>
    </row>
    <row r="762" spans="1:1">
      <c r="A762" s="1"/>
    </row>
    <row r="764" spans="1:1">
      <c r="A764" s="1"/>
    </row>
    <row r="766" spans="1:1">
      <c r="A766" s="1"/>
    </row>
    <row r="768" spans="1:1">
      <c r="A768" s="1"/>
    </row>
    <row r="769" spans="1:1">
      <c r="A769" s="1"/>
    </row>
    <row r="771" spans="1:1">
      <c r="A771" s="1"/>
    </row>
    <row r="773" spans="1:1">
      <c r="A773" s="1"/>
    </row>
    <row r="775" spans="1:1">
      <c r="A775" s="1"/>
    </row>
    <row r="777" spans="1:1">
      <c r="A777" s="1"/>
    </row>
    <row r="779" spans="1:1">
      <c r="A779" s="1"/>
    </row>
    <row r="780" spans="1:1">
      <c r="A780" s="1"/>
    </row>
    <row r="782" spans="1:1">
      <c r="A782" s="1"/>
    </row>
    <row r="784" spans="1:1">
      <c r="A784" s="1"/>
    </row>
    <row r="785" spans="1:1">
      <c r="A785" s="1"/>
    </row>
    <row r="787" spans="1:1">
      <c r="A787" s="1"/>
    </row>
    <row r="788" spans="1:1">
      <c r="A788" s="1"/>
    </row>
    <row r="790" spans="1:1">
      <c r="A790" s="1"/>
    </row>
    <row r="792" spans="1:1">
      <c r="A792" s="1"/>
    </row>
    <row r="794" spans="1:1">
      <c r="A794" s="1"/>
    </row>
    <row r="795" spans="1:1">
      <c r="A795" s="1"/>
    </row>
    <row r="796" spans="1:1">
      <c r="A796" s="1"/>
    </row>
    <row r="798" spans="1:1">
      <c r="A798" s="1"/>
    </row>
    <row r="800" spans="1:1">
      <c r="A800" s="1"/>
    </row>
    <row r="802" spans="1:1">
      <c r="A802" s="1"/>
    </row>
    <row r="804" spans="1:1">
      <c r="A804" s="1"/>
    </row>
    <row r="805" spans="1:1">
      <c r="A805" s="1"/>
    </row>
    <row r="807" spans="1:1">
      <c r="A807" s="1"/>
    </row>
    <row r="808" spans="1:1">
      <c r="A808" s="1"/>
    </row>
    <row r="810" spans="1:1">
      <c r="A810" s="1"/>
    </row>
    <row r="811" spans="1:1">
      <c r="A811" s="1"/>
    </row>
    <row r="813" spans="1:1">
      <c r="A813" s="1"/>
    </row>
    <row r="815" spans="1:1">
      <c r="A815" s="1"/>
    </row>
    <row r="816" spans="1:1">
      <c r="A816" s="1"/>
    </row>
    <row r="818" spans="1:1">
      <c r="A818" s="1"/>
    </row>
    <row r="820" spans="1:1">
      <c r="A820" s="1"/>
    </row>
    <row r="822" spans="1:1">
      <c r="A822" s="1"/>
    </row>
    <row r="824" spans="1:1">
      <c r="A824" s="1"/>
    </row>
    <row r="826" spans="1:1">
      <c r="A826" s="1"/>
    </row>
    <row r="827" spans="1:1">
      <c r="A827" s="1"/>
    </row>
    <row r="828" spans="1:1">
      <c r="A828" s="1"/>
    </row>
    <row r="830" spans="1:1">
      <c r="A830" s="1"/>
    </row>
    <row r="832" spans="1:1">
      <c r="A832" s="1"/>
    </row>
    <row r="834" spans="1:1">
      <c r="A834" s="1"/>
    </row>
    <row r="836" spans="1:1">
      <c r="A836" s="1"/>
    </row>
    <row r="838" spans="1:1">
      <c r="A838" s="1"/>
    </row>
    <row r="840" spans="1:1">
      <c r="A840" s="1"/>
    </row>
    <row r="842" spans="1:1">
      <c r="A842" s="1"/>
    </row>
    <row r="844" spans="1:1">
      <c r="A844" s="1"/>
    </row>
    <row r="846" spans="1:1">
      <c r="A846" s="1"/>
    </row>
    <row r="848" spans="1:1">
      <c r="A848" s="1"/>
    </row>
    <row r="850" spans="1:1">
      <c r="A850" s="1"/>
    </row>
    <row r="852" spans="1:1">
      <c r="A852" s="1"/>
    </row>
    <row r="854" spans="1:1">
      <c r="A854" s="1"/>
    </row>
    <row r="855" spans="1:1">
      <c r="A855" s="1"/>
    </row>
    <row r="856" spans="1:1">
      <c r="A856" s="1"/>
    </row>
    <row r="858" spans="1:1">
      <c r="A858" s="1"/>
    </row>
    <row r="859" spans="1:1">
      <c r="A859" s="1"/>
    </row>
    <row r="860" spans="1:1">
      <c r="A860" s="1"/>
    </row>
    <row r="862" spans="1:1">
      <c r="A862" s="1"/>
    </row>
    <row r="863" spans="1:1">
      <c r="A863" s="1"/>
    </row>
    <row r="865" spans="1:1">
      <c r="A865" s="1"/>
    </row>
    <row r="867" spans="1:1">
      <c r="A867" s="1"/>
    </row>
    <row r="869" spans="1:1">
      <c r="A869" s="1"/>
    </row>
    <row r="871" spans="1:1">
      <c r="A871" s="1"/>
    </row>
    <row r="873" spans="1:1">
      <c r="A873" s="1"/>
    </row>
    <row r="874" spans="1:1">
      <c r="A874" s="1"/>
    </row>
    <row r="876" spans="1:1">
      <c r="A876" s="1"/>
    </row>
    <row r="878" spans="1:1">
      <c r="A878" s="1"/>
    </row>
    <row r="880" spans="1:1">
      <c r="A880" s="1"/>
    </row>
    <row r="881" spans="1:1">
      <c r="A881" s="1"/>
    </row>
    <row r="883" spans="1:1">
      <c r="A883" s="1"/>
    </row>
    <row r="885" spans="1:1">
      <c r="A885" s="1"/>
    </row>
    <row r="887" spans="1:1">
      <c r="A887" s="1"/>
    </row>
    <row r="889" spans="1:1">
      <c r="A889" s="1"/>
    </row>
    <row r="891" spans="1:1">
      <c r="A891" s="1"/>
    </row>
    <row r="893" spans="1:1">
      <c r="A893" s="1"/>
    </row>
    <row r="895" spans="1:1">
      <c r="A895" s="1"/>
    </row>
    <row r="897" spans="1:1">
      <c r="A897" s="1"/>
    </row>
    <row r="899" spans="1:1">
      <c r="A899" s="1"/>
    </row>
    <row r="900" spans="1:1">
      <c r="A900" s="1"/>
    </row>
    <row r="901" spans="1:1">
      <c r="A901" s="1"/>
    </row>
    <row r="903" spans="1:1">
      <c r="A903" s="1"/>
    </row>
    <row r="905" spans="1:1">
      <c r="A905" s="1"/>
    </row>
    <row r="907" spans="1:1">
      <c r="A907" s="1"/>
    </row>
    <row r="909" spans="1:1">
      <c r="A909" s="1"/>
    </row>
    <row r="911" spans="1:1">
      <c r="A911" s="1"/>
    </row>
    <row r="913" spans="1:1">
      <c r="A913" s="1"/>
    </row>
    <row r="915" spans="1:1">
      <c r="A915" s="1"/>
    </row>
    <row r="917" spans="1:1">
      <c r="A917" s="1"/>
    </row>
    <row r="919" spans="1:1">
      <c r="A919" s="1"/>
    </row>
    <row r="921" spans="1:1">
      <c r="A921" s="1"/>
    </row>
    <row r="922" spans="1:1">
      <c r="A922" s="1"/>
    </row>
    <row r="924" spans="1:1">
      <c r="A924" s="1"/>
    </row>
    <row r="926" spans="1:1">
      <c r="A926" s="1"/>
    </row>
    <row r="928" spans="1:1">
      <c r="A928" s="1"/>
    </row>
    <row r="929" spans="1:1">
      <c r="A929" s="1"/>
    </row>
    <row r="931" spans="1:1">
      <c r="A931" s="1"/>
    </row>
    <row r="933" spans="1:1">
      <c r="A933" s="1"/>
    </row>
    <row r="934" spans="1:1">
      <c r="A934" s="1"/>
    </row>
    <row r="936" spans="1:1">
      <c r="A936" s="1"/>
    </row>
    <row r="938" spans="1:1">
      <c r="A938" s="1"/>
    </row>
    <row r="940" spans="1:1">
      <c r="A940" s="1"/>
    </row>
    <row r="942" spans="1:1">
      <c r="A942" s="1"/>
    </row>
  </sheetData>
  <mergeCells count="1">
    <mergeCell ref="B67:D67"/>
  </mergeCells>
  <conditionalFormatting sqref="A1:A21 A23:A62 A65:A1048576">
    <cfRule type="containsText" dxfId="5" priority="1" operator="containsText" text="hyperlink">
      <formula>NOT(ISERROR(SEARCH("hyperlink",A1)))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14E5-D6DF-4D54-856F-0A9B5325C2F5}">
  <dimension ref="A1:Y58"/>
  <sheetViews>
    <sheetView tabSelected="1" zoomScale="80" zoomScaleNormal="80" workbookViewId="0">
      <selection sqref="A1:X51"/>
    </sheetView>
  </sheetViews>
  <sheetFormatPr defaultRowHeight="14.4"/>
  <cols>
    <col min="1" max="1" width="4.109375" customWidth="1"/>
    <col min="2" max="2" width="37.21875" customWidth="1"/>
    <col min="3" max="3" width="11.109375" bestFit="1" customWidth="1"/>
    <col min="4" max="6" width="9" bestFit="1" customWidth="1"/>
    <col min="7" max="10" width="10.109375" bestFit="1" customWidth="1"/>
    <col min="11" max="15" width="9" bestFit="1" customWidth="1"/>
    <col min="16" max="16" width="10.109375" bestFit="1" customWidth="1"/>
    <col min="17" max="17" width="9.109375" bestFit="1" customWidth="1"/>
    <col min="18" max="18" width="10.109375" bestFit="1" customWidth="1"/>
    <col min="19" max="19" width="9.109375" bestFit="1" customWidth="1"/>
    <col min="20" max="23" width="9" bestFit="1" customWidth="1"/>
  </cols>
  <sheetData>
    <row r="1" spans="1:25">
      <c r="A1" s="24">
        <v>1</v>
      </c>
      <c r="B1" s="24" t="s">
        <v>1242</v>
      </c>
    </row>
    <row r="3" spans="1:25">
      <c r="A3" s="22" t="s">
        <v>560</v>
      </c>
      <c r="B3" s="24" t="s">
        <v>2612</v>
      </c>
    </row>
    <row r="4" spans="1:25">
      <c r="B4" t="s">
        <v>2611</v>
      </c>
    </row>
    <row r="5" spans="1:25" s="285" customFormat="1" ht="110.4">
      <c r="A5" s="284"/>
      <c r="B5" s="284"/>
      <c r="C5" s="284" t="s">
        <v>1274</v>
      </c>
      <c r="D5" s="284" t="s">
        <v>1244</v>
      </c>
      <c r="E5" s="284" t="s">
        <v>2606</v>
      </c>
      <c r="F5" s="284" t="s">
        <v>2607</v>
      </c>
      <c r="G5" s="284" t="s">
        <v>2608</v>
      </c>
      <c r="H5" s="284" t="s">
        <v>1247</v>
      </c>
      <c r="I5" s="284" t="s">
        <v>1248</v>
      </c>
      <c r="J5" s="284" t="s">
        <v>1275</v>
      </c>
      <c r="K5" s="284" t="s">
        <v>1250</v>
      </c>
      <c r="L5" s="284" t="s">
        <v>1251</v>
      </c>
      <c r="M5" s="284" t="s">
        <v>2617</v>
      </c>
      <c r="N5" s="284" t="s">
        <v>2616</v>
      </c>
      <c r="O5" s="284" t="s">
        <v>1254</v>
      </c>
      <c r="P5" s="284" t="s">
        <v>1255</v>
      </c>
      <c r="Q5" s="284" t="s">
        <v>1256</v>
      </c>
      <c r="R5" s="284" t="s">
        <v>1257</v>
      </c>
      <c r="S5" s="284" t="s">
        <v>1258</v>
      </c>
      <c r="T5" s="284" t="s">
        <v>1259</v>
      </c>
      <c r="U5" s="284" t="s">
        <v>1260</v>
      </c>
      <c r="V5" s="284" t="s">
        <v>1261</v>
      </c>
      <c r="W5" s="284" t="s">
        <v>1262</v>
      </c>
      <c r="X5" s="284" t="s">
        <v>2445</v>
      </c>
      <c r="Y5" s="284" t="s">
        <v>623</v>
      </c>
    </row>
    <row r="6" spans="1:25">
      <c r="A6">
        <v>1</v>
      </c>
      <c r="B6" t="str">
        <f>'16_DB-SGX_Loading'!B10</f>
        <v>COSCO SHP SG</v>
      </c>
      <c r="C6" s="139">
        <f>'16_DB-SGX_Loading'!C10</f>
        <v>510.548</v>
      </c>
      <c r="D6" s="59">
        <f>'16_DB-SGX_Loading'!D10</f>
        <v>0.71</v>
      </c>
      <c r="E6" s="59">
        <f t="shared" ref="E6:E14" si="0">D6/(1+(1-0.17)*(F6/G6))</f>
        <v>0.64578105451939949</v>
      </c>
      <c r="F6" s="59">
        <f t="shared" ref="F6:F14" si="1">H6/J6%</f>
        <v>10.699284069576274</v>
      </c>
      <c r="G6" s="59">
        <f t="shared" ref="G6:G14" si="2">I6/J6%</f>
        <v>89.300715930423735</v>
      </c>
      <c r="H6" s="59">
        <f>'16_DB-SGX_Loading'!E10</f>
        <v>93.582999999999998</v>
      </c>
      <c r="I6" s="59">
        <f>'16_DB-SGX_Loading'!F10</f>
        <v>781.08299999999997</v>
      </c>
      <c r="J6" s="59">
        <f t="shared" ref="J6:J14" si="3">H6+I6</f>
        <v>874.66599999999994</v>
      </c>
      <c r="K6" s="59">
        <f>'16_DB-SGX_Loading'!H10</f>
        <v>0</v>
      </c>
      <c r="L6" s="59">
        <f>'16_DB-SGX_Loading'!I10</f>
        <v>0.78</v>
      </c>
      <c r="M6" s="59">
        <f>'16_DB-SGX_Loading'!J10</f>
        <v>0.114</v>
      </c>
      <c r="N6" s="59">
        <f>'16_DB-SGX_Loading'!K10</f>
        <v>0.121</v>
      </c>
      <c r="O6" s="59">
        <f t="shared" ref="O6:O14" si="4">(M6-N6)/N6*100</f>
        <v>-5.7851239669421428</v>
      </c>
      <c r="P6" s="59">
        <f>'16_DB-SGX_Loading'!M10</f>
        <v>193.999</v>
      </c>
      <c r="Q6" s="59">
        <f>'16_DB-SGX_Loading'!N10</f>
        <v>61.284999999999997</v>
      </c>
      <c r="R6" s="59">
        <f>'16_DB-SGX_Loading'!O10</f>
        <v>980.30799999999999</v>
      </c>
      <c r="S6" s="59">
        <f>'16_DB-SGX_Loading'!P10</f>
        <v>33.244999999999997</v>
      </c>
      <c r="T6" s="59">
        <f>C6/P6</f>
        <v>2.6317042871355008</v>
      </c>
      <c r="U6" s="59">
        <f>C6/Q6</f>
        <v>8.3307171412254224</v>
      </c>
      <c r="V6" s="59">
        <f>C6/R6</f>
        <v>0.52080366578667114</v>
      </c>
      <c r="W6" s="59">
        <f>C6/S6</f>
        <v>15.357136411490451</v>
      </c>
      <c r="X6" s="274" t="str">
        <f>'16_DB-SGX_Loading'!W10</f>
        <v>F83</v>
      </c>
    </row>
    <row r="7" spans="1:25">
      <c r="A7">
        <v>2</v>
      </c>
      <c r="B7" t="str">
        <f>'16_DB-SGX_Loading'!B11</f>
        <v>SATS</v>
      </c>
      <c r="C7" s="139">
        <f>'16_DB-SGX_Loading'!C11</f>
        <v>5321</v>
      </c>
      <c r="D7" s="59">
        <f>'16_DB-SGX_Loading'!D11</f>
        <v>0.52</v>
      </c>
      <c r="E7" s="59">
        <f t="shared" si="0"/>
        <v>0.33495355453765074</v>
      </c>
      <c r="F7" s="59">
        <f t="shared" si="1"/>
        <v>39.961837854246625</v>
      </c>
      <c r="G7" s="59">
        <f t="shared" si="2"/>
        <v>60.038162145753383</v>
      </c>
      <c r="H7" s="59">
        <f>'16_DB-SGX_Loading'!E11</f>
        <v>1843</v>
      </c>
      <c r="I7" s="59">
        <f>'16_DB-SGX_Loading'!F11</f>
        <v>2768.9</v>
      </c>
      <c r="J7" s="59">
        <f t="shared" si="3"/>
        <v>4611.8999999999996</v>
      </c>
      <c r="K7" s="59">
        <f>'16_DB-SGX_Loading'!H11</f>
        <v>19.89</v>
      </c>
      <c r="L7" s="59">
        <f>'16_DB-SGX_Loading'!I11</f>
        <v>1.54</v>
      </c>
      <c r="M7" s="59">
        <f>'16_DB-SGX_Loading'!J11</f>
        <v>3.58</v>
      </c>
      <c r="N7" s="59">
        <f>'16_DB-SGX_Loading'!K11</f>
        <v>3.81</v>
      </c>
      <c r="O7" s="59">
        <f t="shared" si="4"/>
        <v>-6.0367454068241466</v>
      </c>
      <c r="P7" s="59">
        <f>'16_DB-SGX_Loading'!M11</f>
        <v>5821</v>
      </c>
      <c r="Q7" s="59">
        <f>'16_DB-SGX_Loading'!N11</f>
        <v>1166</v>
      </c>
      <c r="R7" s="59">
        <f>'16_DB-SGX_Loading'!O11</f>
        <v>8882</v>
      </c>
      <c r="S7" s="59">
        <f>'16_DB-SGX_Loading'!P11</f>
        <v>669.4</v>
      </c>
      <c r="T7" s="59">
        <f t="shared" ref="T7:T14" si="5">C7/P7</f>
        <v>0.91410410582374158</v>
      </c>
      <c r="U7" s="59">
        <f t="shared" ref="U7:U14" si="6">C7/Q7</f>
        <v>4.563464837049743</v>
      </c>
      <c r="V7" s="59">
        <f t="shared" ref="V7:V14" si="7">C7/R7</f>
        <v>0.59907678450799373</v>
      </c>
      <c r="W7" s="59">
        <f t="shared" ref="W7:W14" si="8">C7/S7</f>
        <v>7.9489094711682107</v>
      </c>
      <c r="X7" s="274" t="str">
        <f>'16_DB-SGX_Loading'!W11</f>
        <v>S58</v>
      </c>
    </row>
    <row r="8" spans="1:25">
      <c r="A8">
        <v>3</v>
      </c>
      <c r="B8" t="str">
        <f>'16_DB-SGX_Loading'!B12</f>
        <v>SIA</v>
      </c>
      <c r="C8" s="139">
        <f>'16_DB-SGX_Loading'!C12</f>
        <v>20973</v>
      </c>
      <c r="D8" s="59">
        <f>'16_DB-SGX_Loading'!D12</f>
        <v>0.5</v>
      </c>
      <c r="E8" s="59">
        <f t="shared" si="0"/>
        <v>0.29993800783452262</v>
      </c>
      <c r="F8" s="59">
        <f t="shared" si="1"/>
        <v>44.55619076534537</v>
      </c>
      <c r="G8" s="59">
        <f t="shared" si="2"/>
        <v>55.443809234654623</v>
      </c>
      <c r="H8" s="59">
        <f>'16_DB-SGX_Loading'!E12</f>
        <v>12914.3</v>
      </c>
      <c r="I8" s="59">
        <f>'16_DB-SGX_Loading'!F12</f>
        <v>16070</v>
      </c>
      <c r="J8" s="59">
        <f t="shared" si="3"/>
        <v>28984.3</v>
      </c>
      <c r="K8" s="59">
        <f>'16_DB-SGX_Loading'!H12</f>
        <v>17.5</v>
      </c>
      <c r="L8" s="59">
        <f>'16_DB-SGX_Loading'!I12</f>
        <v>5.26</v>
      </c>
      <c r="M8" s="59">
        <f>'16_DB-SGX_Loading'!J12</f>
        <v>6.65</v>
      </c>
      <c r="N8" s="59">
        <f>'16_DB-SGX_Loading'!K12</f>
        <v>6.4</v>
      </c>
      <c r="O8" s="59">
        <f t="shared" si="4"/>
        <v>3.90625</v>
      </c>
      <c r="P8" s="59">
        <f>'16_DB-SGX_Loading'!M12</f>
        <v>19539.8</v>
      </c>
      <c r="Q8" s="59">
        <f>'16_DB-SGX_Loading'!N12</f>
        <v>5711.9</v>
      </c>
      <c r="R8" s="59">
        <f>'16_DB-SGX_Loading'!O12</f>
        <v>43086.8</v>
      </c>
      <c r="S8" s="59">
        <f>'16_DB-SGX_Loading'!P12</f>
        <v>2834</v>
      </c>
      <c r="T8" s="59">
        <f t="shared" si="5"/>
        <v>1.0733477312971473</v>
      </c>
      <c r="U8" s="59">
        <f t="shared" si="6"/>
        <v>3.6718079798315801</v>
      </c>
      <c r="V8" s="59">
        <f t="shared" si="7"/>
        <v>0.48676160680301156</v>
      </c>
      <c r="W8" s="59">
        <f t="shared" si="8"/>
        <v>7.4004940014114329</v>
      </c>
      <c r="X8" s="274" t="str">
        <f>'16_DB-SGX_Loading'!W12</f>
        <v>C6L</v>
      </c>
    </row>
    <row r="9" spans="1:25">
      <c r="A9">
        <v>4</v>
      </c>
      <c r="B9" t="str">
        <f>'16_DB-SGX_Loading'!B13</f>
        <v>SIA Engineering</v>
      </c>
      <c r="C9" s="139">
        <f>'16_DB-SGX_Loading'!C13</f>
        <v>3651</v>
      </c>
      <c r="D9" s="59">
        <f>'16_DB-SGX_Loading'!D13</f>
        <v>0.32</v>
      </c>
      <c r="E9" s="59">
        <f t="shared" si="0"/>
        <v>0.30751391732096439</v>
      </c>
      <c r="F9" s="59">
        <f t="shared" si="1"/>
        <v>4.6638128759969559</v>
      </c>
      <c r="G9" s="59">
        <f t="shared" si="2"/>
        <v>95.336187124003047</v>
      </c>
      <c r="H9" s="59">
        <f>'16_DB-SGX_Loading'!E13</f>
        <v>85.198999999999998</v>
      </c>
      <c r="I9" s="59">
        <f>'16_DB-SGX_Loading'!F13</f>
        <v>1741.6110000000001</v>
      </c>
      <c r="J9" s="59">
        <f t="shared" si="3"/>
        <v>1826.8100000000002</v>
      </c>
      <c r="K9" s="59">
        <f>'16_DB-SGX_Loading'!H13</f>
        <v>23.29</v>
      </c>
      <c r="L9" s="59">
        <f>'16_DB-SGX_Loading'!I13</f>
        <v>2.91</v>
      </c>
      <c r="M9" s="59">
        <f>'16_DB-SGX_Loading'!J13</f>
        <v>3.26</v>
      </c>
      <c r="N9" s="59">
        <f>'16_DB-SGX_Loading'!K13</f>
        <v>3.6</v>
      </c>
      <c r="O9" s="59">
        <f t="shared" si="4"/>
        <v>-9.4444444444444517</v>
      </c>
      <c r="P9" s="59">
        <f>'16_DB-SGX_Loading'!M13</f>
        <v>1245</v>
      </c>
      <c r="Q9" s="59">
        <f>'16_DB-SGX_Loading'!N13</f>
        <v>214.881</v>
      </c>
      <c r="R9" s="59">
        <f>'16_DB-SGX_Loading'!O13</f>
        <v>2141.393</v>
      </c>
      <c r="S9" s="59">
        <f>'16_DB-SGX_Loading'!P13</f>
        <v>102.60299999999999</v>
      </c>
      <c r="T9" s="59">
        <f t="shared" si="5"/>
        <v>2.9325301204819278</v>
      </c>
      <c r="U9" s="59">
        <f t="shared" si="6"/>
        <v>16.990799558825582</v>
      </c>
      <c r="V9" s="59">
        <f t="shared" si="7"/>
        <v>1.7049649457152423</v>
      </c>
      <c r="W9" s="59">
        <f t="shared" si="8"/>
        <v>35.58375486096898</v>
      </c>
      <c r="X9" s="274" t="str">
        <f>'16_DB-SGX_Loading'!W13</f>
        <v>S59</v>
      </c>
    </row>
    <row r="10" spans="1:25">
      <c r="A10">
        <v>5</v>
      </c>
      <c r="B10" t="str">
        <f>'16_DB-SGX_Loading'!B14</f>
        <v>SingPost</v>
      </c>
      <c r="C10" s="139">
        <f>'16_DB-SGX_Loading'!C14</f>
        <v>776.68700000000001</v>
      </c>
      <c r="D10" s="59">
        <f>'16_DB-SGX_Loading'!D14</f>
        <v>0.21</v>
      </c>
      <c r="E10" s="59">
        <f t="shared" si="0"/>
        <v>0.17629808346332629</v>
      </c>
      <c r="F10" s="59">
        <f t="shared" si="1"/>
        <v>18.720237041831208</v>
      </c>
      <c r="G10" s="59">
        <f t="shared" si="2"/>
        <v>81.279762958168789</v>
      </c>
      <c r="H10" s="59">
        <f>'16_DB-SGX_Loading'!E14</f>
        <v>370.23200000000003</v>
      </c>
      <c r="I10" s="59">
        <f>'16_DB-SGX_Loading'!F14</f>
        <v>1607.4780000000001</v>
      </c>
      <c r="J10" s="59">
        <f t="shared" si="3"/>
        <v>1977.71</v>
      </c>
      <c r="K10" s="59">
        <f>'16_DB-SGX_Loading'!H14</f>
        <v>3.14</v>
      </c>
      <c r="L10" s="59">
        <f>'16_DB-SGX_Loading'!I14</f>
        <v>1.22</v>
      </c>
      <c r="M10" s="59">
        <f>'16_DB-SGX_Loading'!J14</f>
        <v>0.34499999999999997</v>
      </c>
      <c r="N10" s="243">
        <f>'16_DB-SGX_Loading'!K14</f>
        <v>0.40500000000000003</v>
      </c>
      <c r="O10" s="59">
        <f t="shared" si="4"/>
        <v>-14.814814814814827</v>
      </c>
      <c r="P10" s="59">
        <f>'16_DB-SGX_Loading'!M14</f>
        <v>813.70399999999995</v>
      </c>
      <c r="Q10" s="59">
        <f>'16_DB-SGX_Loading'!N14</f>
        <v>387.25</v>
      </c>
      <c r="R10" s="59">
        <f>'16_DB-SGX_Loading'!O14</f>
        <v>2390.424</v>
      </c>
      <c r="S10" s="59">
        <f>'16_DB-SGX_Loading'!P14</f>
        <v>26.670999999999999</v>
      </c>
      <c r="T10" s="59">
        <f t="shared" si="5"/>
        <v>0.95450802748911157</v>
      </c>
      <c r="U10" s="59">
        <f t="shared" si="6"/>
        <v>2.0056475145255002</v>
      </c>
      <c r="V10" s="59">
        <f t="shared" si="7"/>
        <v>0.32491599816601574</v>
      </c>
      <c r="W10" s="59">
        <f t="shared" si="8"/>
        <v>29.121030332570957</v>
      </c>
      <c r="X10" s="274" t="str">
        <f>'16_DB-SGX_Loading'!W14</f>
        <v>S08</v>
      </c>
    </row>
    <row r="11" spans="1:25">
      <c r="A11">
        <v>6</v>
      </c>
      <c r="B11" t="str">
        <f>'16_DB-SGX_Loading'!B15</f>
        <v>Wing Tai</v>
      </c>
      <c r="C11" s="139">
        <f>'16_DB-SGX_Loading'!C15</f>
        <v>1222</v>
      </c>
      <c r="D11" s="59">
        <f>'16_DB-SGX_Loading'!D15</f>
        <v>0.23</v>
      </c>
      <c r="E11" s="59">
        <f t="shared" si="0"/>
        <v>0.16972396131963588</v>
      </c>
      <c r="F11" s="59">
        <f t="shared" si="1"/>
        <v>29.966174331622788</v>
      </c>
      <c r="G11" s="59">
        <f t="shared" si="2"/>
        <v>70.033825668377204</v>
      </c>
      <c r="H11" s="59">
        <f>'16_DB-SGX_Loading'!E15</f>
        <v>1242.1210000000001</v>
      </c>
      <c r="I11" s="59">
        <f>'16_DB-SGX_Loading'!F15</f>
        <v>2902.9560000000001</v>
      </c>
      <c r="J11" s="59">
        <f t="shared" si="3"/>
        <v>4145.0770000000002</v>
      </c>
      <c r="K11" s="59">
        <f>'16_DB-SGX_Loading'!H15</f>
        <v>0</v>
      </c>
      <c r="L11" s="59">
        <f>'16_DB-SGX_Loading'!I15</f>
        <v>1.88</v>
      </c>
      <c r="M11" s="59">
        <f>'16_DB-SGX_Loading'!J15</f>
        <v>1.6</v>
      </c>
      <c r="N11" s="59">
        <f>'16_DB-SGX_Loading'!K15</f>
        <v>1.42</v>
      </c>
      <c r="O11" s="59">
        <f t="shared" si="4"/>
        <v>12.676056338028181</v>
      </c>
      <c r="P11" s="59">
        <f>'16_DB-SGX_Loading'!M15</f>
        <v>230.20599999999999</v>
      </c>
      <c r="Q11" s="59">
        <f>'16_DB-SGX_Loading'!N15</f>
        <v>-4.157</v>
      </c>
      <c r="R11" s="59">
        <f>'16_DB-SGX_Loading'!O15</f>
        <v>4275.5519999999997</v>
      </c>
      <c r="S11" s="59">
        <f>'16_DB-SGX_Loading'!P15</f>
        <v>-447.44400000000002</v>
      </c>
      <c r="T11" s="59">
        <f t="shared" si="5"/>
        <v>5.3082890975908539</v>
      </c>
      <c r="U11" s="59">
        <f t="shared" si="6"/>
        <v>-293.96199182102475</v>
      </c>
      <c r="V11" s="59">
        <f t="shared" si="7"/>
        <v>0.28581104849151645</v>
      </c>
      <c r="W11" s="59">
        <f t="shared" si="8"/>
        <v>-2.7310680219200614</v>
      </c>
      <c r="X11" s="274" t="str">
        <f>'16_DB-SGX_Loading'!W15</f>
        <v>W05</v>
      </c>
    </row>
    <row r="12" spans="1:25">
      <c r="A12">
        <v>7</v>
      </c>
      <c r="B12" t="str">
        <f>'16_DB-SGX_Loading'!B16</f>
        <v>CapitaLandInvest</v>
      </c>
      <c r="C12" s="139">
        <f>'16_DB-SGX_Loading'!C16</f>
        <v>13679</v>
      </c>
      <c r="D12" s="59">
        <f>'16_DB-SGX_Loading'!D16</f>
        <v>0.61</v>
      </c>
      <c r="E12" s="59">
        <f t="shared" si="0"/>
        <v>0.40149196056349545</v>
      </c>
      <c r="F12" s="59">
        <f t="shared" si="1"/>
        <v>38.488128809242241</v>
      </c>
      <c r="G12" s="59">
        <f t="shared" si="2"/>
        <v>61.511871190757752</v>
      </c>
      <c r="H12" s="59">
        <f>'16_DB-SGX_Loading'!E16</f>
        <v>8462</v>
      </c>
      <c r="I12" s="59">
        <f>'16_DB-SGX_Loading'!F16</f>
        <v>13524</v>
      </c>
      <c r="J12" s="59">
        <f t="shared" si="3"/>
        <v>21986</v>
      </c>
      <c r="K12" s="59">
        <f>'16_DB-SGX_Loading'!H16</f>
        <v>91.33</v>
      </c>
      <c r="L12" s="59">
        <f>'16_DB-SGX_Loading'!I16</f>
        <v>4.38</v>
      </c>
      <c r="M12" s="59">
        <f>'16_DB-SGX_Loading'!J16</f>
        <v>2.74</v>
      </c>
      <c r="N12" s="59">
        <f>'16_DB-SGX_Loading'!K16</f>
        <v>2.71</v>
      </c>
      <c r="O12" s="59">
        <f t="shared" si="4"/>
        <v>1.1070110701107103</v>
      </c>
      <c r="P12" s="59">
        <f>'16_DB-SGX_Loading'!M16</f>
        <v>2133</v>
      </c>
      <c r="Q12" s="59">
        <f>'16_DB-SGX_Loading'!N16</f>
        <v>735</v>
      </c>
      <c r="R12" s="59">
        <f>'16_DB-SGX_Loading'!O16</f>
        <v>24211</v>
      </c>
      <c r="S12" s="59">
        <f>'16_DB-SGX_Loading'!P16</f>
        <v>479</v>
      </c>
      <c r="T12" s="59">
        <f t="shared" si="5"/>
        <v>6.4130332864510082</v>
      </c>
      <c r="U12" s="59">
        <f t="shared" si="6"/>
        <v>18.610884353741497</v>
      </c>
      <c r="V12" s="59">
        <f t="shared" si="7"/>
        <v>0.56499111973896166</v>
      </c>
      <c r="W12" s="59">
        <f t="shared" si="8"/>
        <v>28.55741127348643</v>
      </c>
      <c r="X12" s="274" t="str">
        <f>'16_DB-SGX_Loading'!W16</f>
        <v>9CI</v>
      </c>
    </row>
    <row r="13" spans="1:25">
      <c r="A13">
        <v>8</v>
      </c>
      <c r="B13" t="str">
        <f>'16_DB-SGX_Loading'!B17</f>
        <v>ComfortDelGro</v>
      </c>
      <c r="C13" s="139">
        <f>'16_DB-SGX_Loading'!C17</f>
        <v>3120</v>
      </c>
      <c r="D13" s="59">
        <f>'16_DB-SGX_Loading'!D17</f>
        <v>0.24</v>
      </c>
      <c r="E13" s="59">
        <f t="shared" si="0"/>
        <v>0.15923446509717765</v>
      </c>
      <c r="F13" s="59">
        <f t="shared" si="1"/>
        <v>37.930531839573533</v>
      </c>
      <c r="G13" s="59">
        <f t="shared" si="2"/>
        <v>62.069468160426467</v>
      </c>
      <c r="H13" s="59">
        <f>'16_DB-SGX_Loading'!E17</f>
        <v>1821.5</v>
      </c>
      <c r="I13" s="59">
        <f>'16_DB-SGX_Loading'!F17</f>
        <v>2980.7</v>
      </c>
      <c r="J13" s="59">
        <f t="shared" si="3"/>
        <v>4802.2</v>
      </c>
      <c r="K13" s="59">
        <f>'16_DB-SGX_Loading'!H17</f>
        <v>13.09</v>
      </c>
      <c r="L13" s="59">
        <f>'16_DB-SGX_Loading'!I17</f>
        <v>5.9</v>
      </c>
      <c r="M13" s="59">
        <f>'16_DB-SGX_Loading'!J17</f>
        <v>1.44</v>
      </c>
      <c r="N13" s="59">
        <f>'16_DB-SGX_Loading'!K17</f>
        <v>1.48</v>
      </c>
      <c r="O13" s="59">
        <f t="shared" si="4"/>
        <v>-2.7027027027027053</v>
      </c>
      <c r="P13" s="59">
        <f>'16_DB-SGX_Loading'!M17</f>
        <v>5058</v>
      </c>
      <c r="Q13" s="59">
        <f>'16_DB-SGX_Loading'!N17</f>
        <v>793.8</v>
      </c>
      <c r="R13" s="59">
        <f>'16_DB-SGX_Loading'!O17</f>
        <v>6138.9</v>
      </c>
      <c r="S13" s="59">
        <f>'16_DB-SGX_Loading'!P17</f>
        <v>-136.5</v>
      </c>
      <c r="T13" s="59">
        <f t="shared" si="5"/>
        <v>0.61684460260972718</v>
      </c>
      <c r="U13" s="59">
        <f t="shared" si="6"/>
        <v>3.9304610733182166</v>
      </c>
      <c r="V13" s="59">
        <f t="shared" si="7"/>
        <v>0.5082343742364267</v>
      </c>
      <c r="W13" s="59">
        <f t="shared" si="8"/>
        <v>-22.857142857142858</v>
      </c>
      <c r="X13" s="274" t="str">
        <f>'16_DB-SGX_Loading'!W17</f>
        <v>C52</v>
      </c>
    </row>
    <row r="14" spans="1:25">
      <c r="A14">
        <v>9</v>
      </c>
      <c r="B14" t="str">
        <f>'16_DB-SGX_Loading'!B18</f>
        <v>Frasers Property</v>
      </c>
      <c r="C14" s="139">
        <f>'16_DB-SGX_Loading'!C18</f>
        <v>3808</v>
      </c>
      <c r="D14" s="59">
        <f>'16_DB-SGX_Loading'!D18</f>
        <v>0.33</v>
      </c>
      <c r="E14" s="59">
        <f t="shared" si="0"/>
        <v>0.17398971946337133</v>
      </c>
      <c r="F14" s="59">
        <f t="shared" si="1"/>
        <v>51.93042172731645</v>
      </c>
      <c r="G14" s="59">
        <f t="shared" si="2"/>
        <v>48.069578272683557</v>
      </c>
      <c r="H14" s="59">
        <f>'16_DB-SGX_Loading'!E18</f>
        <v>18525.843000000001</v>
      </c>
      <c r="I14" s="59">
        <f>'16_DB-SGX_Loading'!F18</f>
        <v>17148.511999999999</v>
      </c>
      <c r="J14" s="59">
        <f t="shared" si="3"/>
        <v>35674.354999999996</v>
      </c>
      <c r="K14" s="59">
        <f>'16_DB-SGX_Loading'!H18</f>
        <v>16.170000000000002</v>
      </c>
      <c r="L14" s="59">
        <f>'16_DB-SGX_Loading'!I18</f>
        <v>4.6399999999999997</v>
      </c>
      <c r="M14" s="59">
        <f>'16_DB-SGX_Loading'!J18</f>
        <v>0.97</v>
      </c>
      <c r="N14" s="59">
        <f>'16_DB-SGX_Loading'!K18</f>
        <v>1.1299999999999999</v>
      </c>
      <c r="O14" s="59">
        <f t="shared" si="4"/>
        <v>-14.159292035398224</v>
      </c>
      <c r="P14" s="59">
        <f>'16_DB-SGX_Loading'!M18</f>
        <v>3403.5189999999998</v>
      </c>
      <c r="Q14" s="59">
        <f>'16_DB-SGX_Loading'!N18</f>
        <v>1322.5340000000001</v>
      </c>
      <c r="R14" s="59">
        <f>'16_DB-SGX_Loading'!O18</f>
        <v>39747.618000000002</v>
      </c>
      <c r="S14" s="59">
        <f>'16_DB-SGX_Loading'!P18</f>
        <v>981.78800000000001</v>
      </c>
      <c r="T14" s="59">
        <f t="shared" si="5"/>
        <v>1.1188419985315199</v>
      </c>
      <c r="U14" s="59">
        <f t="shared" si="6"/>
        <v>2.8793210609330266</v>
      </c>
      <c r="V14" s="59">
        <f t="shared" si="7"/>
        <v>9.5804483176828353E-2</v>
      </c>
      <c r="W14" s="59">
        <f t="shared" si="8"/>
        <v>3.8786377507160403</v>
      </c>
      <c r="X14" s="274" t="str">
        <f>'16_DB-SGX_Loading'!W18</f>
        <v>TQ5</v>
      </c>
    </row>
    <row r="15" spans="1:25">
      <c r="X15" s="274"/>
    </row>
    <row r="16" spans="1:25">
      <c r="B16" t="s">
        <v>1263</v>
      </c>
      <c r="D16">
        <f>SUM(D6:D14)</f>
        <v>3.67</v>
      </c>
      <c r="E16" s="26">
        <f>SUM(E6:E14)</f>
        <v>2.668924724119544</v>
      </c>
      <c r="F16" s="289">
        <f>AVERAGE(H6:H14)/AVERAGE(I6:I14)</f>
        <v>0.76199235819964806</v>
      </c>
      <c r="G16" t="s">
        <v>2403</v>
      </c>
    </row>
    <row r="17" spans="1:25">
      <c r="B17" t="s">
        <v>1264</v>
      </c>
      <c r="D17">
        <f>AVERAGE(D6:D14)</f>
        <v>0.40777777777777779</v>
      </c>
      <c r="E17" s="26">
        <f>AVERAGE(E6:E14)</f>
        <v>0.29654719156883824</v>
      </c>
      <c r="F17" s="289">
        <f>E17*(1+(1-D50)*F16)</f>
        <v>0.48409954744028638</v>
      </c>
      <c r="G17" t="s">
        <v>2402</v>
      </c>
    </row>
    <row r="18" spans="1:25">
      <c r="B18" t="s">
        <v>1266</v>
      </c>
    </row>
    <row r="20" spans="1:25">
      <c r="A20" s="22" t="s">
        <v>1708</v>
      </c>
      <c r="B20" s="24" t="s">
        <v>2610</v>
      </c>
    </row>
    <row r="21" spans="1:25">
      <c r="B21" t="s">
        <v>2611</v>
      </c>
    </row>
    <row r="22" spans="1:25" s="285" customFormat="1" ht="110.4">
      <c r="A22" s="284"/>
      <c r="B22" s="284"/>
      <c r="C22" s="284" t="s">
        <v>1274</v>
      </c>
      <c r="D22" s="284" t="s">
        <v>1244</v>
      </c>
      <c r="E22" s="284" t="s">
        <v>2606</v>
      </c>
      <c r="F22" s="284" t="s">
        <v>2607</v>
      </c>
      <c r="G22" s="284" t="s">
        <v>2608</v>
      </c>
      <c r="H22" s="284" t="s">
        <v>1247</v>
      </c>
      <c r="I22" s="284" t="s">
        <v>1248</v>
      </c>
      <c r="J22" s="284" t="s">
        <v>1275</v>
      </c>
      <c r="K22" s="284" t="s">
        <v>1250</v>
      </c>
      <c r="L22" s="284" t="s">
        <v>1251</v>
      </c>
      <c r="M22" s="284" t="s">
        <v>2617</v>
      </c>
      <c r="N22" s="284" t="s">
        <v>2616</v>
      </c>
      <c r="O22" s="284" t="s">
        <v>1254</v>
      </c>
      <c r="P22" s="284" t="s">
        <v>1255</v>
      </c>
      <c r="Q22" s="284" t="s">
        <v>1256</v>
      </c>
      <c r="R22" s="284" t="s">
        <v>1257</v>
      </c>
      <c r="S22" s="284" t="s">
        <v>1258</v>
      </c>
      <c r="T22" s="284" t="s">
        <v>1259</v>
      </c>
      <c r="U22" s="284" t="s">
        <v>1260</v>
      </c>
      <c r="V22" s="284" t="s">
        <v>1261</v>
      </c>
      <c r="W22" s="284" t="s">
        <v>1262</v>
      </c>
      <c r="X22" s="284" t="s">
        <v>2445</v>
      </c>
      <c r="Y22" s="284" t="s">
        <v>623</v>
      </c>
    </row>
    <row r="23" spans="1:25">
      <c r="A23">
        <v>1</v>
      </c>
      <c r="B23" t="str">
        <f>'16_DB-SGX_Loading'!B22</f>
        <v>Audience</v>
      </c>
      <c r="C23" s="139">
        <f>'16_DB-SGX_Loading'!C22</f>
        <v>60.491999999999997</v>
      </c>
      <c r="D23" s="59">
        <f>'16_DB-SGX_Loading'!D22</f>
        <v>0.08</v>
      </c>
      <c r="E23" s="59">
        <f t="shared" ref="E23:E34" si="9">D23/(1+(1-$C$55)*(F23/G23))</f>
        <v>7.9920179424563725E-2</v>
      </c>
      <c r="F23" s="59">
        <f>H23/J23%</f>
        <v>0.12018714855990043</v>
      </c>
      <c r="G23" s="59">
        <f>I23/J23%</f>
        <v>99.879812851440093</v>
      </c>
      <c r="H23" s="59">
        <f>'16_DB-SGX_Loading'!E22</f>
        <v>2.8000000000000001E-2</v>
      </c>
      <c r="I23" s="59">
        <f>'16_DB-SGX_Loading'!F22</f>
        <v>23.268999999999998</v>
      </c>
      <c r="J23" s="59">
        <f>H23+I23</f>
        <v>23.296999999999997</v>
      </c>
      <c r="K23" s="59">
        <f>'16_DB-SGX_Loading'!H22</f>
        <v>13</v>
      </c>
      <c r="L23" s="59">
        <f>'16_DB-SGX_Loading'!I22</f>
        <v>5.77</v>
      </c>
      <c r="M23" s="59">
        <f>'16_DB-SGX_Loading'!J22</f>
        <v>0.26</v>
      </c>
      <c r="N23" s="59">
        <f>'16_DB-SGX_Loading'!K22</f>
        <v>0.26</v>
      </c>
      <c r="O23" s="59">
        <f>(N23-M23)/N23*100</f>
        <v>0</v>
      </c>
      <c r="P23" s="59">
        <f>'16_DB-SGX_Loading'!M22</f>
        <v>15.956</v>
      </c>
      <c r="Q23" s="59">
        <f>'16_DB-SGX_Loading'!N22</f>
        <v>5.7880000000000003</v>
      </c>
      <c r="R23" s="59">
        <f>'16_DB-SGX_Loading'!O22</f>
        <v>26.015000000000001</v>
      </c>
      <c r="S23" s="59">
        <f>'16_DB-SGX_Loading'!P22</f>
        <v>4.4359999999999999</v>
      </c>
      <c r="T23" s="59">
        <f>'16_DB-SGX_Loading'!Q22</f>
        <v>3.7911757332664826</v>
      </c>
      <c r="U23" s="59">
        <f>'16_DB-SGX_Loading'!R22</f>
        <v>10.451278507256392</v>
      </c>
      <c r="V23" s="59">
        <f>'16_DB-SGX_Loading'!S22</f>
        <v>2.3252738804535844</v>
      </c>
      <c r="W23" s="59">
        <f>'16_DB-SGX_Loading'!T22</f>
        <v>13.636609558160504</v>
      </c>
      <c r="X23" s="274" t="s">
        <v>684</v>
      </c>
    </row>
    <row r="24" spans="1:25">
      <c r="A24">
        <v>2</v>
      </c>
      <c r="B24" t="str">
        <f>'16_DB-SGX_Loading'!B23</f>
        <v>Dezign Format</v>
      </c>
      <c r="C24" s="139">
        <f>'16_DB-SGX_Loading'!C23</f>
        <v>38</v>
      </c>
      <c r="D24" s="59">
        <f>'16_DB-SGX_Loading'!D23</f>
        <v>1</v>
      </c>
      <c r="E24" s="59">
        <f t="shared" si="9"/>
        <v>0.84807460729276796</v>
      </c>
      <c r="F24" s="59">
        <f t="shared" ref="F24:F34" si="10">H24/J24%</f>
        <v>17.751874675180044</v>
      </c>
      <c r="G24" s="59">
        <f t="shared" ref="G24:G34" si="11">I24/J24%</f>
        <v>82.248125324819952</v>
      </c>
      <c r="H24" s="59">
        <f>'16_DB-SGX_Loading'!E23</f>
        <v>2.391</v>
      </c>
      <c r="I24" s="59">
        <f>'16_DB-SGX_Loading'!F23</f>
        <v>11.077999999999999</v>
      </c>
      <c r="J24" s="59">
        <f t="shared" ref="J24:J28" si="12">H24+I24</f>
        <v>13.468999999999999</v>
      </c>
      <c r="K24" s="59">
        <f>'16_DB-SGX_Loading'!H23</f>
        <v>19</v>
      </c>
      <c r="L24" s="59">
        <f>'16_DB-SGX_Loading'!I23</f>
        <v>0</v>
      </c>
      <c r="M24" s="59">
        <f>'16_DB-SGX_Loading'!J23</f>
        <v>0.19</v>
      </c>
      <c r="N24" s="59">
        <f>'16_DB-SGX_Loading'!K23</f>
        <v>0.23</v>
      </c>
      <c r="O24" s="59">
        <f t="shared" ref="O24:O28" si="13">(N24-M24)/N24*100</f>
        <v>17.39130434782609</v>
      </c>
      <c r="P24" s="59">
        <f>'16_DB-SGX_Loading'!M23</f>
        <v>33.103999999999999</v>
      </c>
      <c r="Q24" s="59">
        <f>'16_DB-SGX_Loading'!N23</f>
        <v>3.03</v>
      </c>
      <c r="R24" s="59">
        <f>'16_DB-SGX_Loading'!O23</f>
        <v>24.951000000000001</v>
      </c>
      <c r="S24" s="59">
        <f>'16_DB-SGX_Loading'!P23</f>
        <v>-6.5110000000000001</v>
      </c>
      <c r="T24" s="59">
        <f>'16_DB-SGX_Loading'!Q23</f>
        <v>1.1478975350410827</v>
      </c>
      <c r="U24" s="59">
        <f>'16_DB-SGX_Loading'!R23</f>
        <v>12.541254125412543</v>
      </c>
      <c r="V24" s="59">
        <f>'16_DB-SGX_Loading'!S23</f>
        <v>1.5229850506993707</v>
      </c>
      <c r="W24" s="59">
        <f>'16_DB-SGX_Loading'!T23</f>
        <v>-5.8362770695745656</v>
      </c>
      <c r="X24" s="274" t="s">
        <v>762</v>
      </c>
    </row>
    <row r="25" spans="1:25">
      <c r="A25">
        <v>3</v>
      </c>
      <c r="B25" t="str">
        <f>'16_DB-SGX_Loading'!B24</f>
        <v>GKE</v>
      </c>
      <c r="C25" s="139">
        <f>'16_DB-SGX_Loading'!C24</f>
        <v>64.394999999999996</v>
      </c>
      <c r="D25" s="59">
        <f>'16_DB-SGX_Loading'!D24</f>
        <v>0.28000000000000003</v>
      </c>
      <c r="E25" s="59">
        <f t="shared" si="9"/>
        <v>0.19439740472489342</v>
      </c>
      <c r="F25" s="59">
        <f t="shared" si="10"/>
        <v>34.663595492421031</v>
      </c>
      <c r="G25" s="59">
        <f t="shared" si="11"/>
        <v>65.336404507578976</v>
      </c>
      <c r="H25" s="59">
        <f>'16_DB-SGX_Loading'!E24</f>
        <v>53.122999999999998</v>
      </c>
      <c r="I25" s="59">
        <f>'16_DB-SGX_Loading'!F24</f>
        <v>100.13</v>
      </c>
      <c r="J25" s="59">
        <f t="shared" si="12"/>
        <v>153.25299999999999</v>
      </c>
      <c r="K25" s="59">
        <f>'16_DB-SGX_Loading'!H24</f>
        <v>7.5</v>
      </c>
      <c r="L25" s="59">
        <f>'16_DB-SGX_Loading'!I24</f>
        <v>5.33</v>
      </c>
      <c r="M25" s="59">
        <f>'16_DB-SGX_Loading'!J24</f>
        <v>7.4999999999999997E-2</v>
      </c>
      <c r="N25" s="59">
        <f>'16_DB-SGX_Loading'!K24</f>
        <v>9.5000000000000001E-2</v>
      </c>
      <c r="O25" s="59">
        <f t="shared" si="13"/>
        <v>21.052631578947373</v>
      </c>
      <c r="P25" s="59">
        <f>'16_DB-SGX_Loading'!M24</f>
        <v>126.51900000000001</v>
      </c>
      <c r="Q25" s="59">
        <f>'16_DB-SGX_Loading'!N24</f>
        <v>29.927</v>
      </c>
      <c r="R25" s="59">
        <f>'16_DB-SGX_Loading'!O24</f>
        <v>184.24</v>
      </c>
      <c r="S25" s="59">
        <f>'16_DB-SGX_Loading'!P24</f>
        <v>14.760999999999999</v>
      </c>
      <c r="T25" s="59">
        <f>'16_DB-SGX_Loading'!Q24</f>
        <v>0.50897493657079174</v>
      </c>
      <c r="U25" s="59">
        <f>'16_DB-SGX_Loading'!R24</f>
        <v>2.1517358906672901</v>
      </c>
      <c r="V25" s="59">
        <f>'16_DB-SGX_Loading'!S24</f>
        <v>0.34951693443334775</v>
      </c>
      <c r="W25" s="59">
        <f>'16_DB-SGX_Loading'!T24</f>
        <v>4.3625093150870535</v>
      </c>
      <c r="X25" s="274">
        <v>595</v>
      </c>
      <c r="Y25" t="s">
        <v>932</v>
      </c>
    </row>
    <row r="26" spans="1:25">
      <c r="A26">
        <v>4</v>
      </c>
      <c r="B26" t="str">
        <f>'16_DB-SGX_Loading'!B25</f>
        <v>Hiap Tong</v>
      </c>
      <c r="C26" s="139">
        <f>'16_DB-SGX_Loading'!C25</f>
        <v>35.545000000000002</v>
      </c>
      <c r="D26" s="59">
        <f>'16_DB-SGX_Loading'!D25</f>
        <v>-0.04</v>
      </c>
      <c r="E26" s="59">
        <f t="shared" si="9"/>
        <v>-2.7828631650079056E-2</v>
      </c>
      <c r="F26" s="59">
        <f t="shared" si="10"/>
        <v>34.509973582951496</v>
      </c>
      <c r="G26" s="59">
        <f t="shared" si="11"/>
        <v>65.490026417048497</v>
      </c>
      <c r="H26" s="59">
        <f>'16_DB-SGX_Loading'!E25</f>
        <v>52.646000000000001</v>
      </c>
      <c r="I26" s="59">
        <f>'16_DB-SGX_Loading'!F25</f>
        <v>99.906999999999996</v>
      </c>
      <c r="J26" s="59">
        <f t="shared" si="12"/>
        <v>152.553</v>
      </c>
      <c r="K26" s="59">
        <f>'16_DB-SGX_Loading'!H25</f>
        <v>11.2</v>
      </c>
      <c r="L26" s="59">
        <f>'16_DB-SGX_Loading'!I25</f>
        <v>0.89</v>
      </c>
      <c r="M26" s="59">
        <f>'16_DB-SGX_Loading'!J25</f>
        <v>0.112</v>
      </c>
      <c r="N26" s="59">
        <f>'16_DB-SGX_Loading'!K25</f>
        <v>9.6000000000000002E-2</v>
      </c>
      <c r="O26" s="59">
        <f t="shared" si="13"/>
        <v>-16.666666666666664</v>
      </c>
      <c r="P26" s="59">
        <f>'16_DB-SGX_Loading'!M25</f>
        <v>91.915999999999997</v>
      </c>
      <c r="Q26" s="59">
        <f>'16_DB-SGX_Loading'!N25</f>
        <v>23.984999999999999</v>
      </c>
      <c r="R26" s="59">
        <f>'16_DB-SGX_Loading'!O25</f>
        <v>182.02600000000001</v>
      </c>
      <c r="S26" s="59">
        <f>'16_DB-SGX_Loading'!P25</f>
        <v>19.872</v>
      </c>
      <c r="T26" s="59">
        <f>'16_DB-SGX_Loading'!Q25</f>
        <v>0.38671178032116282</v>
      </c>
      <c r="U26" s="59">
        <f>'16_DB-SGX_Loading'!R25</f>
        <v>1.4819678966020431</v>
      </c>
      <c r="V26" s="59">
        <f>'16_DB-SGX_Loading'!S25</f>
        <v>0.19527430147341587</v>
      </c>
      <c r="W26" s="59">
        <f>'16_DB-SGX_Loading'!T25</f>
        <v>1.7886976650563609</v>
      </c>
      <c r="X26" s="274" t="s">
        <v>843</v>
      </c>
    </row>
    <row r="27" spans="1:25">
      <c r="A27">
        <v>5</v>
      </c>
      <c r="B27" t="str">
        <f>'16_DB-SGX_Loading'!B26</f>
        <v>LS 2 Holdings</v>
      </c>
      <c r="C27" s="139">
        <f>'16_DB-SGX_Loading'!C26</f>
        <v>14.8</v>
      </c>
      <c r="D27" s="59">
        <f>'16_DB-SGX_Loading'!D26</f>
        <v>4.1100000000000003</v>
      </c>
      <c r="E27" s="59">
        <f t="shared" si="9"/>
        <v>3.7729932681562746</v>
      </c>
      <c r="F27" s="59">
        <f t="shared" si="10"/>
        <v>9.7159543403238651</v>
      </c>
      <c r="G27" s="59">
        <f t="shared" si="11"/>
        <v>90.284045659676138</v>
      </c>
      <c r="H27" s="59">
        <f>'16_DB-SGX_Loading'!E26</f>
        <v>2.5619999999999998</v>
      </c>
      <c r="I27" s="59">
        <f>'16_DB-SGX_Loading'!F26</f>
        <v>23.806999999999999</v>
      </c>
      <c r="J27" s="59">
        <f t="shared" si="12"/>
        <v>26.369</v>
      </c>
      <c r="K27" s="59">
        <f>'16_DB-SGX_Loading'!H26</f>
        <v>4</v>
      </c>
      <c r="L27" s="59">
        <f>'16_DB-SGX_Loading'!I26</f>
        <v>0</v>
      </c>
      <c r="M27" s="59">
        <f>'16_DB-SGX_Loading'!J26</f>
        <v>0.08</v>
      </c>
      <c r="N27" s="59">
        <f>'16_DB-SGX_Loading'!K26</f>
        <v>7.3999999999999996E-2</v>
      </c>
      <c r="O27" s="59">
        <f t="shared" si="13"/>
        <v>-8.1081081081081159</v>
      </c>
      <c r="P27" s="59">
        <f>'16_DB-SGX_Loading'!M26</f>
        <v>71.805000000000007</v>
      </c>
      <c r="Q27" s="59">
        <f>'16_DB-SGX_Loading'!N26</f>
        <v>7.6139999999999999</v>
      </c>
      <c r="R27" s="59">
        <f>'16_DB-SGX_Loading'!O26</f>
        <v>37.841000000000001</v>
      </c>
      <c r="S27" s="59">
        <f>'16_DB-SGX_Loading'!P26</f>
        <v>6.1539999999999999</v>
      </c>
      <c r="T27" s="59">
        <f>'16_DB-SGX_Loading'!Q26</f>
        <v>0.20611378037741104</v>
      </c>
      <c r="U27" s="59">
        <f>'16_DB-SGX_Loading'!R26</f>
        <v>1.9437877593905963</v>
      </c>
      <c r="V27" s="59">
        <f>'16_DB-SGX_Loading'!S26</f>
        <v>0.39111017150709548</v>
      </c>
      <c r="W27" s="59">
        <f>'16_DB-SGX_Loading'!T26</f>
        <v>2.4049398765030876</v>
      </c>
      <c r="X27" s="274" t="s">
        <v>922</v>
      </c>
    </row>
    <row r="28" spans="1:25">
      <c r="A28">
        <v>6</v>
      </c>
      <c r="B28" t="str">
        <f>'16_DB-SGX_Loading'!B27</f>
        <v>VCPlus</v>
      </c>
      <c r="C28" s="139">
        <f>'16_DB-SGX_Loading'!C27</f>
        <v>17.012</v>
      </c>
      <c r="D28" s="59">
        <f>'16_DB-SGX_Loading'!D27</f>
        <v>0.69</v>
      </c>
      <c r="E28" s="59">
        <f t="shared" si="9"/>
        <v>0.56308173640985526</v>
      </c>
      <c r="F28" s="59">
        <f t="shared" si="10"/>
        <v>21.356783919597991</v>
      </c>
      <c r="G28" s="59">
        <f t="shared" si="11"/>
        <v>78.643216080402013</v>
      </c>
      <c r="H28" s="59">
        <f>'16_DB-SGX_Loading'!E27</f>
        <v>0.17</v>
      </c>
      <c r="I28" s="59">
        <f>'16_DB-SGX_Loading'!F27</f>
        <v>0.626</v>
      </c>
      <c r="J28" s="59">
        <f t="shared" si="12"/>
        <v>0.79600000000000004</v>
      </c>
      <c r="K28" s="59">
        <f>'16_DB-SGX_Loading'!H27</f>
        <v>0</v>
      </c>
      <c r="L28" s="59">
        <f>'16_DB-SGX_Loading'!I27</f>
        <v>0</v>
      </c>
      <c r="M28" s="59">
        <f>'16_DB-SGX_Loading'!J27</f>
        <v>3.0000000000000001E-3</v>
      </c>
      <c r="N28" s="59">
        <f>'16_DB-SGX_Loading'!K27</f>
        <v>3.0000000000000001E-3</v>
      </c>
      <c r="O28" s="59">
        <f t="shared" si="13"/>
        <v>0</v>
      </c>
      <c r="P28" s="59">
        <f>'16_DB-SGX_Loading'!M27</f>
        <v>0.191</v>
      </c>
      <c r="Q28" s="59">
        <f>'16_DB-SGX_Loading'!N27</f>
        <v>-2.2810000000000001</v>
      </c>
      <c r="R28" s="59">
        <f>'16_DB-SGX_Loading'!O27</f>
        <v>1.4710000000000001</v>
      </c>
      <c r="S28" s="59">
        <f>'16_DB-SGX_Loading'!P27</f>
        <v>-1.3879999999999999</v>
      </c>
      <c r="T28" s="59">
        <f>'16_DB-SGX_Loading'!Q27</f>
        <v>89.068062827225134</v>
      </c>
      <c r="U28" s="59">
        <f>'16_DB-SGX_Loading'!R27</f>
        <v>-7.4581323980710215</v>
      </c>
      <c r="V28" s="59">
        <f>'16_DB-SGX_Loading'!S27</f>
        <v>11.56492182188987</v>
      </c>
      <c r="W28" s="59">
        <f>'16_DB-SGX_Loading'!T27</f>
        <v>-12.256484149855909</v>
      </c>
      <c r="X28" s="274" t="s">
        <v>1150</v>
      </c>
    </row>
    <row r="29" spans="1:25">
      <c r="A29">
        <v>7</v>
      </c>
      <c r="B29" t="str">
        <f>'16_DB-SGX_Loading'!B28</f>
        <v>ZICO Hldgs</v>
      </c>
      <c r="C29" s="139">
        <f>'16_DB-SGX_Loading'!C28</f>
        <v>19.707000000000001</v>
      </c>
      <c r="D29" s="59">
        <f>'16_DB-SGX_Loading'!D28</f>
        <v>0.18</v>
      </c>
      <c r="E29" s="59">
        <f t="shared" si="9"/>
        <v>0.14286699702499495</v>
      </c>
      <c r="F29" s="59">
        <f t="shared" si="10"/>
        <v>23.847139197267293</v>
      </c>
      <c r="G29" s="59">
        <f t="shared" si="11"/>
        <v>76.152860802732718</v>
      </c>
      <c r="H29" s="59">
        <f>'16_DB-SGX_Loading'!E28</f>
        <v>8.9359999999999999</v>
      </c>
      <c r="I29" s="59">
        <f>'16_DB-SGX_Loading'!F28</f>
        <v>28.536000000000001</v>
      </c>
      <c r="J29" s="59">
        <f>H29+I29</f>
        <v>37.472000000000001</v>
      </c>
      <c r="K29" s="59">
        <f>'16_DB-SGX_Loading'!H28</f>
        <v>0</v>
      </c>
      <c r="L29" s="59">
        <f>'16_DB-SGX_Loading'!I28</f>
        <v>0</v>
      </c>
      <c r="M29" s="59">
        <f>'16_DB-SGX_Loading'!J28</f>
        <v>4.8000000000000001E-2</v>
      </c>
      <c r="N29" s="59">
        <f>'16_DB-SGX_Loading'!K28</f>
        <v>5.5E-2</v>
      </c>
      <c r="O29" s="59">
        <f>(M29-N29)/N29*100</f>
        <v>-12.727272727272727</v>
      </c>
      <c r="P29" s="59">
        <f>'16_DB-SGX_Loading'!M28</f>
        <v>14.311999999999999</v>
      </c>
      <c r="Q29" s="59">
        <f>'16_DB-SGX_Loading'!N28</f>
        <v>3.5489999999999999</v>
      </c>
      <c r="R29" s="59">
        <f>'16_DB-SGX_Loading'!O28</f>
        <v>42.195999999999998</v>
      </c>
      <c r="S29" s="59">
        <f>'16_DB-SGX_Loading'!P28</f>
        <v>-0.504</v>
      </c>
      <c r="T29" s="59">
        <f>'16_DB-SGX_Loading'!Q28</f>
        <v>1.3769564002235888</v>
      </c>
      <c r="U29" s="59">
        <f>'16_DB-SGX_Loading'!R28</f>
        <v>5.5528317836010146</v>
      </c>
      <c r="V29" s="59">
        <f>'16_DB-SGX_Loading'!S28</f>
        <v>0.46703479002749082</v>
      </c>
      <c r="W29" s="59">
        <f>'16_DB-SGX_Loading'!T28</f>
        <v>-39.101190476190474</v>
      </c>
      <c r="X29" s="274" t="s">
        <v>1187</v>
      </c>
    </row>
    <row r="30" spans="1:25">
      <c r="A30">
        <v>8</v>
      </c>
      <c r="B30" t="str">
        <f>'16_DB-SGX_Loading'!B29</f>
        <v>UnUsUaL</v>
      </c>
      <c r="C30" s="139">
        <f>'16_DB-SGX_Loading'!C29</f>
        <v>25.553000000000001</v>
      </c>
      <c r="D30" s="59">
        <f>'16_DB-SGX_Loading'!D29</f>
        <v>-0.38</v>
      </c>
      <c r="E30" s="59">
        <f t="shared" si="9"/>
        <v>-0.36048030509161633</v>
      </c>
      <c r="F30" s="59">
        <f t="shared" si="10"/>
        <v>6.124434009726647</v>
      </c>
      <c r="G30" s="59">
        <f t="shared" si="11"/>
        <v>93.875565990273344</v>
      </c>
      <c r="H30" s="59">
        <f>'16_DB-SGX_Loading'!E29</f>
        <v>1.8260000000000001</v>
      </c>
      <c r="I30" s="59">
        <f>'16_DB-SGX_Loading'!F29</f>
        <v>27.989000000000001</v>
      </c>
      <c r="J30" s="59">
        <f>H30+I30</f>
        <v>29.815000000000001</v>
      </c>
      <c r="K30" s="59">
        <f>'16_DB-SGX_Loading'!H29</f>
        <v>0</v>
      </c>
      <c r="L30" s="59">
        <f>'16_DB-SGX_Loading'!I29</f>
        <v>0</v>
      </c>
      <c r="M30" s="59">
        <f>'16_DB-SGX_Loading'!J29</f>
        <v>2.5000000000000001E-2</v>
      </c>
      <c r="N30" s="59">
        <f>'16_DB-SGX_Loading'!K29</f>
        <v>3.5999999999999997E-2</v>
      </c>
      <c r="O30" s="59">
        <f>(M30-N30)/N30*100</f>
        <v>-30.555555555555546</v>
      </c>
      <c r="P30" s="59">
        <f>'16_DB-SGX_Loading'!M29</f>
        <v>53.219000000000001</v>
      </c>
      <c r="Q30" s="59">
        <f>'16_DB-SGX_Loading'!N29</f>
        <v>-18.574999999999999</v>
      </c>
      <c r="R30" s="59">
        <f>'16_DB-SGX_Loading'!O29</f>
        <v>37.47</v>
      </c>
      <c r="S30" s="59">
        <f>'16_DB-SGX_Loading'!P29</f>
        <v>4.3730000000000002</v>
      </c>
      <c r="T30" s="59">
        <f>'16_DB-SGX_Loading'!Q29</f>
        <v>0.48014806741953064</v>
      </c>
      <c r="U30" s="59">
        <f>'16_DB-SGX_Loading'!R29</f>
        <v>-1.3756662180349934</v>
      </c>
      <c r="V30" s="59">
        <f>'16_DB-SGX_Loading'!S29</f>
        <v>0.68195890045369634</v>
      </c>
      <c r="W30" s="59">
        <f>'16_DB-SGX_Loading'!T29</f>
        <v>5.8433569631831697</v>
      </c>
      <c r="X30" s="274" t="s">
        <v>1138</v>
      </c>
    </row>
    <row r="31" spans="1:25">
      <c r="A31">
        <v>9</v>
      </c>
      <c r="B31" t="str">
        <f>'16_DB-SGX_Loading'!B30</f>
        <v>Abundante</v>
      </c>
      <c r="C31" s="139">
        <f>'16_DB-SGX_Loading'!C30</f>
        <v>15.26</v>
      </c>
      <c r="D31" s="59">
        <f>'16_DB-SGX_Loading'!D30</f>
        <v>0.3</v>
      </c>
      <c r="E31" s="59">
        <f t="shared" si="9"/>
        <v>0.29999866416903825</v>
      </c>
      <c r="F31" s="59">
        <f t="shared" si="10"/>
        <v>5.3647780859544748E-4</v>
      </c>
      <c r="G31" s="59">
        <f t="shared" si="11"/>
        <v>99.999463522191405</v>
      </c>
      <c r="H31" s="59">
        <v>1E-4</v>
      </c>
      <c r="I31" s="59">
        <f>'16_DB-SGX_Loading'!F30</f>
        <v>18.64</v>
      </c>
      <c r="J31" s="59">
        <f>H31+I31</f>
        <v>18.6401</v>
      </c>
      <c r="K31" s="59">
        <f>'16_DB-SGX_Loading'!H30</f>
        <v>0</v>
      </c>
      <c r="L31" s="59">
        <f>'16_DB-SGX_Loading'!I30</f>
        <v>0</v>
      </c>
      <c r="M31" s="59">
        <f>'16_DB-SGX_Loading'!J30</f>
        <v>0.15</v>
      </c>
      <c r="N31" s="59">
        <f>'16_DB-SGX_Loading'!K30</f>
        <v>0.16</v>
      </c>
      <c r="O31" s="59">
        <f>(M31-N31)/N31*100</f>
        <v>-6.2500000000000053</v>
      </c>
      <c r="P31" s="59">
        <f>'16_DB-SGX_Loading'!M30</f>
        <v>7.3259999999999996</v>
      </c>
      <c r="Q31" s="59">
        <f>'16_DB-SGX_Loading'!N30</f>
        <v>0.78100000000000003</v>
      </c>
      <c r="R31" s="59">
        <f>'16_DB-SGX_Loading'!O30</f>
        <v>19.591999999999999</v>
      </c>
      <c r="S31" s="59">
        <f>'16_DB-SGX_Loading'!P30</f>
        <v>0.25109999999999999</v>
      </c>
      <c r="T31" s="59">
        <f>'16_DB-SGX_Loading'!Q30</f>
        <v>2.0829920829920829</v>
      </c>
      <c r="U31" s="59">
        <f>'16_DB-SGX_Loading'!R30</f>
        <v>19.539052496798973</v>
      </c>
      <c r="V31" s="59">
        <f>'16_DB-SGX_Loading'!S30</f>
        <v>0.77888934258881182</v>
      </c>
      <c r="W31" s="59">
        <f>'16_DB-SGX_Loading'!T30</f>
        <v>60.772600557546795</v>
      </c>
      <c r="X31" s="274">
        <v>570</v>
      </c>
    </row>
    <row r="32" spans="1:25">
      <c r="A32">
        <v>10</v>
      </c>
      <c r="B32" t="str">
        <f>'16_DB-SGX_Loading'!B32</f>
        <v>Chasen</v>
      </c>
      <c r="C32" s="139">
        <f>'16_DB-SGX_Loading'!C32</f>
        <v>29.45</v>
      </c>
      <c r="D32" s="59">
        <f>'16_DB-SGX_Loading'!D32</f>
        <v>0.28000000000000003</v>
      </c>
      <c r="E32" s="59">
        <f t="shared" si="9"/>
        <v>0.1388352398091747</v>
      </c>
      <c r="F32" s="59">
        <f t="shared" si="10"/>
        <v>55.05688621117605</v>
      </c>
      <c r="G32" s="59">
        <f t="shared" si="11"/>
        <v>44.94311378882395</v>
      </c>
      <c r="H32" s="59">
        <f>'16_DB-SGX_Loading'!E32</f>
        <v>100.70399999999999</v>
      </c>
      <c r="I32" s="59">
        <f>'16_DB-SGX_Loading'!F32</f>
        <v>82.204999999999998</v>
      </c>
      <c r="J32" s="59">
        <f t="shared" ref="J32:J34" si="14">H32+I32</f>
        <v>182.90899999999999</v>
      </c>
      <c r="K32" s="59">
        <f>'16_DB-SGX_Loading'!H32</f>
        <v>0</v>
      </c>
      <c r="L32" s="59">
        <f>'16_DB-SGX_Loading'!I32</f>
        <v>0</v>
      </c>
      <c r="M32" s="59">
        <f>'16_DB-SGX_Loading'!J32</f>
        <v>7.6999999999999999E-2</v>
      </c>
      <c r="N32" s="59">
        <f>'16_DB-SGX_Loading'!K32</f>
        <v>8.6999999999999994E-2</v>
      </c>
      <c r="O32" s="59">
        <f t="shared" ref="O32:O34" si="15">(M32-N32)/N32*100</f>
        <v>-11.494252873563214</v>
      </c>
      <c r="P32" s="59">
        <f>'16_DB-SGX_Loading'!M32</f>
        <v>116.322</v>
      </c>
      <c r="Q32" s="59">
        <f>'16_DB-SGX_Loading'!N32</f>
        <v>5.1509999999999998</v>
      </c>
      <c r="R32" s="59">
        <f>'16_DB-SGX_Loading'!O32</f>
        <v>205.471</v>
      </c>
      <c r="S32" s="59">
        <f>'16_DB-SGX_Loading'!P32</f>
        <v>-53.247</v>
      </c>
      <c r="T32" s="59">
        <f>'16_DB-SGX_Loading'!Q32</f>
        <v>0.25317652722614808</v>
      </c>
      <c r="U32" s="59">
        <f>'16_DB-SGX_Loading'!R32</f>
        <v>5.7173364395263055</v>
      </c>
      <c r="V32" s="59">
        <f>'16_DB-SGX_Loading'!S32</f>
        <v>0.14332922894228381</v>
      </c>
      <c r="W32" s="59">
        <f>'16_DB-SGX_Loading'!T32</f>
        <v>-0.5530828027870115</v>
      </c>
      <c r="X32" s="274" t="s">
        <v>716</v>
      </c>
    </row>
    <row r="33" spans="1:24">
      <c r="A33">
        <v>11</v>
      </c>
      <c r="B33" t="str">
        <f>'16_DB-SGX_Loading'!B33</f>
        <v>Eneco Energy</v>
      </c>
      <c r="C33" s="139">
        <f>'16_DB-SGX_Loading'!C33</f>
        <v>34.207999999999998</v>
      </c>
      <c r="D33" s="59">
        <f>'16_DB-SGX_Loading'!D33</f>
        <v>0.66</v>
      </c>
      <c r="E33" s="59">
        <f t="shared" si="9"/>
        <v>0.48144478731101242</v>
      </c>
      <c r="F33" s="59">
        <f t="shared" si="10"/>
        <v>30.883656159007465</v>
      </c>
      <c r="G33" s="59">
        <f t="shared" si="11"/>
        <v>69.116343840992528</v>
      </c>
      <c r="H33" s="59">
        <f>'16_DB-SGX_Loading'!E33</f>
        <v>9.7579999999999991</v>
      </c>
      <c r="I33" s="59">
        <f>'16_DB-SGX_Loading'!F33</f>
        <v>21.838000000000001</v>
      </c>
      <c r="J33" s="59">
        <f t="shared" si="14"/>
        <v>31.596</v>
      </c>
      <c r="K33" s="59">
        <f>'16_DB-SGX_Loading'!H33</f>
        <v>0</v>
      </c>
      <c r="L33" s="59">
        <f>'16_DB-SGX_Loading'!I33</f>
        <v>0</v>
      </c>
      <c r="M33" s="59">
        <f>'16_DB-SGX_Loading'!J33</f>
        <v>8.9999999999999993E-3</v>
      </c>
      <c r="N33" s="59">
        <f>'16_DB-SGX_Loading'!K33</f>
        <v>0.01</v>
      </c>
      <c r="O33" s="59">
        <f t="shared" si="15"/>
        <v>-10.000000000000009</v>
      </c>
      <c r="P33" s="59">
        <f>'16_DB-SGX_Loading'!M33</f>
        <v>31.302</v>
      </c>
      <c r="Q33" s="59">
        <f>'16_DB-SGX_Loading'!N33</f>
        <v>6.5229999999999997</v>
      </c>
      <c r="R33" s="59">
        <f>'16_DB-SGX_Loading'!O33</f>
        <v>37.445</v>
      </c>
      <c r="S33" s="59">
        <f>'16_DB-SGX_Loading'!P33</f>
        <v>3.3730000000000002</v>
      </c>
      <c r="T33" s="59">
        <f>'16_DB-SGX_Loading'!Q33</f>
        <v>1.0928375183694332</v>
      </c>
      <c r="U33" s="59">
        <f>'16_DB-SGX_Loading'!R33</f>
        <v>5.2442127855281315</v>
      </c>
      <c r="V33" s="59">
        <f>'16_DB-SGX_Loading'!S33</f>
        <v>0.91355321137668577</v>
      </c>
      <c r="W33" s="59">
        <f>'16_DB-SGX_Loading'!T33</f>
        <v>10.141713608064038</v>
      </c>
      <c r="X33" s="274" t="s">
        <v>778</v>
      </c>
    </row>
    <row r="34" spans="1:24">
      <c r="A34">
        <v>12</v>
      </c>
      <c r="B34" t="str">
        <f>'16_DB-SGX_Loading'!B34</f>
        <v>KingsmenCreative</v>
      </c>
      <c r="C34" s="139">
        <f>'16_DB-SGX_Loading'!C34</f>
        <v>120.15900000000001</v>
      </c>
      <c r="D34" s="59">
        <f>'16_DB-SGX_Loading'!D34</f>
        <v>0.22</v>
      </c>
      <c r="E34" s="59">
        <f t="shared" si="9"/>
        <v>0.19939953221745094</v>
      </c>
      <c r="F34" s="59">
        <f t="shared" si="10"/>
        <v>11.069445239594664</v>
      </c>
      <c r="G34" s="59">
        <f t="shared" si="11"/>
        <v>88.930554760405343</v>
      </c>
      <c r="H34" s="59">
        <f>'16_DB-SGX_Loading'!E34</f>
        <v>15.468</v>
      </c>
      <c r="I34" s="59">
        <f>'16_DB-SGX_Loading'!F34</f>
        <v>124.268</v>
      </c>
      <c r="J34" s="59">
        <f t="shared" si="14"/>
        <v>139.73599999999999</v>
      </c>
      <c r="K34" s="59">
        <f>'16_DB-SGX_Loading'!H34</f>
        <v>8.5</v>
      </c>
      <c r="L34" s="59">
        <f>'16_DB-SGX_Loading'!I34</f>
        <v>5.04</v>
      </c>
      <c r="M34" s="59">
        <f>'16_DB-SGX_Loading'!J34</f>
        <v>0.59499999999999997</v>
      </c>
      <c r="N34" s="59">
        <f>'16_DB-SGX_Loading'!K34</f>
        <v>0.5</v>
      </c>
      <c r="O34" s="59">
        <f t="shared" si="15"/>
        <v>18.999999999999993</v>
      </c>
      <c r="P34" s="59">
        <f>'16_DB-SGX_Loading'!M34</f>
        <v>372.54399999999998</v>
      </c>
      <c r="Q34" s="59">
        <f>'16_DB-SGX_Loading'!N34</f>
        <v>23.413</v>
      </c>
      <c r="R34" s="59">
        <f>'16_DB-SGX_Loading'!O34</f>
        <v>284.75400000000002</v>
      </c>
      <c r="S34" s="59">
        <f>'16_DB-SGX_Loading'!P34</f>
        <v>27.541</v>
      </c>
      <c r="T34" s="59">
        <f>'16_DB-SGX_Loading'!Q34</f>
        <v>0.32253639838515724</v>
      </c>
      <c r="U34" s="59">
        <f>'16_DB-SGX_Loading'!R34</f>
        <v>5.1321488062187672</v>
      </c>
      <c r="V34" s="59">
        <f>'16_DB-SGX_Loading'!S34</f>
        <v>0.42197475715881078</v>
      </c>
      <c r="W34" s="59">
        <f>'16_DB-SGX_Loading'!T34</f>
        <v>4.3629134744562652</v>
      </c>
      <c r="X34" s="274" t="s">
        <v>902</v>
      </c>
    </row>
    <row r="35" spans="1:24">
      <c r="A35">
        <v>13</v>
      </c>
      <c r="B35" t="str">
        <f>'16_DB-SGX_Loading'!B19</f>
        <v>Raffles Edu</v>
      </c>
      <c r="C35" s="139">
        <f>'16_DB-SGX_Loading'!C19</f>
        <v>224.357</v>
      </c>
      <c r="D35" s="59">
        <f>'16_DB-SGX_Loading'!D19</f>
        <v>0.72</v>
      </c>
      <c r="E35" s="59">
        <f>D35/(1+(1-0.17)*(F35/G35))</f>
        <v>0.56091346194366465</v>
      </c>
      <c r="F35" s="59">
        <f>H35/J35%</f>
        <v>25.468323854380948</v>
      </c>
      <c r="G35" s="59">
        <f>I35/J35%</f>
        <v>74.531676145619045</v>
      </c>
      <c r="H35" s="59">
        <f>'16_DB-SGX_Loading'!E19</f>
        <v>218.887</v>
      </c>
      <c r="I35" s="59">
        <f>'16_DB-SGX_Loading'!F19</f>
        <v>640.56100000000004</v>
      </c>
      <c r="J35" s="59">
        <f>H35+I35</f>
        <v>859.44800000000009</v>
      </c>
      <c r="K35" s="59">
        <f>'16_DB-SGX_Loading'!H19</f>
        <v>0</v>
      </c>
      <c r="L35" s="59">
        <f>'16_DB-SGX_Loading'!I19</f>
        <v>0</v>
      </c>
      <c r="M35" s="59">
        <f>'16_DB-SGX_Loading'!J19</f>
        <v>0.126</v>
      </c>
      <c r="N35" s="59">
        <f>'16_DB-SGX_Loading'!K19</f>
        <v>0.13900000000000001</v>
      </c>
      <c r="O35" s="59">
        <f>(M35-N35)/N35*100</f>
        <v>-9.3525179856115184</v>
      </c>
      <c r="P35" s="59">
        <f>'16_DB-SGX_Loading'!M19</f>
        <v>111.71</v>
      </c>
      <c r="Q35" s="59">
        <f>'16_DB-SGX_Loading'!N19</f>
        <v>43.6</v>
      </c>
      <c r="R35" s="59">
        <f>'16_DB-SGX_Loading'!O19</f>
        <v>1018.751</v>
      </c>
      <c r="S35" s="59">
        <f>'16_DB-SGX_Loading'!P19</f>
        <v>0.14499999999999999</v>
      </c>
      <c r="T35" s="59">
        <f>C35/P35</f>
        <v>2.0083877898129083</v>
      </c>
      <c r="U35" s="59">
        <f>C35/Q35</f>
        <v>5.1458027522935774</v>
      </c>
      <c r="V35" s="59">
        <f>C35/R35</f>
        <v>0.22022751388710293</v>
      </c>
      <c r="W35" s="59">
        <f>C35/S35</f>
        <v>1547.2896551724139</v>
      </c>
      <c r="X35" s="274" t="s">
        <v>1031</v>
      </c>
    </row>
    <row r="36" spans="1:24">
      <c r="C36" s="139"/>
      <c r="D36" s="59"/>
      <c r="E36" s="59"/>
      <c r="F36" s="59"/>
      <c r="G36" s="59"/>
      <c r="H36" s="59"/>
      <c r="I36" s="59"/>
      <c r="J36" s="59"/>
      <c r="K36" s="59"/>
      <c r="L36" s="59"/>
      <c r="M36" s="59"/>
      <c r="N36" s="59"/>
      <c r="O36" s="59"/>
      <c r="P36" s="59"/>
      <c r="Q36" s="59"/>
      <c r="R36" s="59"/>
      <c r="S36" s="59"/>
      <c r="T36" s="59"/>
      <c r="U36" s="59"/>
      <c r="V36" s="59"/>
      <c r="W36" s="59"/>
    </row>
    <row r="37" spans="1:24">
      <c r="B37" t="s">
        <v>1263</v>
      </c>
      <c r="D37" s="139">
        <f>SUM(D23:D35)</f>
        <v>8.1000000000000014</v>
      </c>
      <c r="E37" s="290">
        <f>SUM(E23:E35)</f>
        <v>6.8936169417419961</v>
      </c>
      <c r="F37" s="289">
        <f>AVERAGE(H23:H35)/AVERAGE(I23:I35)</f>
        <v>0.38782686843124775</v>
      </c>
      <c r="G37" t="s">
        <v>2405</v>
      </c>
      <c r="S37" t="s">
        <v>1278</v>
      </c>
      <c r="T37">
        <f>SUM(T23:T26)+SUM(T48:T50)</f>
        <v>5.8347599851995202</v>
      </c>
      <c r="U37">
        <f>SUM(U23:U26)+SUM(U48:U50)</f>
        <v>26.626236419938266</v>
      </c>
      <c r="V37">
        <f>SUM(V23:V26)+SUM(V48:V50)</f>
        <v>4.3930501670597186</v>
      </c>
      <c r="W37">
        <f>SUM(W23:W26)+SUM(W48:W50)</f>
        <v>13.951539468729354</v>
      </c>
    </row>
    <row r="38" spans="1:24">
      <c r="B38" t="s">
        <v>1264</v>
      </c>
      <c r="D38" s="139">
        <f>AVERAGE(D23:D35)</f>
        <v>0.62307692307692319</v>
      </c>
      <c r="E38" s="290">
        <f>AVERAGE(E23:E35)</f>
        <v>0.53027822628784582</v>
      </c>
      <c r="F38" s="289">
        <f>E38*(1+(1-D50)*F37)</f>
        <v>0.70097282572359398</v>
      </c>
      <c r="G38" t="s">
        <v>2404</v>
      </c>
      <c r="S38" t="s">
        <v>1279</v>
      </c>
      <c r="T38">
        <f>T37/11</f>
        <v>0.53043272592722912</v>
      </c>
      <c r="U38">
        <f>U37/11</f>
        <v>2.420566947267115</v>
      </c>
      <c r="V38">
        <f>V37/11</f>
        <v>0.39936819700542897</v>
      </c>
      <c r="W38">
        <f>W37/11</f>
        <v>1.2683217698844869</v>
      </c>
    </row>
    <row r="39" spans="1:24">
      <c r="B39" t="s">
        <v>1266</v>
      </c>
      <c r="D39" s="139"/>
      <c r="E39" s="290"/>
      <c r="F39" s="139"/>
      <c r="S39" t="s">
        <v>1283</v>
      </c>
      <c r="T39">
        <f>MEDIAN(T23:T26)</f>
        <v>0.82843623580593717</v>
      </c>
      <c r="U39">
        <f>MEDIAN(U23:U26)</f>
        <v>6.3015071989618416</v>
      </c>
      <c r="V39">
        <f>MEDIAN(V23:V26)</f>
        <v>0.93625099256635924</v>
      </c>
      <c r="W39">
        <f>MEDIAN(W23:W26)</f>
        <v>3.0756034900717069</v>
      </c>
    </row>
    <row r="41" spans="1:24">
      <c r="B41" s="283" t="s">
        <v>2613</v>
      </c>
      <c r="D41" s="290">
        <f>D37+D16</f>
        <v>11.770000000000001</v>
      </c>
      <c r="E41" s="290">
        <f>E37+E16</f>
        <v>9.5625416658615396</v>
      </c>
      <c r="F41" s="290">
        <f>(AVERAGE(H6:H14)+AVERAGE(H23:H35))/(AVERAGE(I6:I14)+AVERAGE(I23:I35))</f>
        <v>0.75683008399248131</v>
      </c>
      <c r="G41" t="s">
        <v>2615</v>
      </c>
    </row>
    <row r="42" spans="1:24">
      <c r="D42" s="290">
        <f>AVERAGE(D23:D35)+AVERAGE(D6:D14)</f>
        <v>1.0308547008547011</v>
      </c>
      <c r="E42" s="290">
        <f>AVERAGE(E23:E35)+AVERAGE(E6:E14)</f>
        <v>0.82682541785668406</v>
      </c>
      <c r="F42" s="289">
        <f>E42*(1+(1-D50)*F41)</f>
        <v>1.346211488724866</v>
      </c>
      <c r="G42" t="s">
        <v>2614</v>
      </c>
    </row>
    <row r="43" spans="1:24">
      <c r="A43" s="22" t="s">
        <v>566</v>
      </c>
      <c r="B43" s="291" t="s">
        <v>2509</v>
      </c>
      <c r="C43" s="289">
        <f>(D47*C56)-C56</f>
        <v>1.6098834225706264</v>
      </c>
    </row>
    <row r="45" spans="1:24">
      <c r="A45" s="22" t="s">
        <v>1241</v>
      </c>
      <c r="B45" s="24" t="s">
        <v>2073</v>
      </c>
    </row>
    <row r="46" spans="1:24">
      <c r="B46" t="s">
        <v>1268</v>
      </c>
    </row>
    <row r="47" spans="1:24">
      <c r="B47" t="s">
        <v>1807</v>
      </c>
      <c r="D47" s="139">
        <f>D49*(1+(1-D50)*F41)</f>
        <v>1.346211488724866</v>
      </c>
    </row>
    <row r="48" spans="1:24">
      <c r="B48" t="s">
        <v>1808</v>
      </c>
      <c r="D48" s="139"/>
    </row>
    <row r="49" spans="1:7">
      <c r="B49" t="s">
        <v>1811</v>
      </c>
      <c r="D49" s="139">
        <f>E42</f>
        <v>0.82682541785668406</v>
      </c>
    </row>
    <row r="50" spans="1:7">
      <c r="B50" t="s">
        <v>1809</v>
      </c>
      <c r="D50">
        <f>'01_Inputs'!E13</f>
        <v>0.17</v>
      </c>
    </row>
    <row r="52" spans="1:7">
      <c r="B52" s="24" t="s">
        <v>2149</v>
      </c>
    </row>
    <row r="53" spans="1:7">
      <c r="A53" t="s">
        <v>560</v>
      </c>
      <c r="B53" t="s">
        <v>2150</v>
      </c>
      <c r="C53">
        <v>0.24</v>
      </c>
      <c r="E53" t="s">
        <v>2406</v>
      </c>
      <c r="G53" s="59">
        <f>SUM(H6:H14)+SUM(H23:H35)</f>
        <v>45824.277100000007</v>
      </c>
    </row>
    <row r="54" spans="1:7">
      <c r="A54" t="s">
        <v>1708</v>
      </c>
      <c r="B54" t="s">
        <v>2151</v>
      </c>
      <c r="C54">
        <v>0.32</v>
      </c>
      <c r="E54" t="s">
        <v>2407</v>
      </c>
      <c r="G54" s="59">
        <f>SUM(I6:I14)+SUM(I23:I35)</f>
        <v>60728.09399999999</v>
      </c>
    </row>
    <row r="55" spans="1:7">
      <c r="A55" t="s">
        <v>566</v>
      </c>
      <c r="B55" t="s">
        <v>2152</v>
      </c>
      <c r="C55">
        <v>0.17</v>
      </c>
      <c r="E55" t="s">
        <v>2410</v>
      </c>
      <c r="G55" s="59">
        <f>G53/G54</f>
        <v>0.75458118445146682</v>
      </c>
    </row>
    <row r="56" spans="1:7">
      <c r="B56" t="s">
        <v>1290</v>
      </c>
      <c r="C56">
        <f>' 04_CAPM'!D7</f>
        <v>4.6500000000000004</v>
      </c>
      <c r="E56" t="s">
        <v>2408</v>
      </c>
      <c r="G56" s="59">
        <f>(AVERAGE(E6:E14)+AVERAGE(E23:E35))</f>
        <v>0.82682541785668406</v>
      </c>
    </row>
    <row r="57" spans="1:7">
      <c r="E57" t="s">
        <v>1290</v>
      </c>
      <c r="G57" s="59">
        <f>C56</f>
        <v>4.6500000000000004</v>
      </c>
    </row>
    <row r="58" spans="1:7">
      <c r="E58" t="s">
        <v>2409</v>
      </c>
      <c r="G58" s="59">
        <f>G56*(1+(1-D50)*G55)</f>
        <v>1.3446681474636109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774F-2473-4924-B244-1B088FC66160}">
  <dimension ref="A1:T240"/>
  <sheetViews>
    <sheetView zoomScale="72" zoomScaleNormal="72" workbookViewId="0">
      <selection sqref="A1:T145"/>
    </sheetView>
  </sheetViews>
  <sheetFormatPr defaultRowHeight="14.4"/>
  <cols>
    <col min="2" max="3" width="9.88671875" customWidth="1"/>
    <col min="4" max="4" width="11.5546875" bestFit="1" customWidth="1"/>
    <col min="5" max="5" width="10.21875" customWidth="1"/>
    <col min="6" max="6" width="11.6640625" customWidth="1"/>
    <col min="7" max="7" width="10.77734375" bestFit="1" customWidth="1"/>
    <col min="8" max="8" width="17.33203125" bestFit="1" customWidth="1"/>
  </cols>
  <sheetData>
    <row r="1" spans="1:15">
      <c r="A1" s="207" t="s">
        <v>2354</v>
      </c>
      <c r="B1" s="24"/>
      <c r="G1" s="204"/>
      <c r="H1" s="204"/>
      <c r="I1" s="204"/>
      <c r="J1" s="204"/>
      <c r="K1" s="204"/>
      <c r="L1" s="204"/>
      <c r="M1" s="204"/>
      <c r="N1" s="204"/>
      <c r="O1" s="204"/>
    </row>
    <row r="2" spans="1:15">
      <c r="A2" s="212" t="s">
        <v>2367</v>
      </c>
      <c r="B2" s="247">
        <v>1</v>
      </c>
      <c r="C2" s="247">
        <v>2</v>
      </c>
      <c r="D2" s="247">
        <v>3</v>
      </c>
      <c r="E2" s="213">
        <v>4</v>
      </c>
      <c r="F2" s="247">
        <v>5</v>
      </c>
      <c r="G2" s="247">
        <v>6</v>
      </c>
      <c r="H2" s="213">
        <v>7</v>
      </c>
      <c r="I2" s="247">
        <v>8</v>
      </c>
      <c r="J2" s="213">
        <v>9</v>
      </c>
      <c r="K2" s="213">
        <v>10</v>
      </c>
      <c r="L2" s="213">
        <v>11</v>
      </c>
      <c r="M2" s="213">
        <v>12</v>
      </c>
      <c r="N2" s="213">
        <v>13</v>
      </c>
      <c r="O2" s="213"/>
    </row>
    <row r="3" spans="1:15" ht="57.6" customHeight="1">
      <c r="A3" s="182" t="s">
        <v>2304</v>
      </c>
      <c r="B3" s="223" t="str">
        <f>B51</f>
        <v>Audience</v>
      </c>
      <c r="C3" s="223" t="str">
        <f>B70</f>
        <v>Dezign Format</v>
      </c>
      <c r="D3" s="223" t="str">
        <f>B89</f>
        <v>GKE</v>
      </c>
      <c r="E3" s="185" t="str">
        <f>B108</f>
        <v>Hiap Tong</v>
      </c>
      <c r="F3" s="223" t="str">
        <f>B127</f>
        <v>LS 2 Holdings</v>
      </c>
      <c r="G3" s="223" t="str">
        <f>I51</f>
        <v>VCPlus</v>
      </c>
      <c r="H3" s="182" t="str">
        <f>I70</f>
        <v>ZICO Hldgs</v>
      </c>
      <c r="I3" s="223" t="str">
        <f>I89</f>
        <v>UnUsUaL</v>
      </c>
      <c r="J3" s="182" t="str">
        <f>I108</f>
        <v>Abundante</v>
      </c>
      <c r="K3" s="182" t="str">
        <f>I127</f>
        <v>Chasen</v>
      </c>
      <c r="L3" s="182" t="str">
        <f>P51</f>
        <v>Eneco Energy</v>
      </c>
      <c r="M3" s="182" t="str">
        <f>P70</f>
        <v>KingsmenCreative</v>
      </c>
      <c r="N3" s="185" t="str">
        <f>P89</f>
        <v>Raffles Edu</v>
      </c>
      <c r="O3" s="182" t="s">
        <v>2327</v>
      </c>
    </row>
    <row r="4" spans="1:15">
      <c r="A4">
        <v>2010</v>
      </c>
      <c r="B4" s="224" t="e">
        <f>E53</f>
        <v>#DIV/0!</v>
      </c>
      <c r="C4" s="224">
        <f>E72</f>
        <v>0</v>
      </c>
      <c r="D4" s="224">
        <f>E91</f>
        <v>0</v>
      </c>
      <c r="E4" s="153">
        <f>E110</f>
        <v>0</v>
      </c>
      <c r="F4" s="224" t="e">
        <f>E129</f>
        <v>#DIV/0!</v>
      </c>
      <c r="G4" s="224" t="e">
        <f t="shared" ref="G4:G19" si="0">L53</f>
        <v>#DIV/0!</v>
      </c>
      <c r="H4" s="153">
        <f t="shared" ref="H4:H19" si="1">L72</f>
        <v>0</v>
      </c>
      <c r="I4" s="224">
        <f t="shared" ref="I4:I19" si="2">L91</f>
        <v>0</v>
      </c>
      <c r="J4" s="153">
        <f t="shared" ref="J4:J19" si="3">L110</f>
        <v>0.11764705882352926</v>
      </c>
      <c r="K4" s="153">
        <f t="shared" ref="K4:K19" si="4">L129</f>
        <v>0.15435094585779527</v>
      </c>
      <c r="L4" s="153">
        <f t="shared" ref="L4:L19" si="5">S53</f>
        <v>-0.2531190975865687</v>
      </c>
      <c r="M4" s="153">
        <f t="shared" ref="M4:M19" si="6">S72</f>
        <v>5.2631578947368425E-2</v>
      </c>
      <c r="N4" s="153">
        <f t="shared" ref="N4:N19" si="7">S91</f>
        <v>-0.23751421776445034</v>
      </c>
      <c r="O4" s="209">
        <f>AVERAGE(E4+H4+J4+K4+L4+M4+N4)</f>
        <v>-0.1660037317223261</v>
      </c>
    </row>
    <row r="5" spans="1:15">
      <c r="A5">
        <v>2011</v>
      </c>
      <c r="B5" s="224" t="e">
        <f t="shared" ref="B5:B19" si="8">E54</f>
        <v>#DIV/0!</v>
      </c>
      <c r="C5" s="224">
        <f t="shared" ref="C5:C19" si="9">E73</f>
        <v>0</v>
      </c>
      <c r="D5" s="224">
        <f t="shared" ref="D5:D19" si="10">E92</f>
        <v>0</v>
      </c>
      <c r="E5" s="153">
        <f t="shared" ref="E5:E19" si="11">E111</f>
        <v>-0.53999999999999992</v>
      </c>
      <c r="F5" s="224" t="e">
        <f t="shared" ref="F5:F19" si="12">E130</f>
        <v>#DIV/0!</v>
      </c>
      <c r="G5" s="224" t="e">
        <f t="shared" si="0"/>
        <v>#DIV/0!</v>
      </c>
      <c r="H5" s="153">
        <f t="shared" si="1"/>
        <v>0</v>
      </c>
      <c r="I5" s="224">
        <f t="shared" si="2"/>
        <v>0</v>
      </c>
      <c r="J5" s="153">
        <f t="shared" si="3"/>
        <v>-2.8571428571428501E-2</v>
      </c>
      <c r="K5" s="153">
        <f t="shared" si="4"/>
        <v>-0.39453187823090174</v>
      </c>
      <c r="L5" s="153">
        <f t="shared" si="5"/>
        <v>0.21415991546319135</v>
      </c>
      <c r="M5" s="153">
        <f t="shared" si="6"/>
        <v>7.9646017699115057E-2</v>
      </c>
      <c r="N5" s="153">
        <f t="shared" si="7"/>
        <v>-0.48189042582045027</v>
      </c>
      <c r="O5" s="209">
        <f t="shared" ref="O5:O19" si="13">AVERAGE(E5+H5+J5+K5+L5+M5+N5)</f>
        <v>-1.151187799460474</v>
      </c>
    </row>
    <row r="6" spans="1:15">
      <c r="A6">
        <v>2012</v>
      </c>
      <c r="B6" s="224" t="e">
        <f t="shared" si="8"/>
        <v>#DIV/0!</v>
      </c>
      <c r="C6" s="224">
        <f t="shared" si="9"/>
        <v>0</v>
      </c>
      <c r="D6" s="224">
        <f t="shared" si="10"/>
        <v>0</v>
      </c>
      <c r="E6" s="153">
        <f t="shared" si="11"/>
        <v>1.2463768115942027</v>
      </c>
      <c r="F6" s="224" t="e">
        <f t="shared" si="12"/>
        <v>#DIV/0!</v>
      </c>
      <c r="G6" s="224" t="e">
        <f t="shared" si="0"/>
        <v>#DIV/0!</v>
      </c>
      <c r="H6" s="153">
        <f t="shared" si="1"/>
        <v>0</v>
      </c>
      <c r="I6" s="224">
        <f t="shared" si="2"/>
        <v>0</v>
      </c>
      <c r="J6" s="153">
        <f t="shared" si="3"/>
        <v>-1.5873015873015942E-2</v>
      </c>
      <c r="K6" s="153">
        <f t="shared" si="4"/>
        <v>0.12103364212579232</v>
      </c>
      <c r="L6" s="153">
        <f t="shared" si="5"/>
        <v>0.74064403829416869</v>
      </c>
      <c r="M6" s="153">
        <f t="shared" si="6"/>
        <v>0.42105263157894751</v>
      </c>
      <c r="N6" s="153">
        <f t="shared" si="7"/>
        <v>-0.13180362860192102</v>
      </c>
      <c r="O6" s="209">
        <f t="shared" si="13"/>
        <v>2.381430479118174</v>
      </c>
    </row>
    <row r="7" spans="1:15">
      <c r="A7">
        <v>2013</v>
      </c>
      <c r="B7" s="224" t="e">
        <f t="shared" si="8"/>
        <v>#DIV/0!</v>
      </c>
      <c r="C7" s="224">
        <f t="shared" si="9"/>
        <v>0</v>
      </c>
      <c r="D7" s="224">
        <f t="shared" si="10"/>
        <v>-0.1778697001034126</v>
      </c>
      <c r="E7" s="153">
        <f t="shared" si="11"/>
        <v>1.999999999999998E-2</v>
      </c>
      <c r="F7" s="224" t="e">
        <f t="shared" si="12"/>
        <v>#DIV/0!</v>
      </c>
      <c r="G7" s="224" t="e">
        <f t="shared" si="0"/>
        <v>#DIV/0!</v>
      </c>
      <c r="H7" s="153">
        <f t="shared" si="1"/>
        <v>0</v>
      </c>
      <c r="I7" s="224">
        <f t="shared" si="2"/>
        <v>0</v>
      </c>
      <c r="J7" s="153">
        <f t="shared" si="3"/>
        <v>0.32758620689655177</v>
      </c>
      <c r="K7" s="153">
        <f t="shared" si="4"/>
        <v>-0.27248884924174843</v>
      </c>
      <c r="L7" s="153">
        <f t="shared" si="5"/>
        <v>-6.6666666666666541E-2</v>
      </c>
      <c r="M7" s="153">
        <f t="shared" si="6"/>
        <v>0.24675324675324678</v>
      </c>
      <c r="N7" s="153">
        <f t="shared" si="7"/>
        <v>-0.23601720958819922</v>
      </c>
      <c r="O7" s="209">
        <f t="shared" si="13"/>
        <v>1.916672815318432E-2</v>
      </c>
    </row>
    <row r="8" spans="1:15">
      <c r="A8">
        <v>2014</v>
      </c>
      <c r="B8" s="224" t="e">
        <f t="shared" si="8"/>
        <v>#DIV/0!</v>
      </c>
      <c r="C8" s="224" t="e">
        <f t="shared" si="9"/>
        <v>#DIV/0!</v>
      </c>
      <c r="D8" s="224">
        <f t="shared" si="10"/>
        <v>2.3285899094437259E-2</v>
      </c>
      <c r="E8" s="153">
        <f t="shared" si="11"/>
        <v>6.1643835616438415E-2</v>
      </c>
      <c r="F8" s="224" t="e">
        <f t="shared" si="12"/>
        <v>#DIV/0!</v>
      </c>
      <c r="G8" s="224" t="e">
        <f t="shared" si="0"/>
        <v>#DIV/0!</v>
      </c>
      <c r="H8" s="153">
        <f t="shared" si="1"/>
        <v>0.17073170731707318</v>
      </c>
      <c r="I8" s="224">
        <f t="shared" si="2"/>
        <v>0</v>
      </c>
      <c r="J8" s="153">
        <f t="shared" si="3"/>
        <v>0.2638888888888889</v>
      </c>
      <c r="K8" s="153">
        <f t="shared" si="4"/>
        <v>-0.15971464019851117</v>
      </c>
      <c r="L8" s="153">
        <f t="shared" si="5"/>
        <v>-0.49107142857142866</v>
      </c>
      <c r="M8" s="153">
        <f t="shared" si="6"/>
        <v>8.6956521739130363E-2</v>
      </c>
      <c r="N8" s="153">
        <f t="shared" si="7"/>
        <v>0.23627514078841522</v>
      </c>
      <c r="O8" s="209">
        <f t="shared" si="13"/>
        <v>0.16871002558000625</v>
      </c>
    </row>
    <row r="9" spans="1:15">
      <c r="A9">
        <v>2015</v>
      </c>
      <c r="B9" s="224" t="e">
        <f t="shared" si="8"/>
        <v>#DIV/0!</v>
      </c>
      <c r="C9" s="224" t="e">
        <f t="shared" si="9"/>
        <v>#DIV/0!</v>
      </c>
      <c r="D9" s="224">
        <f t="shared" si="10"/>
        <v>-0.11183355006501951</v>
      </c>
      <c r="E9" s="153">
        <f t="shared" si="11"/>
        <v>-0.47741935483870968</v>
      </c>
      <c r="F9" s="224" t="e">
        <f t="shared" si="12"/>
        <v>#DIV/0!</v>
      </c>
      <c r="G9" s="224" t="e">
        <f t="shared" si="0"/>
        <v>#DIV/0!</v>
      </c>
      <c r="H9" s="153">
        <f t="shared" si="1"/>
        <v>-0.32291666666666663</v>
      </c>
      <c r="I9" s="224">
        <f t="shared" si="2"/>
        <v>0</v>
      </c>
      <c r="J9" s="153">
        <f t="shared" si="3"/>
        <v>0.37647058823529428</v>
      </c>
      <c r="K9" s="153">
        <f t="shared" si="4"/>
        <v>-0.74755390334572491</v>
      </c>
      <c r="L9" s="153">
        <f t="shared" si="5"/>
        <v>-0.50877192982456132</v>
      </c>
      <c r="M9" s="153">
        <f t="shared" si="6"/>
        <v>-0.29166666666666657</v>
      </c>
      <c r="N9" s="153">
        <f t="shared" si="7"/>
        <v>-0.24258129399932951</v>
      </c>
      <c r="O9" s="209">
        <f t="shared" si="13"/>
        <v>-2.2144392271063644</v>
      </c>
    </row>
    <row r="10" spans="1:15">
      <c r="A10" s="217">
        <v>2016</v>
      </c>
      <c r="B10" s="224" t="e">
        <f t="shared" si="8"/>
        <v>#DIV/0!</v>
      </c>
      <c r="C10" s="224" t="e">
        <f t="shared" si="9"/>
        <v>#DIV/0!</v>
      </c>
      <c r="D10" s="224">
        <f t="shared" si="10"/>
        <v>0.13161875945537066</v>
      </c>
      <c r="E10" s="153">
        <f t="shared" si="11"/>
        <v>-3.703703703703707E-2</v>
      </c>
      <c r="F10" s="224" t="e">
        <f t="shared" si="12"/>
        <v>#DIV/0!</v>
      </c>
      <c r="G10" s="224">
        <f t="shared" si="0"/>
        <v>-0.16935483870967746</v>
      </c>
      <c r="H10" s="153">
        <f t="shared" si="1"/>
        <v>-0.10769230769230778</v>
      </c>
      <c r="I10" s="224">
        <f t="shared" si="2"/>
        <v>0</v>
      </c>
      <c r="J10" s="153">
        <f t="shared" si="3"/>
        <v>0.25688073394495409</v>
      </c>
      <c r="K10" s="153">
        <f t="shared" si="4"/>
        <v>-7.5757575757575829E-2</v>
      </c>
      <c r="L10" s="153">
        <f t="shared" si="5"/>
        <v>0.12857142857142848</v>
      </c>
      <c r="M10" s="153">
        <f t="shared" si="6"/>
        <v>-2.325581395348842E-2</v>
      </c>
      <c r="N10" s="153">
        <f t="shared" si="7"/>
        <v>-0.19594283079760261</v>
      </c>
      <c r="O10" s="209">
        <f t="shared" si="13"/>
        <v>-5.4233402721629131E-2</v>
      </c>
    </row>
    <row r="11" spans="1:15">
      <c r="A11" s="217">
        <v>2017</v>
      </c>
      <c r="B11" s="224" t="e">
        <f t="shared" si="8"/>
        <v>#DIV/0!</v>
      </c>
      <c r="C11" s="224" t="e">
        <f t="shared" si="9"/>
        <v>#DIV/0!</v>
      </c>
      <c r="D11" s="224">
        <f t="shared" si="10"/>
        <v>0.20523415977961432</v>
      </c>
      <c r="E11" s="153">
        <f t="shared" si="11"/>
        <v>0.53846153846153844</v>
      </c>
      <c r="F11" s="224" t="e">
        <f t="shared" si="12"/>
        <v>#DIV/0!</v>
      </c>
      <c r="G11" s="224">
        <f t="shared" si="0"/>
        <v>-0.56310679611650483</v>
      </c>
      <c r="H11" s="153">
        <f t="shared" si="1"/>
        <v>-0.1551724137931034</v>
      </c>
      <c r="I11" s="224">
        <f t="shared" si="2"/>
        <v>0.53250252610306503</v>
      </c>
      <c r="J11" s="153">
        <f t="shared" si="3"/>
        <v>-0.25384615384615383</v>
      </c>
      <c r="K11" s="153">
        <f t="shared" si="4"/>
        <v>1.6666666666666667</v>
      </c>
      <c r="L11" s="153">
        <f t="shared" si="5"/>
        <v>-0.46202531645569617</v>
      </c>
      <c r="M11" s="153">
        <f t="shared" si="6"/>
        <v>4.0983606557377088E-2</v>
      </c>
      <c r="N11" s="153">
        <f t="shared" si="7"/>
        <v>0.37327981651376141</v>
      </c>
      <c r="O11" s="209">
        <f t="shared" si="13"/>
        <v>1.74834774410439</v>
      </c>
    </row>
    <row r="12" spans="1:15">
      <c r="A12" s="217">
        <v>2018</v>
      </c>
      <c r="B12" s="224" t="e">
        <f t="shared" si="8"/>
        <v>#DIV/0!</v>
      </c>
      <c r="C12" s="224" t="e">
        <f t="shared" si="9"/>
        <v>#DIV/0!</v>
      </c>
      <c r="D12" s="224">
        <f t="shared" si="10"/>
        <v>-0.15240328253223914</v>
      </c>
      <c r="E12" s="153">
        <f t="shared" si="11"/>
        <v>-0.4</v>
      </c>
      <c r="F12" s="224" t="e">
        <f t="shared" si="12"/>
        <v>#DIV/0!</v>
      </c>
      <c r="G12" s="224">
        <f t="shared" si="0"/>
        <v>-0.44444444444444442</v>
      </c>
      <c r="H12" s="153">
        <f t="shared" si="1"/>
        <v>-0.42857142857142849</v>
      </c>
      <c r="I12" s="224">
        <f t="shared" si="2"/>
        <v>-0.34065934065934073</v>
      </c>
      <c r="J12" s="153">
        <f t="shared" si="3"/>
        <v>-0.5053763440860215</v>
      </c>
      <c r="K12" s="153">
        <f t="shared" si="4"/>
        <v>-6.3291139240506417E-2</v>
      </c>
      <c r="L12" s="153">
        <f t="shared" si="5"/>
        <v>5.8823529411764594E-2</v>
      </c>
      <c r="M12" s="153">
        <f t="shared" si="6"/>
        <v>-0.15748031496062992</v>
      </c>
      <c r="N12" s="153">
        <f t="shared" si="7"/>
        <v>-0.54488517745302723</v>
      </c>
      <c r="O12" s="209">
        <f t="shared" si="13"/>
        <v>-2.0407808748998493</v>
      </c>
    </row>
    <row r="13" spans="1:15">
      <c r="A13" s="217">
        <v>2019</v>
      </c>
      <c r="B13" s="224" t="e">
        <f t="shared" si="8"/>
        <v>#DIV/0!</v>
      </c>
      <c r="C13" s="224" t="e">
        <f t="shared" si="9"/>
        <v>#DIV/0!</v>
      </c>
      <c r="D13" s="224">
        <f t="shared" si="10"/>
        <v>1.7118402282453638E-2</v>
      </c>
      <c r="E13" s="153">
        <f t="shared" si="11"/>
        <v>-4.8611111111110973E-2</v>
      </c>
      <c r="F13" s="224" t="e">
        <f t="shared" si="12"/>
        <v>#DIV/0!</v>
      </c>
      <c r="G13" s="224">
        <f t="shared" si="0"/>
        <v>-0.64</v>
      </c>
      <c r="H13" s="153">
        <f t="shared" si="1"/>
        <v>3.5714285714285546E-2</v>
      </c>
      <c r="I13" s="224">
        <f t="shared" si="2"/>
        <v>-0.25526666666666664</v>
      </c>
      <c r="J13" s="153">
        <f t="shared" si="3"/>
        <v>-0.54347826086956519</v>
      </c>
      <c r="K13" s="153">
        <f t="shared" si="4"/>
        <v>2.8169014084507216E-2</v>
      </c>
      <c r="L13" s="153">
        <f t="shared" si="5"/>
        <v>-0.68888888888888888</v>
      </c>
      <c r="M13" s="153">
        <f t="shared" si="6"/>
        <v>-0.21568627450980393</v>
      </c>
      <c r="N13" s="153">
        <f t="shared" si="7"/>
        <v>-0.26605504587155959</v>
      </c>
      <c r="O13" s="209">
        <f t="shared" si="13"/>
        <v>-1.6988362814521358</v>
      </c>
    </row>
    <row r="14" spans="1:15">
      <c r="A14" s="217">
        <v>2020</v>
      </c>
      <c r="B14" s="224" t="e">
        <f t="shared" si="8"/>
        <v>#DIV/0!</v>
      </c>
      <c r="C14" s="224" t="e">
        <f t="shared" si="9"/>
        <v>#DIV/0!</v>
      </c>
      <c r="D14" s="224">
        <f t="shared" si="10"/>
        <v>0.29377713458755428</v>
      </c>
      <c r="E14" s="153">
        <f t="shared" si="11"/>
        <v>-0.10294117647058831</v>
      </c>
      <c r="F14" s="224" t="e">
        <f t="shared" si="12"/>
        <v>#DIV/0!</v>
      </c>
      <c r="G14" s="224">
        <f t="shared" si="0"/>
        <v>0.11111111111111122</v>
      </c>
      <c r="H14" s="153">
        <f t="shared" si="1"/>
        <v>-0.40689655172413791</v>
      </c>
      <c r="I14" s="224">
        <f t="shared" si="2"/>
        <v>-0.1772727272727273</v>
      </c>
      <c r="J14" s="153">
        <f t="shared" si="3"/>
        <v>-0.32380952380952382</v>
      </c>
      <c r="K14" s="153">
        <f t="shared" si="4"/>
        <v>-0.18840579710144933</v>
      </c>
      <c r="L14" s="153">
        <f t="shared" si="5"/>
        <v>-7.1428571428571494E-2</v>
      </c>
      <c r="M14" s="153">
        <f t="shared" si="6"/>
        <v>-0.33333333333333331</v>
      </c>
      <c r="N14" s="153">
        <f t="shared" si="7"/>
        <v>0.625</v>
      </c>
      <c r="O14" s="209">
        <f t="shared" si="13"/>
        <v>-0.80181495386760382</v>
      </c>
    </row>
    <row r="15" spans="1:15">
      <c r="A15">
        <v>2021</v>
      </c>
      <c r="B15" s="224">
        <f t="shared" si="8"/>
        <v>-0.23333333333333342</v>
      </c>
      <c r="C15" s="224" t="e">
        <f t="shared" si="9"/>
        <v>#DIV/0!</v>
      </c>
      <c r="D15" s="224">
        <f t="shared" si="10"/>
        <v>-0.14908256880733944</v>
      </c>
      <c r="E15" s="153">
        <f t="shared" si="11"/>
        <v>6.5573770491803338E-2</v>
      </c>
      <c r="F15" s="224" t="e">
        <f t="shared" si="12"/>
        <v>#DIV/0!</v>
      </c>
      <c r="G15" s="224">
        <f t="shared" si="0"/>
        <v>0.4</v>
      </c>
      <c r="H15" s="153">
        <f t="shared" si="1"/>
        <v>-9.3023255813953418E-2</v>
      </c>
      <c r="I15" s="224">
        <f t="shared" si="2"/>
        <v>-0.30939226519337015</v>
      </c>
      <c r="J15" s="153">
        <f t="shared" si="3"/>
        <v>0.95774647887323983</v>
      </c>
      <c r="K15" s="153">
        <f t="shared" si="4"/>
        <v>0.25000000000000011</v>
      </c>
      <c r="L15" s="153">
        <f t="shared" si="5"/>
        <v>0</v>
      </c>
      <c r="M15" s="153">
        <f t="shared" si="6"/>
        <v>-6.0000000000000053E-2</v>
      </c>
      <c r="N15" s="153">
        <f t="shared" si="7"/>
        <v>-0.47692307692307689</v>
      </c>
      <c r="O15" s="209">
        <f t="shared" si="13"/>
        <v>0.64337391662801291</v>
      </c>
    </row>
    <row r="16" spans="1:15">
      <c r="A16">
        <v>2022</v>
      </c>
      <c r="B16" s="224">
        <f t="shared" si="8"/>
        <v>0.19536231884057978</v>
      </c>
      <c r="C16" s="224" t="e">
        <f t="shared" si="9"/>
        <v>#DIV/0!</v>
      </c>
      <c r="D16" s="224">
        <f t="shared" si="10"/>
        <v>-1.3888888888888889E-3</v>
      </c>
      <c r="E16" s="153">
        <f t="shared" si="11"/>
        <v>0.13846153846153836</v>
      </c>
      <c r="F16" s="224">
        <f t="shared" si="12"/>
        <v>-0.79090909090909089</v>
      </c>
      <c r="G16" s="224">
        <f t="shared" si="0"/>
        <v>-0.42857142857142855</v>
      </c>
      <c r="H16" s="153">
        <f t="shared" si="1"/>
        <v>-3.8461538461538498E-2</v>
      </c>
      <c r="I16" s="224">
        <f t="shared" si="2"/>
        <v>0.1359999999999999</v>
      </c>
      <c r="J16" s="153">
        <f t="shared" si="3"/>
        <v>7.9136690647482022E-2</v>
      </c>
      <c r="K16" s="153">
        <f t="shared" si="4"/>
        <v>-0.12857142857142867</v>
      </c>
      <c r="L16" s="153">
        <f t="shared" si="5"/>
        <v>-0.53846153846153844</v>
      </c>
      <c r="M16" s="153">
        <f t="shared" si="6"/>
        <v>0.14893617021276609</v>
      </c>
      <c r="N16" s="153">
        <f t="shared" si="7"/>
        <v>-0.19117647058823534</v>
      </c>
      <c r="O16" s="209">
        <f t="shared" si="13"/>
        <v>-0.53013657676095449</v>
      </c>
    </row>
    <row r="17" spans="1:15" ht="14.4" customHeight="1">
      <c r="A17" s="49">
        <v>2023</v>
      </c>
      <c r="B17" s="224">
        <f t="shared" si="8"/>
        <v>0.26576139670223087</v>
      </c>
      <c r="C17" s="224" t="e">
        <f t="shared" si="9"/>
        <v>#DIV/0!</v>
      </c>
      <c r="D17" s="224">
        <f t="shared" si="10"/>
        <v>6.1692969870875178E-2</v>
      </c>
      <c r="E17" s="153">
        <f t="shared" si="11"/>
        <v>0.28378378378378383</v>
      </c>
      <c r="F17" s="224">
        <f t="shared" si="12"/>
        <v>-0.56521739130434778</v>
      </c>
      <c r="G17" s="224">
        <f t="shared" si="0"/>
        <v>-0.625</v>
      </c>
      <c r="H17" s="153">
        <f t="shared" si="1"/>
        <v>-0.33333333333333326</v>
      </c>
      <c r="I17" s="224">
        <f t="shared" si="2"/>
        <v>0.35211267605633817</v>
      </c>
      <c r="J17" s="153">
        <f t="shared" si="3"/>
        <v>0.35714285714285704</v>
      </c>
      <c r="K17" s="153">
        <f t="shared" si="4"/>
        <v>0.26229508196721313</v>
      </c>
      <c r="L17" s="153">
        <f t="shared" si="5"/>
        <v>-0.33333333333333331</v>
      </c>
      <c r="M17" s="153">
        <f t="shared" si="6"/>
        <v>5.5555555555555566E-2</v>
      </c>
      <c r="N17" s="153">
        <f t="shared" si="7"/>
        <v>-7.2727272727272793E-2</v>
      </c>
      <c r="O17" s="209">
        <f t="shared" si="13"/>
        <v>0.21938333905547014</v>
      </c>
    </row>
    <row r="18" spans="1:15">
      <c r="A18" s="49">
        <v>2024</v>
      </c>
      <c r="B18" s="224">
        <f t="shared" si="8"/>
        <v>0.26363636363636361</v>
      </c>
      <c r="C18" s="224" t="e">
        <f t="shared" si="9"/>
        <v>#DIV/0!</v>
      </c>
      <c r="D18" s="224">
        <f t="shared" si="10"/>
        <v>-5.2924791086350974E-2</v>
      </c>
      <c r="E18" s="153">
        <f t="shared" si="11"/>
        <v>-4.4444444444444342E-2</v>
      </c>
      <c r="F18" s="224">
        <f t="shared" si="12"/>
        <v>-0.16249999999999998</v>
      </c>
      <c r="G18" s="224">
        <f t="shared" si="0"/>
        <v>-0.33333333333333331</v>
      </c>
      <c r="H18" s="153">
        <f t="shared" si="1"/>
        <v>-4.0000000000000036E-2</v>
      </c>
      <c r="I18" s="224">
        <f t="shared" si="2"/>
        <v>-0.38541666666666669</v>
      </c>
      <c r="J18" s="153">
        <f t="shared" si="3"/>
        <v>0.2368421052631578</v>
      </c>
      <c r="K18" s="153">
        <f t="shared" si="4"/>
        <v>0.31168831168831163</v>
      </c>
      <c r="L18" s="153">
        <f t="shared" si="5"/>
        <v>0.37499999999999989</v>
      </c>
      <c r="M18" s="153">
        <f t="shared" si="6"/>
        <v>1.8181818181818164E-2</v>
      </c>
      <c r="N18" s="153">
        <f t="shared" si="7"/>
        <v>-0.25490196078431371</v>
      </c>
      <c r="O18" s="209">
        <f t="shared" si="13"/>
        <v>0.60236582990452947</v>
      </c>
    </row>
    <row r="19" spans="1:15">
      <c r="A19" s="49">
        <v>2025</v>
      </c>
      <c r="B19" s="224">
        <f t="shared" si="8"/>
        <v>-0.11666666666666664</v>
      </c>
      <c r="C19" s="224">
        <f t="shared" si="9"/>
        <v>-0.13207547169811321</v>
      </c>
      <c r="D19" s="224">
        <f t="shared" si="10"/>
        <v>0.41337386018237082</v>
      </c>
      <c r="E19" s="153">
        <f t="shared" si="11"/>
        <v>0.3529411764705882</v>
      </c>
      <c r="F19" s="224">
        <f t="shared" si="12"/>
        <v>0.10447761194029839</v>
      </c>
      <c r="G19" s="224">
        <f t="shared" si="0"/>
        <v>0.5</v>
      </c>
      <c r="H19" s="153">
        <f t="shared" si="1"/>
        <v>0.35416666666666669</v>
      </c>
      <c r="I19" s="224">
        <f t="shared" si="2"/>
        <v>-0.75423728813559321</v>
      </c>
      <c r="J19" s="153">
        <f t="shared" si="3"/>
        <v>-0.27659574468085096</v>
      </c>
      <c r="K19" s="153">
        <f t="shared" si="4"/>
        <v>0.16901408450704242</v>
      </c>
      <c r="L19" s="153">
        <f t="shared" si="5"/>
        <v>-9.0909090909090842E-2</v>
      </c>
      <c r="M19" s="153">
        <f t="shared" si="6"/>
        <v>0.94444444444444442</v>
      </c>
      <c r="N19" s="153">
        <f t="shared" si="7"/>
        <v>3.263157894736842</v>
      </c>
      <c r="O19" s="209">
        <f t="shared" si="13"/>
        <v>4.7162194312356416</v>
      </c>
    </row>
    <row r="20" spans="1:15">
      <c r="B20" s="153"/>
      <c r="C20" s="153"/>
      <c r="D20" s="153"/>
      <c r="E20" s="153"/>
      <c r="F20" s="153"/>
      <c r="G20" s="153"/>
      <c r="H20" s="153"/>
      <c r="I20" s="153"/>
      <c r="J20" s="153"/>
      <c r="K20" s="153" t="s">
        <v>1455</v>
      </c>
      <c r="L20" s="153"/>
      <c r="M20" s="153"/>
      <c r="N20" s="153"/>
      <c r="O20" s="39">
        <f>AVERAGE(O4:O19)</f>
        <v>0.11509779036175444</v>
      </c>
    </row>
    <row r="22" spans="1:15">
      <c r="M22" s="200"/>
      <c r="N22" s="200"/>
      <c r="O22" s="227"/>
    </row>
    <row r="23" spans="1:15">
      <c r="M23" s="227"/>
    </row>
    <row r="24" spans="1:15">
      <c r="G24" s="24" t="s">
        <v>2373</v>
      </c>
    </row>
    <row r="25" spans="1:15" ht="43.2" customHeight="1">
      <c r="A25" s="314" t="s">
        <v>2368</v>
      </c>
      <c r="B25" s="314"/>
      <c r="C25" s="214" t="s">
        <v>2331</v>
      </c>
      <c r="D25" s="214" t="s">
        <v>2332</v>
      </c>
      <c r="E25" s="214" t="s">
        <v>2333</v>
      </c>
      <c r="G25" s="302" t="s">
        <v>2507</v>
      </c>
      <c r="H25" s="302"/>
      <c r="I25" s="302"/>
      <c r="J25" s="302"/>
      <c r="K25" s="302"/>
      <c r="L25" s="302"/>
      <c r="M25" s="302"/>
      <c r="N25" s="302"/>
      <c r="O25" s="302"/>
    </row>
    <row r="26" spans="1:15" ht="14.4" customHeight="1">
      <c r="A26" s="317" t="s">
        <v>2334</v>
      </c>
      <c r="B26" s="317"/>
      <c r="C26" s="216">
        <f>O20</f>
        <v>0.11509779036175444</v>
      </c>
      <c r="D26" s="233">
        <f>(D33%+(D35*D34%))</f>
        <v>5.4795236396147126E-2</v>
      </c>
      <c r="E26" s="234">
        <f>C26-D26</f>
        <v>6.0302553965607311E-2</v>
      </c>
    </row>
    <row r="27" spans="1:15">
      <c r="C27" s="58"/>
      <c r="D27" s="153"/>
      <c r="E27" s="294">
        <f>E26*100</f>
        <v>6.0302553965607313</v>
      </c>
    </row>
    <row r="28" spans="1:15">
      <c r="A28" t="s">
        <v>2335</v>
      </c>
    </row>
    <row r="29" spans="1:15">
      <c r="A29" s="55" t="s">
        <v>2369</v>
      </c>
    </row>
    <row r="30" spans="1:15">
      <c r="A30" s="55" t="s">
        <v>2506</v>
      </c>
    </row>
    <row r="31" spans="1:15">
      <c r="A31" s="55" t="s">
        <v>2371</v>
      </c>
    </row>
    <row r="33" spans="1:9">
      <c r="A33" s="55" t="s">
        <v>1632</v>
      </c>
      <c r="D33" s="33">
        <f>' 04_CAPM'!D4</f>
        <v>2.2200000000000002</v>
      </c>
    </row>
    <row r="34" spans="1:9">
      <c r="A34" s="55" t="s">
        <v>1290</v>
      </c>
      <c r="D34" s="35">
        <f>' 04_CAPM'!D7</f>
        <v>4.6500000000000004</v>
      </c>
    </row>
    <row r="35" spans="1:9">
      <c r="A35" s="55" t="s">
        <v>2412</v>
      </c>
      <c r="D35">
        <f>'03_Beta_Calculation'!F59</f>
        <v>0.70097282572359398</v>
      </c>
    </row>
    <row r="36" spans="1:9">
      <c r="A36" s="55" t="s">
        <v>2413</v>
      </c>
      <c r="D36">
        <f>'03_Beta_Calculation'!F24</f>
        <v>0.48409954744028638</v>
      </c>
    </row>
    <row r="39" spans="1:9">
      <c r="A39" s="315" t="s">
        <v>2200</v>
      </c>
      <c r="B39" s="315"/>
      <c r="C39" s="315"/>
      <c r="D39" s="315" t="s">
        <v>2201</v>
      </c>
      <c r="E39" s="315"/>
      <c r="F39" s="315"/>
      <c r="G39" s="315" t="s">
        <v>2202</v>
      </c>
      <c r="H39" s="315"/>
      <c r="I39" s="315"/>
    </row>
    <row r="40" spans="1:9" ht="14.4" customHeight="1">
      <c r="A40" s="316" t="s">
        <v>2388</v>
      </c>
      <c r="B40" s="316"/>
      <c r="C40" s="316"/>
      <c r="D40" s="313" t="s">
        <v>2391</v>
      </c>
      <c r="E40" s="313"/>
      <c r="F40" s="313"/>
      <c r="G40" s="313" t="s">
        <v>2396</v>
      </c>
      <c r="H40" s="313"/>
      <c r="I40" s="313"/>
    </row>
    <row r="41" spans="1:9">
      <c r="A41" s="316"/>
      <c r="B41" s="316"/>
      <c r="C41" s="316"/>
      <c r="D41" s="313"/>
      <c r="E41" s="313"/>
      <c r="F41" s="313"/>
      <c r="G41" s="313"/>
      <c r="H41" s="313"/>
      <c r="I41" s="313"/>
    </row>
    <row r="42" spans="1:9" ht="14.4" customHeight="1">
      <c r="A42" s="318" t="s">
        <v>2389</v>
      </c>
      <c r="B42" s="318"/>
      <c r="C42" s="318"/>
      <c r="D42" s="313" t="s">
        <v>2392</v>
      </c>
      <c r="E42" s="313"/>
      <c r="F42" s="313"/>
      <c r="G42" s="313" t="s">
        <v>2394</v>
      </c>
      <c r="H42" s="313"/>
      <c r="I42" s="313"/>
    </row>
    <row r="43" spans="1:9" ht="14.4" customHeight="1">
      <c r="A43" s="318" t="s">
        <v>2390</v>
      </c>
      <c r="B43" s="318"/>
      <c r="C43" s="318"/>
      <c r="D43" s="313" t="s">
        <v>2393</v>
      </c>
      <c r="E43" s="313"/>
      <c r="F43" s="313"/>
      <c r="G43" s="313" t="s">
        <v>2395</v>
      </c>
      <c r="H43" s="313"/>
      <c r="I43" s="313"/>
    </row>
    <row r="44" spans="1:9">
      <c r="A44" s="318"/>
      <c r="B44" s="318"/>
      <c r="C44" s="318"/>
      <c r="D44" s="313"/>
      <c r="E44" s="313"/>
      <c r="F44" s="313"/>
      <c r="G44" s="313"/>
      <c r="H44" s="313"/>
      <c r="I44" s="313"/>
    </row>
    <row r="45" spans="1:9">
      <c r="A45" s="55"/>
    </row>
    <row r="48" spans="1:9">
      <c r="G48" s="175"/>
      <c r="H48" s="175"/>
    </row>
    <row r="49" spans="1:20">
      <c r="G49" s="175"/>
      <c r="H49" s="175"/>
    </row>
    <row r="50" spans="1:20">
      <c r="A50" s="206" t="s">
        <v>2353</v>
      </c>
      <c r="B50" s="204"/>
      <c r="C50" s="204"/>
      <c r="D50" s="204"/>
      <c r="E50" s="210"/>
      <c r="F50" s="204"/>
      <c r="G50" s="175"/>
      <c r="H50" s="175"/>
    </row>
    <row r="51" spans="1:20" ht="20.399999999999999" customHeight="1">
      <c r="A51" s="247" t="s">
        <v>2366</v>
      </c>
      <c r="B51" s="247" t="str">
        <f>'03_Beta_Calculation'!B45</f>
        <v>Audience</v>
      </c>
      <c r="C51" s="247" t="s">
        <v>684</v>
      </c>
      <c r="E51" s="209"/>
      <c r="G51" s="175"/>
      <c r="H51" s="247" t="s">
        <v>2359</v>
      </c>
      <c r="I51" s="247" t="str">
        <f>'03_Beta_Calculation'!B50</f>
        <v>VCPlus</v>
      </c>
      <c r="J51" s="247" t="s">
        <v>1150</v>
      </c>
      <c r="L51" s="209"/>
      <c r="O51" s="247" t="s">
        <v>2364</v>
      </c>
      <c r="P51" s="247" t="str">
        <f>'03_Beta_Calculation'!B55</f>
        <v>Eneco Energy</v>
      </c>
      <c r="Q51" s="247"/>
      <c r="R51" s="247" t="s">
        <v>778</v>
      </c>
      <c r="S51" s="209"/>
    </row>
    <row r="52" spans="1:20" ht="43.2">
      <c r="A52" s="214" t="s">
        <v>2304</v>
      </c>
      <c r="B52" s="214" t="s">
        <v>2305</v>
      </c>
      <c r="C52" s="214" t="s">
        <v>2306</v>
      </c>
      <c r="D52" s="214" t="s">
        <v>2307</v>
      </c>
      <c r="E52" s="211" t="s">
        <v>2308</v>
      </c>
      <c r="G52" s="175"/>
      <c r="H52" s="214" t="s">
        <v>2304</v>
      </c>
      <c r="I52" s="214" t="s">
        <v>2305</v>
      </c>
      <c r="J52" s="214" t="s">
        <v>2306</v>
      </c>
      <c r="K52" s="214" t="s">
        <v>2307</v>
      </c>
      <c r="L52" s="211" t="s">
        <v>2308</v>
      </c>
      <c r="O52" s="214" t="s">
        <v>2304</v>
      </c>
      <c r="P52" s="214" t="s">
        <v>2305</v>
      </c>
      <c r="Q52" s="214" t="s">
        <v>2306</v>
      </c>
      <c r="R52" s="214" t="s">
        <v>2307</v>
      </c>
      <c r="S52" s="211" t="s">
        <v>2308</v>
      </c>
    </row>
    <row r="53" spans="1:20">
      <c r="A53">
        <v>2010</v>
      </c>
      <c r="E53" s="209" t="e">
        <f t="shared" ref="E53:E58" si="14">(C53-B53+D53)/B53</f>
        <v>#DIV/0!</v>
      </c>
      <c r="G53" s="175"/>
      <c r="H53">
        <v>2010</v>
      </c>
      <c r="L53" s="209" t="e">
        <f t="shared" ref="L53:L68" si="15">(J53-I53+K53)/I53</f>
        <v>#DIV/0!</v>
      </c>
      <c r="O53">
        <v>2010</v>
      </c>
      <c r="P53">
        <v>0.38119999999999998</v>
      </c>
      <c r="Q53">
        <v>0.28389999999999999</v>
      </c>
      <c r="R53">
        <v>8.1099999999999998E-4</v>
      </c>
      <c r="S53" s="209">
        <f t="shared" ref="S53:S58" si="16">(Q53-P53+R53)/P53</f>
        <v>-0.2531190975865687</v>
      </c>
    </row>
    <row r="54" spans="1:20">
      <c r="A54">
        <v>2011</v>
      </c>
      <c r="E54" s="209" t="e">
        <f t="shared" si="14"/>
        <v>#DIV/0!</v>
      </c>
      <c r="G54" s="175"/>
      <c r="H54">
        <v>2011</v>
      </c>
      <c r="L54" s="209" t="e">
        <f t="shared" si="15"/>
        <v>#DIV/0!</v>
      </c>
      <c r="O54">
        <v>2011</v>
      </c>
      <c r="P54">
        <f t="shared" ref="P54:P59" si="17">Q53</f>
        <v>0.28389999999999999</v>
      </c>
      <c r="Q54">
        <v>0.34470000000000001</v>
      </c>
      <c r="S54" s="209">
        <f t="shared" si="16"/>
        <v>0.21415991546319135</v>
      </c>
    </row>
    <row r="55" spans="1:20">
      <c r="A55">
        <v>2012</v>
      </c>
      <c r="E55" s="209" t="e">
        <f t="shared" si="14"/>
        <v>#DIV/0!</v>
      </c>
      <c r="G55" s="175"/>
      <c r="H55">
        <v>2012</v>
      </c>
      <c r="L55" s="209" t="e">
        <f t="shared" si="15"/>
        <v>#DIV/0!</v>
      </c>
      <c r="O55">
        <v>2012</v>
      </c>
      <c r="P55">
        <f t="shared" si="17"/>
        <v>0.34470000000000001</v>
      </c>
      <c r="Q55">
        <v>0.6</v>
      </c>
      <c r="S55" s="209">
        <f t="shared" si="16"/>
        <v>0.74064403829416869</v>
      </c>
    </row>
    <row r="56" spans="1:20">
      <c r="A56">
        <v>2013</v>
      </c>
      <c r="E56" s="209" t="e">
        <f t="shared" si="14"/>
        <v>#DIV/0!</v>
      </c>
      <c r="G56" s="175"/>
      <c r="H56">
        <v>2013</v>
      </c>
      <c r="L56" s="209" t="e">
        <f t="shared" si="15"/>
        <v>#DIV/0!</v>
      </c>
      <c r="O56">
        <v>2013</v>
      </c>
      <c r="P56">
        <f t="shared" si="17"/>
        <v>0.6</v>
      </c>
      <c r="Q56">
        <v>0.56000000000000005</v>
      </c>
      <c r="R56">
        <v>0</v>
      </c>
      <c r="S56" s="209">
        <f t="shared" si="16"/>
        <v>-6.6666666666666541E-2</v>
      </c>
      <c r="T56" t="s">
        <v>2401</v>
      </c>
    </row>
    <row r="57" spans="1:20">
      <c r="A57">
        <v>2014</v>
      </c>
      <c r="E57" s="209" t="e">
        <f t="shared" si="14"/>
        <v>#DIV/0!</v>
      </c>
      <c r="G57" s="175"/>
      <c r="H57">
        <v>2014</v>
      </c>
      <c r="L57" s="209" t="e">
        <f t="shared" si="15"/>
        <v>#DIV/0!</v>
      </c>
      <c r="O57">
        <v>2014</v>
      </c>
      <c r="P57">
        <f t="shared" si="17"/>
        <v>0.56000000000000005</v>
      </c>
      <c r="Q57">
        <v>0.28499999999999998</v>
      </c>
      <c r="S57" s="209">
        <f t="shared" si="16"/>
        <v>-0.49107142857142866</v>
      </c>
    </row>
    <row r="58" spans="1:20">
      <c r="A58">
        <v>2015</v>
      </c>
      <c r="E58" s="209" t="e">
        <f t="shared" si="14"/>
        <v>#DIV/0!</v>
      </c>
      <c r="G58" s="175"/>
      <c r="H58">
        <v>2015</v>
      </c>
      <c r="J58">
        <v>0.124</v>
      </c>
      <c r="L58" s="209" t="e">
        <f t="shared" si="15"/>
        <v>#DIV/0!</v>
      </c>
      <c r="O58">
        <v>2015</v>
      </c>
      <c r="P58">
        <f t="shared" si="17"/>
        <v>0.28499999999999998</v>
      </c>
      <c r="Q58">
        <v>0.14000000000000001</v>
      </c>
      <c r="S58" s="209">
        <f t="shared" si="16"/>
        <v>-0.50877192982456132</v>
      </c>
    </row>
    <row r="59" spans="1:20">
      <c r="A59" s="217">
        <v>2016</v>
      </c>
      <c r="C59" s="217"/>
      <c r="E59" s="209" t="e">
        <f t="shared" ref="E59:E63" si="18">(C59-B59+D59)/B59</f>
        <v>#DIV/0!</v>
      </c>
      <c r="H59" s="217">
        <v>2016</v>
      </c>
      <c r="I59">
        <f t="shared" ref="I59:I68" si="19">J58</f>
        <v>0.124</v>
      </c>
      <c r="J59" s="217">
        <v>0.10299999999999999</v>
      </c>
      <c r="K59" s="49">
        <v>0</v>
      </c>
      <c r="L59" s="209">
        <f t="shared" si="15"/>
        <v>-0.16935483870967746</v>
      </c>
      <c r="O59" s="217">
        <v>2016</v>
      </c>
      <c r="P59">
        <f t="shared" si="17"/>
        <v>0.14000000000000001</v>
      </c>
      <c r="Q59" s="217">
        <v>0.158</v>
      </c>
      <c r="R59" s="49">
        <v>0</v>
      </c>
      <c r="S59" s="209">
        <f t="shared" ref="S59:S68" si="20">(Q59-P59+R59)/P59</f>
        <v>0.12857142857142848</v>
      </c>
    </row>
    <row r="60" spans="1:20">
      <c r="A60" s="217">
        <v>2017</v>
      </c>
      <c r="C60" s="217"/>
      <c r="E60" s="209" t="e">
        <f t="shared" si="18"/>
        <v>#DIV/0!</v>
      </c>
      <c r="H60" s="217">
        <v>2017</v>
      </c>
      <c r="I60">
        <f t="shared" si="19"/>
        <v>0.10299999999999999</v>
      </c>
      <c r="J60" s="217">
        <v>4.4999999999999998E-2</v>
      </c>
      <c r="K60" s="49">
        <v>0</v>
      </c>
      <c r="L60" s="209">
        <f t="shared" si="15"/>
        <v>-0.56310679611650483</v>
      </c>
      <c r="O60" s="217">
        <v>2017</v>
      </c>
      <c r="P60">
        <f t="shared" ref="P60:P68" si="21">Q59</f>
        <v>0.158</v>
      </c>
      <c r="Q60" s="217">
        <v>8.5000000000000006E-2</v>
      </c>
      <c r="R60" s="49">
        <v>0</v>
      </c>
      <c r="S60" s="209">
        <f t="shared" si="20"/>
        <v>-0.46202531645569617</v>
      </c>
    </row>
    <row r="61" spans="1:20">
      <c r="A61" s="217">
        <v>2018</v>
      </c>
      <c r="C61" s="217"/>
      <c r="E61" s="209" t="e">
        <f t="shared" si="18"/>
        <v>#DIV/0!</v>
      </c>
      <c r="H61" s="217">
        <v>2018</v>
      </c>
      <c r="I61">
        <f t="shared" si="19"/>
        <v>4.4999999999999998E-2</v>
      </c>
      <c r="J61" s="217">
        <v>2.5000000000000001E-2</v>
      </c>
      <c r="K61" s="49">
        <v>0</v>
      </c>
      <c r="L61" s="209">
        <f t="shared" si="15"/>
        <v>-0.44444444444444442</v>
      </c>
      <c r="O61" s="217">
        <v>2018</v>
      </c>
      <c r="P61">
        <f t="shared" si="21"/>
        <v>8.5000000000000006E-2</v>
      </c>
      <c r="Q61" s="217">
        <v>0.09</v>
      </c>
      <c r="R61" s="49">
        <v>0</v>
      </c>
      <c r="S61" s="209">
        <f t="shared" si="20"/>
        <v>5.8823529411764594E-2</v>
      </c>
    </row>
    <row r="62" spans="1:20">
      <c r="A62" s="217">
        <v>2019</v>
      </c>
      <c r="C62" s="217"/>
      <c r="E62" s="209" t="e">
        <f t="shared" si="18"/>
        <v>#DIV/0!</v>
      </c>
      <c r="H62" s="217">
        <v>2019</v>
      </c>
      <c r="I62">
        <f t="shared" si="19"/>
        <v>2.5000000000000001E-2</v>
      </c>
      <c r="J62" s="217">
        <v>8.9999999999999993E-3</v>
      </c>
      <c r="K62" s="49">
        <v>0</v>
      </c>
      <c r="L62" s="209">
        <f t="shared" si="15"/>
        <v>-0.64</v>
      </c>
      <c r="O62" s="217">
        <v>2019</v>
      </c>
      <c r="P62">
        <f t="shared" si="21"/>
        <v>0.09</v>
      </c>
      <c r="Q62" s="217">
        <v>2.8000000000000001E-2</v>
      </c>
      <c r="R62" s="49">
        <v>0</v>
      </c>
      <c r="S62" s="209">
        <f t="shared" si="20"/>
        <v>-0.68888888888888888</v>
      </c>
    </row>
    <row r="63" spans="1:20">
      <c r="A63" s="217">
        <v>2020</v>
      </c>
      <c r="C63" s="217"/>
      <c r="E63" s="209" t="e">
        <f t="shared" si="18"/>
        <v>#DIV/0!</v>
      </c>
      <c r="H63" s="217">
        <v>2020</v>
      </c>
      <c r="I63">
        <f t="shared" si="19"/>
        <v>8.9999999999999993E-3</v>
      </c>
      <c r="J63" s="217">
        <v>0.01</v>
      </c>
      <c r="K63" s="49">
        <v>0</v>
      </c>
      <c r="L63" s="209">
        <f t="shared" si="15"/>
        <v>0.11111111111111122</v>
      </c>
      <c r="O63" s="217">
        <v>2020</v>
      </c>
      <c r="P63">
        <f t="shared" si="21"/>
        <v>2.8000000000000001E-2</v>
      </c>
      <c r="Q63" s="217">
        <v>2.5999999999999999E-2</v>
      </c>
      <c r="R63" s="49">
        <v>0</v>
      </c>
      <c r="S63" s="209">
        <f t="shared" si="20"/>
        <v>-7.1428571428571494E-2</v>
      </c>
    </row>
    <row r="64" spans="1:20">
      <c r="A64">
        <v>2021</v>
      </c>
      <c r="B64">
        <v>0.22500000000000001</v>
      </c>
      <c r="C64">
        <v>0.17249999999999999</v>
      </c>
      <c r="D64">
        <v>0</v>
      </c>
      <c r="E64" s="209">
        <f>(C64-B64+D64)/B64</f>
        <v>-0.23333333333333342</v>
      </c>
      <c r="H64">
        <v>2021</v>
      </c>
      <c r="I64">
        <f t="shared" si="19"/>
        <v>0.01</v>
      </c>
      <c r="J64">
        <v>1.4E-2</v>
      </c>
      <c r="K64" s="49">
        <v>0</v>
      </c>
      <c r="L64" s="209">
        <f t="shared" si="15"/>
        <v>0.4</v>
      </c>
      <c r="O64">
        <v>2021</v>
      </c>
      <c r="P64">
        <f t="shared" si="21"/>
        <v>2.5999999999999999E-2</v>
      </c>
      <c r="Q64">
        <v>2.5999999999999999E-2</v>
      </c>
      <c r="R64" s="49">
        <v>0</v>
      </c>
      <c r="S64" s="209">
        <f t="shared" si="20"/>
        <v>0</v>
      </c>
    </row>
    <row r="65" spans="1:19" ht="14.4" customHeight="1">
      <c r="A65">
        <v>2022</v>
      </c>
      <c r="B65">
        <f>C64</f>
        <v>0.17249999999999999</v>
      </c>
      <c r="C65">
        <v>0.20619999999999999</v>
      </c>
      <c r="D65">
        <v>0</v>
      </c>
      <c r="E65" s="209">
        <f t="shared" ref="E65:E68" si="22">(C65-B65+D65)/B65</f>
        <v>0.19536231884057978</v>
      </c>
      <c r="H65">
        <v>2022</v>
      </c>
      <c r="I65">
        <f t="shared" si="19"/>
        <v>1.4E-2</v>
      </c>
      <c r="J65">
        <v>8.0000000000000002E-3</v>
      </c>
      <c r="K65" s="49">
        <v>0</v>
      </c>
      <c r="L65" s="209">
        <f t="shared" si="15"/>
        <v>-0.42857142857142855</v>
      </c>
      <c r="O65">
        <v>2022</v>
      </c>
      <c r="P65">
        <f t="shared" si="21"/>
        <v>2.5999999999999999E-2</v>
      </c>
      <c r="Q65">
        <v>1.2E-2</v>
      </c>
      <c r="R65" s="49">
        <v>0</v>
      </c>
      <c r="S65" s="209">
        <f t="shared" si="20"/>
        <v>-0.53846153846153844</v>
      </c>
    </row>
    <row r="66" spans="1:19">
      <c r="A66" s="49">
        <v>2023</v>
      </c>
      <c r="B66" s="49">
        <f>C65</f>
        <v>0.20619999999999999</v>
      </c>
      <c r="C66" s="49">
        <v>0.2475</v>
      </c>
      <c r="D66" s="49">
        <v>1.35E-2</v>
      </c>
      <c r="E66" s="209">
        <f t="shared" si="22"/>
        <v>0.26576139670223087</v>
      </c>
      <c r="H66" s="49">
        <v>2023</v>
      </c>
      <c r="I66" s="49">
        <f t="shared" si="19"/>
        <v>8.0000000000000002E-3</v>
      </c>
      <c r="J66" s="49">
        <v>3.0000000000000001E-3</v>
      </c>
      <c r="K66" s="49">
        <v>0</v>
      </c>
      <c r="L66" s="209">
        <f t="shared" si="15"/>
        <v>-0.625</v>
      </c>
      <c r="O66" s="49">
        <v>2023</v>
      </c>
      <c r="P66" s="49">
        <f t="shared" si="21"/>
        <v>1.2E-2</v>
      </c>
      <c r="Q66" s="49">
        <v>8.0000000000000002E-3</v>
      </c>
      <c r="R66" s="49">
        <v>0</v>
      </c>
      <c r="S66" s="209">
        <f t="shared" si="20"/>
        <v>-0.33333333333333331</v>
      </c>
    </row>
    <row r="67" spans="1:19">
      <c r="A67" s="205">
        <v>2024</v>
      </c>
      <c r="B67" s="49">
        <f>C66</f>
        <v>0.2475</v>
      </c>
      <c r="C67" s="49">
        <v>0.3</v>
      </c>
      <c r="D67" s="49">
        <v>1.2749999999999999E-2</v>
      </c>
      <c r="E67" s="209">
        <f t="shared" si="22"/>
        <v>0.26363636363636361</v>
      </c>
      <c r="H67" s="205">
        <v>2024</v>
      </c>
      <c r="I67" s="49">
        <f t="shared" si="19"/>
        <v>3.0000000000000001E-3</v>
      </c>
      <c r="J67" s="49">
        <v>2E-3</v>
      </c>
      <c r="K67" s="49">
        <v>0</v>
      </c>
      <c r="L67" s="209">
        <f t="shared" si="15"/>
        <v>-0.33333333333333331</v>
      </c>
      <c r="O67" s="205">
        <v>2024</v>
      </c>
      <c r="P67" s="49">
        <f t="shared" si="21"/>
        <v>8.0000000000000002E-3</v>
      </c>
      <c r="Q67" s="49">
        <v>1.0999999999999999E-2</v>
      </c>
      <c r="R67" s="49">
        <v>0</v>
      </c>
      <c r="S67" s="209">
        <f t="shared" si="20"/>
        <v>0.37499999999999989</v>
      </c>
    </row>
    <row r="68" spans="1:19">
      <c r="A68" s="205">
        <v>2025</v>
      </c>
      <c r="B68" s="49">
        <f>C67</f>
        <v>0.3</v>
      </c>
      <c r="C68" s="49">
        <v>0.25</v>
      </c>
      <c r="D68" s="49">
        <v>1.4999999999999999E-2</v>
      </c>
      <c r="E68" s="209">
        <f t="shared" si="22"/>
        <v>-0.11666666666666664</v>
      </c>
      <c r="F68" t="s">
        <v>2503</v>
      </c>
      <c r="H68" s="205">
        <v>2025</v>
      </c>
      <c r="I68" s="49">
        <f t="shared" si="19"/>
        <v>2E-3</v>
      </c>
      <c r="J68" s="49">
        <v>3.0000000000000001E-3</v>
      </c>
      <c r="K68" s="49">
        <v>0</v>
      </c>
      <c r="L68" s="209">
        <f t="shared" si="15"/>
        <v>0.5</v>
      </c>
      <c r="O68" s="205">
        <v>2025</v>
      </c>
      <c r="P68" s="49">
        <f t="shared" si="21"/>
        <v>1.0999999999999999E-2</v>
      </c>
      <c r="Q68" s="49">
        <v>0.01</v>
      </c>
      <c r="R68" s="49">
        <v>0</v>
      </c>
      <c r="S68" s="209">
        <f t="shared" si="20"/>
        <v>-9.0909090909090842E-2</v>
      </c>
    </row>
    <row r="69" spans="1:19">
      <c r="E69" s="209"/>
      <c r="L69" s="209"/>
      <c r="S69" s="209"/>
    </row>
    <row r="70" spans="1:19" ht="28.8">
      <c r="A70" s="247" t="s">
        <v>2355</v>
      </c>
      <c r="B70" s="247" t="str">
        <f>'03_Beta_Calculation'!B46</f>
        <v>Dezign Format</v>
      </c>
      <c r="C70" s="247"/>
      <c r="D70" s="247" t="s">
        <v>762</v>
      </c>
      <c r="E70" s="209"/>
      <c r="H70" s="247" t="s">
        <v>2360</v>
      </c>
      <c r="I70" s="247" t="str">
        <f>'03_Beta_Calculation'!B51</f>
        <v>ZICO Hldgs</v>
      </c>
      <c r="J70" s="247" t="s">
        <v>1187</v>
      </c>
      <c r="L70" s="209"/>
      <c r="O70" s="247" t="s">
        <v>2365</v>
      </c>
      <c r="P70" s="292" t="str">
        <f>'03_Beta_Calculation'!B56</f>
        <v>KingsmenCreative</v>
      </c>
      <c r="Q70" s="292" t="s">
        <v>902</v>
      </c>
      <c r="S70" s="209"/>
    </row>
    <row r="71" spans="1:19" ht="43.2">
      <c r="A71" s="214" t="s">
        <v>2304</v>
      </c>
      <c r="B71" s="214" t="s">
        <v>2305</v>
      </c>
      <c r="C71" s="214" t="s">
        <v>2306</v>
      </c>
      <c r="D71" s="214" t="s">
        <v>2307</v>
      </c>
      <c r="E71" s="211" t="s">
        <v>2308</v>
      </c>
      <c r="H71" s="214" t="s">
        <v>2304</v>
      </c>
      <c r="I71" s="214" t="s">
        <v>2305</v>
      </c>
      <c r="J71" s="214" t="s">
        <v>2306</v>
      </c>
      <c r="K71" s="214" t="s">
        <v>2307</v>
      </c>
      <c r="L71" s="211" t="s">
        <v>2308</v>
      </c>
      <c r="O71" s="214" t="s">
        <v>2304</v>
      </c>
      <c r="P71" s="214" t="s">
        <v>2305</v>
      </c>
      <c r="Q71" s="214" t="s">
        <v>2306</v>
      </c>
      <c r="R71" s="214" t="s">
        <v>2307</v>
      </c>
      <c r="S71" s="211" t="s">
        <v>2308</v>
      </c>
    </row>
    <row r="72" spans="1:19">
      <c r="A72">
        <v>2010</v>
      </c>
      <c r="H72">
        <v>2010</v>
      </c>
      <c r="O72">
        <v>2010</v>
      </c>
      <c r="P72">
        <v>0.56999999999999995</v>
      </c>
      <c r="Q72">
        <v>0.56499999999999995</v>
      </c>
      <c r="R72">
        <f>0.02+0.015</f>
        <v>3.5000000000000003E-2</v>
      </c>
      <c r="S72" s="209">
        <f t="shared" ref="S72:S77" si="23">(Q72-P72+R72)/P72</f>
        <v>5.2631578947368425E-2</v>
      </c>
    </row>
    <row r="73" spans="1:19">
      <c r="A73">
        <v>2011</v>
      </c>
      <c r="H73">
        <v>2011</v>
      </c>
      <c r="O73">
        <v>2011</v>
      </c>
      <c r="P73">
        <f t="shared" ref="P73:P78" si="24">Q72</f>
        <v>0.56499999999999995</v>
      </c>
      <c r="Q73">
        <v>0.56999999999999995</v>
      </c>
      <c r="R73">
        <f>0.025+0.015</f>
        <v>0.04</v>
      </c>
      <c r="S73" s="209">
        <f t="shared" si="23"/>
        <v>7.9646017699115057E-2</v>
      </c>
    </row>
    <row r="74" spans="1:19">
      <c r="A74">
        <v>2012</v>
      </c>
      <c r="H74">
        <v>2012</v>
      </c>
      <c r="O74">
        <v>2012</v>
      </c>
      <c r="P74">
        <f t="shared" si="24"/>
        <v>0.56999999999999995</v>
      </c>
      <c r="Q74">
        <v>0.77</v>
      </c>
      <c r="R74">
        <f>0.025+0.015</f>
        <v>0.04</v>
      </c>
      <c r="S74" s="209">
        <f t="shared" si="23"/>
        <v>0.42105263157894751</v>
      </c>
    </row>
    <row r="75" spans="1:19">
      <c r="A75">
        <v>2013</v>
      </c>
      <c r="H75">
        <v>2013</v>
      </c>
      <c r="I75">
        <v>0.41</v>
      </c>
      <c r="J75">
        <v>0.41</v>
      </c>
      <c r="K75">
        <v>0</v>
      </c>
      <c r="L75" s="209">
        <f t="shared" ref="L75:L87" si="25">(J75-I75+K75)/I75</f>
        <v>0</v>
      </c>
      <c r="M75" t="s">
        <v>2399</v>
      </c>
      <c r="O75">
        <v>2013</v>
      </c>
      <c r="P75">
        <f t="shared" si="24"/>
        <v>0.77</v>
      </c>
      <c r="Q75">
        <v>0.92</v>
      </c>
      <c r="R75">
        <f>0.015+0.025</f>
        <v>0.04</v>
      </c>
      <c r="S75" s="209">
        <f t="shared" si="23"/>
        <v>0.24675324675324678</v>
      </c>
    </row>
    <row r="76" spans="1:19">
      <c r="A76">
        <v>2014</v>
      </c>
      <c r="E76" s="209" t="e">
        <f t="shared" ref="E76:E82" si="26">(C76-B76+D76)/B76</f>
        <v>#DIV/0!</v>
      </c>
      <c r="F76" t="s">
        <v>2399</v>
      </c>
      <c r="H76">
        <v>2014</v>
      </c>
      <c r="I76">
        <f t="shared" ref="I76:I87" si="27">J75</f>
        <v>0.41</v>
      </c>
      <c r="J76">
        <v>0.48</v>
      </c>
      <c r="K76">
        <v>0</v>
      </c>
      <c r="L76" s="209">
        <f t="shared" si="25"/>
        <v>0.17073170731707318</v>
      </c>
      <c r="O76">
        <v>2014</v>
      </c>
      <c r="P76">
        <f t="shared" si="24"/>
        <v>0.92</v>
      </c>
      <c r="Q76">
        <v>0.96</v>
      </c>
      <c r="R76">
        <f>0.025+0.015</f>
        <v>0.04</v>
      </c>
      <c r="S76" s="209">
        <f t="shared" si="23"/>
        <v>8.6956521739130363E-2</v>
      </c>
    </row>
    <row r="77" spans="1:19">
      <c r="A77">
        <v>2015</v>
      </c>
      <c r="E77" s="209" t="e">
        <f t="shared" si="26"/>
        <v>#DIV/0!</v>
      </c>
      <c r="H77">
        <v>2015</v>
      </c>
      <c r="I77">
        <f t="shared" si="27"/>
        <v>0.48</v>
      </c>
      <c r="J77">
        <v>0.32500000000000001</v>
      </c>
      <c r="K77">
        <v>0</v>
      </c>
      <c r="L77" s="209">
        <f t="shared" si="25"/>
        <v>-0.32291666666666663</v>
      </c>
      <c r="O77">
        <v>2015</v>
      </c>
      <c r="P77">
        <f t="shared" si="24"/>
        <v>0.96</v>
      </c>
      <c r="Q77">
        <v>0.64500000000000002</v>
      </c>
      <c r="R77">
        <f>0.025+0.01</f>
        <v>3.5000000000000003E-2</v>
      </c>
      <c r="S77" s="209">
        <f t="shared" si="23"/>
        <v>-0.29166666666666657</v>
      </c>
    </row>
    <row r="78" spans="1:19" ht="19.2" customHeight="1">
      <c r="A78" s="217">
        <v>2016</v>
      </c>
      <c r="C78" s="217"/>
      <c r="D78">
        <v>0</v>
      </c>
      <c r="E78" s="209" t="e">
        <f t="shared" si="26"/>
        <v>#DIV/0!</v>
      </c>
      <c r="H78" s="217">
        <v>2016</v>
      </c>
      <c r="I78">
        <f t="shared" si="27"/>
        <v>0.32500000000000001</v>
      </c>
      <c r="J78" s="217">
        <v>0.28999999999999998</v>
      </c>
      <c r="K78" s="217">
        <v>0</v>
      </c>
      <c r="L78" s="209">
        <f t="shared" si="25"/>
        <v>-0.10769230769230778</v>
      </c>
      <c r="O78" s="217">
        <v>2016</v>
      </c>
      <c r="P78">
        <f t="shared" si="24"/>
        <v>0.64500000000000002</v>
      </c>
      <c r="Q78" s="217">
        <v>0.61</v>
      </c>
      <c r="R78" s="49">
        <v>0.02</v>
      </c>
      <c r="S78" s="209">
        <f t="shared" ref="S78:S87" si="28">(Q78-P78+R78)/P78</f>
        <v>-2.325581395348842E-2</v>
      </c>
    </row>
    <row r="79" spans="1:19" ht="14.4" customHeight="1">
      <c r="A79" s="217">
        <v>2017</v>
      </c>
      <c r="C79" s="217"/>
      <c r="D79">
        <v>0</v>
      </c>
      <c r="E79" s="209" t="e">
        <f t="shared" si="26"/>
        <v>#DIV/0!</v>
      </c>
      <c r="H79" s="217">
        <v>2017</v>
      </c>
      <c r="I79">
        <f t="shared" si="27"/>
        <v>0.28999999999999998</v>
      </c>
      <c r="J79" s="217">
        <v>0.245</v>
      </c>
      <c r="K79">
        <v>0</v>
      </c>
      <c r="L79" s="209">
        <f t="shared" si="25"/>
        <v>-0.1551724137931034</v>
      </c>
      <c r="O79" s="217">
        <v>2017</v>
      </c>
      <c r="P79">
        <f t="shared" ref="P79:P87" si="29">Q78</f>
        <v>0.61</v>
      </c>
      <c r="Q79" s="217">
        <v>0.63500000000000001</v>
      </c>
      <c r="R79" s="49">
        <v>0</v>
      </c>
      <c r="S79" s="209">
        <f t="shared" si="28"/>
        <v>4.0983606557377088E-2</v>
      </c>
    </row>
    <row r="80" spans="1:19">
      <c r="A80" s="217">
        <v>2018</v>
      </c>
      <c r="C80" s="217"/>
      <c r="D80">
        <v>0</v>
      </c>
      <c r="E80" s="209" t="e">
        <f t="shared" si="26"/>
        <v>#DIV/0!</v>
      </c>
      <c r="H80" s="217">
        <v>2018</v>
      </c>
      <c r="I80">
        <f t="shared" si="27"/>
        <v>0.245</v>
      </c>
      <c r="J80" s="217">
        <v>0.14000000000000001</v>
      </c>
      <c r="K80">
        <v>0</v>
      </c>
      <c r="L80" s="209">
        <f t="shared" si="25"/>
        <v>-0.42857142857142849</v>
      </c>
      <c r="O80" s="217">
        <v>2018</v>
      </c>
      <c r="P80">
        <f t="shared" si="29"/>
        <v>0.63500000000000001</v>
      </c>
      <c r="Q80" s="217">
        <v>0.51</v>
      </c>
      <c r="R80" s="49">
        <f>0.01+0.015</f>
        <v>2.5000000000000001E-2</v>
      </c>
      <c r="S80" s="209">
        <f t="shared" si="28"/>
        <v>-0.15748031496062992</v>
      </c>
    </row>
    <row r="81" spans="1:20">
      <c r="A81" s="217">
        <v>2019</v>
      </c>
      <c r="C81" s="217"/>
      <c r="D81">
        <v>0</v>
      </c>
      <c r="E81" s="209" t="e">
        <f t="shared" si="26"/>
        <v>#DIV/0!</v>
      </c>
      <c r="H81" s="217">
        <v>2019</v>
      </c>
      <c r="I81">
        <f t="shared" si="27"/>
        <v>0.14000000000000001</v>
      </c>
      <c r="J81" s="217">
        <v>0.14499999999999999</v>
      </c>
      <c r="K81">
        <v>0</v>
      </c>
      <c r="L81" s="209">
        <f t="shared" si="25"/>
        <v>3.5714285714285546E-2</v>
      </c>
      <c r="O81" s="217">
        <v>2019</v>
      </c>
      <c r="P81">
        <f t="shared" si="29"/>
        <v>0.51</v>
      </c>
      <c r="Q81" s="217">
        <v>0.375</v>
      </c>
      <c r="R81" s="49">
        <f>0.015+0.01</f>
        <v>2.5000000000000001E-2</v>
      </c>
      <c r="S81" s="209">
        <f t="shared" si="28"/>
        <v>-0.21568627450980393</v>
      </c>
    </row>
    <row r="82" spans="1:20">
      <c r="A82" s="217">
        <v>2020</v>
      </c>
      <c r="C82" s="217"/>
      <c r="D82">
        <v>0</v>
      </c>
      <c r="E82" s="209" t="e">
        <f t="shared" si="26"/>
        <v>#DIV/0!</v>
      </c>
      <c r="H82" s="217">
        <v>2020</v>
      </c>
      <c r="I82">
        <f t="shared" si="27"/>
        <v>0.14499999999999999</v>
      </c>
      <c r="J82" s="217">
        <v>8.5999999999999993E-2</v>
      </c>
      <c r="K82">
        <v>0</v>
      </c>
      <c r="L82" s="209">
        <f t="shared" si="25"/>
        <v>-0.40689655172413791</v>
      </c>
      <c r="O82" s="217">
        <v>2020</v>
      </c>
      <c r="P82">
        <f t="shared" si="29"/>
        <v>0.375</v>
      </c>
      <c r="Q82" s="217">
        <v>0.25</v>
      </c>
      <c r="R82" s="49">
        <v>0</v>
      </c>
      <c r="S82" s="209">
        <f t="shared" si="28"/>
        <v>-0.33333333333333331</v>
      </c>
    </row>
    <row r="83" spans="1:20">
      <c r="A83">
        <v>2021</v>
      </c>
      <c r="D83">
        <v>0</v>
      </c>
      <c r="E83" s="209" t="e">
        <f>(C83-B83+D83)/B83</f>
        <v>#DIV/0!</v>
      </c>
      <c r="H83">
        <v>2021</v>
      </c>
      <c r="I83">
        <f t="shared" si="27"/>
        <v>8.5999999999999993E-2</v>
      </c>
      <c r="J83" s="221">
        <v>7.8E-2</v>
      </c>
      <c r="K83">
        <v>0</v>
      </c>
      <c r="L83" s="209">
        <f t="shared" si="25"/>
        <v>-9.3023255813953418E-2</v>
      </c>
      <c r="O83">
        <v>2021</v>
      </c>
      <c r="P83">
        <f t="shared" si="29"/>
        <v>0.25</v>
      </c>
      <c r="Q83">
        <v>0.23499999999999999</v>
      </c>
      <c r="R83" s="49">
        <v>0</v>
      </c>
      <c r="S83" s="209">
        <f t="shared" si="28"/>
        <v>-6.0000000000000053E-2</v>
      </c>
    </row>
    <row r="84" spans="1:20">
      <c r="A84">
        <v>2022</v>
      </c>
      <c r="D84">
        <v>0</v>
      </c>
      <c r="E84" s="209" t="e">
        <f t="shared" ref="E84:E87" si="30">(C84-B84+D84)/B84</f>
        <v>#DIV/0!</v>
      </c>
      <c r="H84">
        <v>2022</v>
      </c>
      <c r="I84">
        <f t="shared" si="27"/>
        <v>7.8E-2</v>
      </c>
      <c r="J84">
        <v>7.4999999999999997E-2</v>
      </c>
      <c r="K84">
        <v>0</v>
      </c>
      <c r="L84" s="209">
        <f t="shared" si="25"/>
        <v>-3.8461538461538498E-2</v>
      </c>
      <c r="O84">
        <v>2022</v>
      </c>
      <c r="P84">
        <f t="shared" si="29"/>
        <v>0.23499999999999999</v>
      </c>
      <c r="Q84">
        <v>0.27</v>
      </c>
      <c r="R84" s="49">
        <v>0</v>
      </c>
      <c r="S84" s="209">
        <f t="shared" si="28"/>
        <v>0.14893617021276609</v>
      </c>
    </row>
    <row r="85" spans="1:20">
      <c r="A85" s="49">
        <v>2023</v>
      </c>
      <c r="B85" s="49"/>
      <c r="C85" s="49"/>
      <c r="D85" s="49">
        <v>0</v>
      </c>
      <c r="E85" s="209" t="e">
        <f t="shared" si="30"/>
        <v>#DIV/0!</v>
      </c>
      <c r="H85" s="49">
        <v>2023</v>
      </c>
      <c r="I85" s="49">
        <f t="shared" si="27"/>
        <v>7.4999999999999997E-2</v>
      </c>
      <c r="J85" s="49">
        <v>0.05</v>
      </c>
      <c r="K85" s="49">
        <v>0</v>
      </c>
      <c r="L85" s="209">
        <f t="shared" si="25"/>
        <v>-0.33333333333333326</v>
      </c>
      <c r="O85" s="49">
        <v>2023</v>
      </c>
      <c r="P85" s="49">
        <f t="shared" si="29"/>
        <v>0.27</v>
      </c>
      <c r="Q85" s="49">
        <v>0.27500000000000002</v>
      </c>
      <c r="R85" s="49">
        <v>0.01</v>
      </c>
      <c r="S85" s="209">
        <f t="shared" si="28"/>
        <v>5.5555555555555566E-2</v>
      </c>
    </row>
    <row r="86" spans="1:20">
      <c r="A86" s="205">
        <v>2024</v>
      </c>
      <c r="B86" s="49">
        <f>C85</f>
        <v>0</v>
      </c>
      <c r="C86" s="49">
        <v>0.26500000000000001</v>
      </c>
      <c r="D86" s="49">
        <v>0</v>
      </c>
      <c r="E86" s="209" t="e">
        <f t="shared" si="30"/>
        <v>#DIV/0!</v>
      </c>
      <c r="H86" s="205">
        <v>2024</v>
      </c>
      <c r="I86" s="49">
        <f t="shared" si="27"/>
        <v>0.05</v>
      </c>
      <c r="J86" s="49">
        <v>4.8000000000000001E-2</v>
      </c>
      <c r="K86" s="49">
        <v>0</v>
      </c>
      <c r="L86" s="209">
        <f t="shared" si="25"/>
        <v>-4.0000000000000036E-2</v>
      </c>
      <c r="O86" s="205">
        <v>2024</v>
      </c>
      <c r="P86" s="49">
        <f t="shared" si="29"/>
        <v>0.27500000000000002</v>
      </c>
      <c r="Q86" s="49">
        <v>0.27</v>
      </c>
      <c r="R86" s="49">
        <v>0.01</v>
      </c>
      <c r="S86" s="209">
        <f t="shared" si="28"/>
        <v>1.8181818181818164E-2</v>
      </c>
    </row>
    <row r="87" spans="1:20">
      <c r="A87" s="205">
        <v>2025</v>
      </c>
      <c r="B87" s="49">
        <f>C86</f>
        <v>0.26500000000000001</v>
      </c>
      <c r="C87" s="49">
        <v>0.23</v>
      </c>
      <c r="D87" s="49">
        <v>0</v>
      </c>
      <c r="E87" s="209">
        <f t="shared" si="30"/>
        <v>-0.13207547169811321</v>
      </c>
      <c r="H87" s="205">
        <v>2025</v>
      </c>
      <c r="I87" s="49">
        <f t="shared" si="27"/>
        <v>4.8000000000000001E-2</v>
      </c>
      <c r="J87" s="49">
        <v>6.5000000000000002E-2</v>
      </c>
      <c r="K87" s="49">
        <v>0</v>
      </c>
      <c r="L87" s="209">
        <f t="shared" si="25"/>
        <v>0.35416666666666669</v>
      </c>
      <c r="O87" s="205">
        <v>2025</v>
      </c>
      <c r="P87" s="49">
        <f t="shared" si="29"/>
        <v>0.27</v>
      </c>
      <c r="Q87" s="49">
        <v>0.505</v>
      </c>
      <c r="R87" s="49">
        <v>0.02</v>
      </c>
      <c r="S87" s="209">
        <f t="shared" si="28"/>
        <v>0.94444444444444442</v>
      </c>
    </row>
    <row r="88" spans="1:20">
      <c r="E88" s="209"/>
      <c r="L88" s="209"/>
      <c r="S88" s="209"/>
    </row>
    <row r="89" spans="1:20" ht="14.4" customHeight="1">
      <c r="A89" s="247" t="s">
        <v>2356</v>
      </c>
      <c r="B89" s="247" t="str">
        <f>'03_Beta_Calculation'!B47</f>
        <v>GKE</v>
      </c>
      <c r="C89" s="247">
        <v>595</v>
      </c>
      <c r="D89" s="247" t="s">
        <v>932</v>
      </c>
      <c r="E89" s="209"/>
      <c r="H89" s="247" t="s">
        <v>2361</v>
      </c>
      <c r="I89" s="247" t="str">
        <f>'03_Beta_Calculation'!B52</f>
        <v>UnUsUaL</v>
      </c>
      <c r="J89" s="247" t="s">
        <v>1138</v>
      </c>
      <c r="L89" s="209"/>
      <c r="O89" s="247" t="s">
        <v>2380</v>
      </c>
      <c r="P89" s="293" t="str">
        <f>'03_Beta_Calculation'!B57</f>
        <v>Raffles Edu</v>
      </c>
      <c r="Q89" s="247" t="s">
        <v>1031</v>
      </c>
      <c r="S89" s="209"/>
    </row>
    <row r="90" spans="1:20" ht="43.2">
      <c r="A90" s="214" t="s">
        <v>2304</v>
      </c>
      <c r="B90" s="214" t="s">
        <v>2305</v>
      </c>
      <c r="C90" s="214" t="s">
        <v>2306</v>
      </c>
      <c r="D90" s="214" t="s">
        <v>2307</v>
      </c>
      <c r="E90" s="211" t="s">
        <v>2308</v>
      </c>
      <c r="H90" s="214" t="s">
        <v>2304</v>
      </c>
      <c r="I90" s="214" t="s">
        <v>2305</v>
      </c>
      <c r="J90" s="214" t="s">
        <v>2306</v>
      </c>
      <c r="K90" s="214" t="s">
        <v>2307</v>
      </c>
      <c r="L90" s="211" t="s">
        <v>2308</v>
      </c>
      <c r="O90" s="214" t="s">
        <v>2304</v>
      </c>
      <c r="P90" s="214" t="s">
        <v>2305</v>
      </c>
      <c r="Q90" s="214" t="s">
        <v>2306</v>
      </c>
      <c r="R90" s="214" t="s">
        <v>2307</v>
      </c>
      <c r="S90" s="211" t="s">
        <v>2308</v>
      </c>
    </row>
    <row r="91" spans="1:20" ht="14.4" customHeight="1">
      <c r="A91">
        <v>2010</v>
      </c>
      <c r="B91">
        <v>607</v>
      </c>
      <c r="C91">
        <v>611</v>
      </c>
      <c r="E91" s="209"/>
      <c r="H91">
        <v>2010</v>
      </c>
      <c r="O91">
        <v>2010</v>
      </c>
      <c r="P91">
        <v>0.96709999999999996</v>
      </c>
      <c r="Q91">
        <v>0.73740000000000006</v>
      </c>
      <c r="R91">
        <v>0</v>
      </c>
      <c r="S91" s="209">
        <f t="shared" ref="S91:S96" si="31">(Q91-P91+R91)/P91</f>
        <v>-0.23751421776445034</v>
      </c>
    </row>
    <row r="92" spans="1:20" ht="14.4" customHeight="1">
      <c r="A92">
        <v>2011</v>
      </c>
      <c r="B92">
        <f t="shared" ref="B92:B94" si="32">C91</f>
        <v>611</v>
      </c>
      <c r="C92">
        <v>755</v>
      </c>
      <c r="D92">
        <v>18</v>
      </c>
      <c r="E92" s="209"/>
      <c r="H92">
        <v>2011</v>
      </c>
      <c r="O92">
        <v>2011</v>
      </c>
      <c r="P92">
        <f t="shared" ref="P92:P97" si="33">Q91</f>
        <v>0.73740000000000006</v>
      </c>
      <c r="Q92">
        <v>0.37480000000000002</v>
      </c>
      <c r="R92">
        <f>0.003627+0.003627</f>
        <v>7.254E-3</v>
      </c>
      <c r="S92" s="209">
        <f t="shared" si="31"/>
        <v>-0.48189042582045027</v>
      </c>
      <c r="T92" t="s">
        <v>2505</v>
      </c>
    </row>
    <row r="93" spans="1:20">
      <c r="A93">
        <v>2012</v>
      </c>
      <c r="B93">
        <f t="shared" si="32"/>
        <v>755</v>
      </c>
      <c r="C93">
        <v>967</v>
      </c>
      <c r="D93">
        <v>22</v>
      </c>
      <c r="E93" s="209"/>
      <c r="H93">
        <v>2012</v>
      </c>
      <c r="O93">
        <v>2012</v>
      </c>
      <c r="P93">
        <f t="shared" si="33"/>
        <v>0.37480000000000002</v>
      </c>
      <c r="Q93">
        <v>0.32540000000000002</v>
      </c>
      <c r="R93">
        <v>0</v>
      </c>
      <c r="S93" s="209">
        <f t="shared" si="31"/>
        <v>-0.13180362860192102</v>
      </c>
    </row>
    <row r="94" spans="1:20">
      <c r="A94">
        <v>2013</v>
      </c>
      <c r="B94">
        <f t="shared" si="32"/>
        <v>967</v>
      </c>
      <c r="C94">
        <v>773</v>
      </c>
      <c r="D94">
        <v>22</v>
      </c>
      <c r="E94" s="209">
        <f t="shared" ref="E94:E96" si="34">(C94-B94+D94)/B94</f>
        <v>-0.1778697001034126</v>
      </c>
      <c r="F94" t="s">
        <v>2400</v>
      </c>
      <c r="H94">
        <v>2013</v>
      </c>
      <c r="O94">
        <v>2013</v>
      </c>
      <c r="P94">
        <f t="shared" si="33"/>
        <v>0.32540000000000002</v>
      </c>
      <c r="Q94">
        <v>0.24859999999999999</v>
      </c>
      <c r="R94">
        <v>0</v>
      </c>
      <c r="S94" s="209">
        <f t="shared" si="31"/>
        <v>-0.23601720958819922</v>
      </c>
    </row>
    <row r="95" spans="1:20">
      <c r="A95">
        <v>2014</v>
      </c>
      <c r="B95">
        <f t="shared" ref="B95:B97" si="35">C94</f>
        <v>773</v>
      </c>
      <c r="C95">
        <v>769</v>
      </c>
      <c r="D95">
        <v>22</v>
      </c>
      <c r="E95" s="209">
        <f t="shared" si="34"/>
        <v>2.3285899094437259E-2</v>
      </c>
      <c r="H95">
        <v>2014</v>
      </c>
      <c r="O95">
        <v>2014</v>
      </c>
      <c r="P95">
        <f t="shared" si="33"/>
        <v>0.24859999999999999</v>
      </c>
      <c r="Q95">
        <v>0.29830000000000001</v>
      </c>
      <c r="R95">
        <v>9.0379999999999992E-3</v>
      </c>
      <c r="S95" s="209">
        <f t="shared" si="31"/>
        <v>0.23627514078841522</v>
      </c>
    </row>
    <row r="96" spans="1:20">
      <c r="A96">
        <v>2015</v>
      </c>
      <c r="B96">
        <f t="shared" si="35"/>
        <v>769</v>
      </c>
      <c r="C96">
        <v>661</v>
      </c>
      <c r="D96">
        <v>22</v>
      </c>
      <c r="E96" s="209">
        <f t="shared" si="34"/>
        <v>-0.11183355006501951</v>
      </c>
      <c r="H96">
        <v>2015</v>
      </c>
      <c r="O96">
        <v>2015</v>
      </c>
      <c r="P96">
        <f t="shared" si="33"/>
        <v>0.29830000000000001</v>
      </c>
      <c r="Q96">
        <v>0.21690000000000001</v>
      </c>
      <c r="R96">
        <v>9.0379999999999992E-3</v>
      </c>
      <c r="S96" s="209">
        <f t="shared" si="31"/>
        <v>-0.24258129399932951</v>
      </c>
    </row>
    <row r="97" spans="1:19">
      <c r="A97" s="217">
        <v>2016</v>
      </c>
      <c r="B97">
        <f t="shared" si="35"/>
        <v>661</v>
      </c>
      <c r="C97" s="217">
        <v>726</v>
      </c>
      <c r="D97" s="217">
        <v>22</v>
      </c>
      <c r="E97" s="209">
        <f t="shared" ref="E97:E101" si="36">(C97-B97+D97)/B97</f>
        <v>0.13161875945537066</v>
      </c>
      <c r="H97" s="217">
        <v>2016</v>
      </c>
      <c r="I97" s="217">
        <v>0</v>
      </c>
      <c r="J97" s="217">
        <v>0</v>
      </c>
      <c r="K97" s="217">
        <v>0</v>
      </c>
      <c r="L97" s="209">
        <v>0</v>
      </c>
      <c r="O97" s="217">
        <v>2016</v>
      </c>
      <c r="P97">
        <f t="shared" si="33"/>
        <v>0.21690000000000001</v>
      </c>
      <c r="Q97" s="217">
        <v>0.1744</v>
      </c>
      <c r="R97" s="49">
        <v>0</v>
      </c>
      <c r="S97" s="209">
        <f t="shared" ref="S97:S106" si="37">(Q97-P97+R97)/P97</f>
        <v>-0.19594283079760261</v>
      </c>
    </row>
    <row r="98" spans="1:19">
      <c r="A98" s="217">
        <v>2017</v>
      </c>
      <c r="B98">
        <f t="shared" ref="B98:B102" si="38">C97</f>
        <v>726</v>
      </c>
      <c r="C98" s="217">
        <v>853</v>
      </c>
      <c r="D98" s="220">
        <v>22</v>
      </c>
      <c r="E98" s="209">
        <f t="shared" si="36"/>
        <v>0.20523415977961432</v>
      </c>
      <c r="H98" s="217">
        <v>2017</v>
      </c>
      <c r="I98">
        <v>0.2969</v>
      </c>
      <c r="J98" s="217">
        <v>0.45500000000000002</v>
      </c>
      <c r="K98" s="217">
        <v>0</v>
      </c>
      <c r="L98" s="209">
        <f t="shared" ref="L98:L106" si="39">(J98-I98+K98)/I98</f>
        <v>0.53250252610306503</v>
      </c>
      <c r="M98" t="s">
        <v>2504</v>
      </c>
      <c r="O98" s="217">
        <v>2017</v>
      </c>
      <c r="P98">
        <f t="shared" ref="P98:P106" si="40">Q97</f>
        <v>0.1744</v>
      </c>
      <c r="Q98" s="217">
        <v>0.23949999999999999</v>
      </c>
      <c r="R98" s="49">
        <v>0</v>
      </c>
      <c r="S98" s="209">
        <f t="shared" si="37"/>
        <v>0.37327981651376141</v>
      </c>
    </row>
    <row r="99" spans="1:19">
      <c r="A99" s="217">
        <v>2018</v>
      </c>
      <c r="B99">
        <f t="shared" si="38"/>
        <v>853</v>
      </c>
      <c r="C99" s="217">
        <v>701</v>
      </c>
      <c r="D99" s="217">
        <v>22</v>
      </c>
      <c r="E99" s="209">
        <f t="shared" si="36"/>
        <v>-0.15240328253223914</v>
      </c>
      <c r="H99" s="217">
        <v>2018</v>
      </c>
      <c r="I99">
        <f t="shared" ref="I99:I106" si="41">J98</f>
        <v>0.45500000000000002</v>
      </c>
      <c r="J99" s="217">
        <v>0.3</v>
      </c>
      <c r="K99" s="217">
        <v>0</v>
      </c>
      <c r="L99" s="209">
        <f t="shared" si="39"/>
        <v>-0.34065934065934073</v>
      </c>
      <c r="O99" s="217">
        <v>2018</v>
      </c>
      <c r="P99">
        <f t="shared" si="40"/>
        <v>0.23949999999999999</v>
      </c>
      <c r="Q99" s="217">
        <v>0.109</v>
      </c>
      <c r="R99" s="49">
        <v>0</v>
      </c>
      <c r="S99" s="209">
        <f t="shared" si="37"/>
        <v>-0.54488517745302723</v>
      </c>
    </row>
    <row r="100" spans="1:19">
      <c r="A100" s="217">
        <v>2019</v>
      </c>
      <c r="B100">
        <f t="shared" si="38"/>
        <v>701</v>
      </c>
      <c r="C100" s="217">
        <v>691</v>
      </c>
      <c r="D100" s="217">
        <v>22</v>
      </c>
      <c r="E100" s="209">
        <f t="shared" si="36"/>
        <v>1.7118402282453638E-2</v>
      </c>
      <c r="H100" s="217">
        <v>2019</v>
      </c>
      <c r="I100">
        <f t="shared" si="41"/>
        <v>0.3</v>
      </c>
      <c r="J100" s="217">
        <v>0.22</v>
      </c>
      <c r="K100" s="217">
        <v>3.4199999999999999E-3</v>
      </c>
      <c r="L100" s="209">
        <f t="shared" si="39"/>
        <v>-0.25526666666666664</v>
      </c>
      <c r="O100" s="217">
        <v>2019</v>
      </c>
      <c r="P100">
        <f t="shared" si="40"/>
        <v>0.109</v>
      </c>
      <c r="Q100" s="217">
        <v>0.08</v>
      </c>
      <c r="R100" s="49">
        <v>0</v>
      </c>
      <c r="S100" s="209">
        <f t="shared" si="37"/>
        <v>-0.26605504587155959</v>
      </c>
    </row>
    <row r="101" spans="1:19">
      <c r="A101" s="217">
        <v>2020</v>
      </c>
      <c r="B101">
        <f t="shared" si="38"/>
        <v>691</v>
      </c>
      <c r="C101" s="217">
        <v>872</v>
      </c>
      <c r="D101" s="217">
        <v>22</v>
      </c>
      <c r="E101" s="209">
        <f t="shared" si="36"/>
        <v>0.29377713458755428</v>
      </c>
      <c r="H101" s="217">
        <v>2020</v>
      </c>
      <c r="I101">
        <f t="shared" si="41"/>
        <v>0.22</v>
      </c>
      <c r="J101" s="217">
        <v>0.18099999999999999</v>
      </c>
      <c r="K101">
        <v>0</v>
      </c>
      <c r="L101" s="209">
        <f t="shared" si="39"/>
        <v>-0.1772727272727273</v>
      </c>
      <c r="O101" s="217">
        <v>2020</v>
      </c>
      <c r="P101">
        <f t="shared" si="40"/>
        <v>0.08</v>
      </c>
      <c r="Q101" s="217">
        <v>0.13</v>
      </c>
      <c r="R101" s="49">
        <v>0</v>
      </c>
      <c r="S101" s="209">
        <f t="shared" si="37"/>
        <v>0.625</v>
      </c>
    </row>
    <row r="102" spans="1:19">
      <c r="A102">
        <v>2021</v>
      </c>
      <c r="B102">
        <f t="shared" si="38"/>
        <v>872</v>
      </c>
      <c r="C102">
        <v>720</v>
      </c>
      <c r="D102">
        <v>22</v>
      </c>
      <c r="E102" s="209">
        <f>(C102-B102+D102)/B102</f>
        <v>-0.14908256880733944</v>
      </c>
      <c r="H102">
        <v>2021</v>
      </c>
      <c r="I102">
        <f t="shared" si="41"/>
        <v>0.18099999999999999</v>
      </c>
      <c r="J102">
        <v>0.125</v>
      </c>
      <c r="K102">
        <v>0</v>
      </c>
      <c r="L102" s="209">
        <f t="shared" si="39"/>
        <v>-0.30939226519337015</v>
      </c>
      <c r="O102">
        <v>2021</v>
      </c>
      <c r="P102">
        <f t="shared" si="40"/>
        <v>0.13</v>
      </c>
      <c r="Q102">
        <v>6.8000000000000005E-2</v>
      </c>
      <c r="R102" s="49">
        <v>0</v>
      </c>
      <c r="S102" s="209">
        <f t="shared" si="37"/>
        <v>-0.47692307692307689</v>
      </c>
    </row>
    <row r="103" spans="1:19">
      <c r="A103">
        <v>2022</v>
      </c>
      <c r="B103">
        <f>C102</f>
        <v>720</v>
      </c>
      <c r="C103">
        <v>697</v>
      </c>
      <c r="D103">
        <v>22</v>
      </c>
      <c r="E103" s="209">
        <f t="shared" ref="E103:E106" si="42">(C103-B103+D103)/B103</f>
        <v>-1.3888888888888889E-3</v>
      </c>
      <c r="H103">
        <v>2022</v>
      </c>
      <c r="I103">
        <f t="shared" si="41"/>
        <v>0.125</v>
      </c>
      <c r="J103">
        <v>0.14199999999999999</v>
      </c>
      <c r="K103">
        <v>0</v>
      </c>
      <c r="L103" s="209">
        <f t="shared" si="39"/>
        <v>0.1359999999999999</v>
      </c>
      <c r="O103">
        <v>2022</v>
      </c>
      <c r="P103">
        <f t="shared" si="40"/>
        <v>6.8000000000000005E-2</v>
      </c>
      <c r="Q103">
        <v>5.5E-2</v>
      </c>
      <c r="R103" s="49">
        <v>0</v>
      </c>
      <c r="S103" s="209">
        <f t="shared" si="37"/>
        <v>-0.19117647058823534</v>
      </c>
    </row>
    <row r="104" spans="1:19">
      <c r="A104" s="49">
        <v>2023</v>
      </c>
      <c r="B104" s="49">
        <f>C103</f>
        <v>697</v>
      </c>
      <c r="C104" s="49">
        <v>718</v>
      </c>
      <c r="D104" s="49">
        <v>22</v>
      </c>
      <c r="E104" s="209">
        <f t="shared" si="42"/>
        <v>6.1692969870875178E-2</v>
      </c>
      <c r="H104" s="49">
        <v>2023</v>
      </c>
      <c r="I104" s="49">
        <f t="shared" si="41"/>
        <v>0.14199999999999999</v>
      </c>
      <c r="J104" s="49">
        <v>0.192</v>
      </c>
      <c r="K104" s="49">
        <v>0</v>
      </c>
      <c r="L104" s="209">
        <f t="shared" si="39"/>
        <v>0.35211267605633817</v>
      </c>
      <c r="O104" s="49">
        <v>2023</v>
      </c>
      <c r="P104" s="49">
        <f t="shared" si="40"/>
        <v>5.5E-2</v>
      </c>
      <c r="Q104" s="49">
        <v>5.0999999999999997E-2</v>
      </c>
      <c r="R104" s="49">
        <v>0</v>
      </c>
      <c r="S104" s="209">
        <f t="shared" si="37"/>
        <v>-7.2727272727272793E-2</v>
      </c>
    </row>
    <row r="105" spans="1:19">
      <c r="A105" s="205">
        <v>2024</v>
      </c>
      <c r="B105" s="49">
        <f>C104</f>
        <v>718</v>
      </c>
      <c r="C105" s="49">
        <v>658</v>
      </c>
      <c r="D105" s="49">
        <v>22</v>
      </c>
      <c r="E105" s="209">
        <f t="shared" si="42"/>
        <v>-5.2924791086350974E-2</v>
      </c>
      <c r="H105" s="205">
        <v>2024</v>
      </c>
      <c r="I105" s="49">
        <f t="shared" si="41"/>
        <v>0.192</v>
      </c>
      <c r="J105" s="49">
        <v>0.11799999999999999</v>
      </c>
      <c r="K105" s="49">
        <v>0</v>
      </c>
      <c r="L105" s="209">
        <f t="shared" si="39"/>
        <v>-0.38541666666666669</v>
      </c>
      <c r="O105" s="205">
        <v>2024</v>
      </c>
      <c r="P105" s="49">
        <f t="shared" si="40"/>
        <v>5.0999999999999997E-2</v>
      </c>
      <c r="Q105" s="49">
        <v>3.7999999999999999E-2</v>
      </c>
      <c r="R105" s="49">
        <v>0</v>
      </c>
      <c r="S105" s="209">
        <f t="shared" si="37"/>
        <v>-0.25490196078431371</v>
      </c>
    </row>
    <row r="106" spans="1:19">
      <c r="A106" s="205">
        <v>2025</v>
      </c>
      <c r="B106" s="49">
        <f>C105</f>
        <v>658</v>
      </c>
      <c r="C106" s="49">
        <v>908</v>
      </c>
      <c r="D106" s="49">
        <v>22</v>
      </c>
      <c r="E106" s="209">
        <f t="shared" si="42"/>
        <v>0.41337386018237082</v>
      </c>
      <c r="H106" s="205">
        <v>2025</v>
      </c>
      <c r="I106" s="49">
        <f t="shared" si="41"/>
        <v>0.11799999999999999</v>
      </c>
      <c r="J106" s="49">
        <v>2.9000000000000001E-2</v>
      </c>
      <c r="K106" s="49">
        <v>0</v>
      </c>
      <c r="L106" s="209">
        <f t="shared" si="39"/>
        <v>-0.75423728813559321</v>
      </c>
      <c r="O106" s="205">
        <v>2025</v>
      </c>
      <c r="P106" s="49">
        <f t="shared" si="40"/>
        <v>3.7999999999999999E-2</v>
      </c>
      <c r="Q106" s="49">
        <v>0.16200000000000001</v>
      </c>
      <c r="R106" s="49">
        <v>0</v>
      </c>
      <c r="S106" s="209">
        <f t="shared" si="37"/>
        <v>3.263157894736842</v>
      </c>
    </row>
    <row r="107" spans="1:19">
      <c r="E107" s="209"/>
      <c r="L107" s="209"/>
      <c r="S107" s="209"/>
    </row>
    <row r="108" spans="1:19">
      <c r="A108" s="247" t="s">
        <v>2357</v>
      </c>
      <c r="B108" s="247" t="str">
        <f>'03_Beta_Calculation'!B48</f>
        <v>Hiap Tong</v>
      </c>
      <c r="C108" s="247"/>
      <c r="E108" s="209"/>
      <c r="H108" s="247" t="s">
        <v>2362</v>
      </c>
      <c r="I108" s="247" t="str">
        <f>'03_Beta_Calculation'!B53</f>
        <v>Abundante</v>
      </c>
      <c r="J108" s="293">
        <v>570</v>
      </c>
      <c r="L108" s="209"/>
      <c r="O108" s="247" t="s">
        <v>2381</v>
      </c>
      <c r="P108" s="247"/>
      <c r="Q108" s="247"/>
      <c r="S108" s="209"/>
    </row>
    <row r="109" spans="1:19" ht="43.2">
      <c r="A109" s="214" t="s">
        <v>2304</v>
      </c>
      <c r="B109" s="214" t="s">
        <v>2305</v>
      </c>
      <c r="C109" s="214" t="s">
        <v>2306</v>
      </c>
      <c r="D109" s="214" t="s">
        <v>2307</v>
      </c>
      <c r="E109" s="211" t="s">
        <v>2308</v>
      </c>
      <c r="H109" s="214" t="s">
        <v>2304</v>
      </c>
      <c r="I109" s="214" t="s">
        <v>2305</v>
      </c>
      <c r="J109" s="214" t="s">
        <v>2306</v>
      </c>
      <c r="K109" s="214" t="s">
        <v>2307</v>
      </c>
      <c r="L109" s="211" t="s">
        <v>2308</v>
      </c>
      <c r="O109" s="214" t="s">
        <v>2304</v>
      </c>
      <c r="P109" s="214" t="s">
        <v>2305</v>
      </c>
      <c r="Q109" s="214" t="s">
        <v>2306</v>
      </c>
      <c r="R109" s="214" t="s">
        <v>2307</v>
      </c>
      <c r="S109" s="211" t="s">
        <v>2308</v>
      </c>
    </row>
    <row r="110" spans="1:19">
      <c r="A110">
        <v>2010</v>
      </c>
      <c r="B110">
        <v>0.26500000000000001</v>
      </c>
      <c r="C110">
        <v>0.15</v>
      </c>
      <c r="H110">
        <v>2010</v>
      </c>
      <c r="I110">
        <v>0.34</v>
      </c>
      <c r="J110">
        <v>0.35</v>
      </c>
      <c r="K110">
        <f>0.02+0.01</f>
        <v>0.03</v>
      </c>
      <c r="L110" s="209">
        <f t="shared" ref="L110:L125" si="43">(J110-I110+K110)/I110</f>
        <v>0.11764705882352926</v>
      </c>
      <c r="O110">
        <v>2010</v>
      </c>
    </row>
    <row r="111" spans="1:19">
      <c r="A111">
        <v>2011</v>
      </c>
      <c r="B111">
        <f t="shared" ref="B111:B116" si="44">C110</f>
        <v>0.15</v>
      </c>
      <c r="C111">
        <v>6.9000000000000006E-2</v>
      </c>
      <c r="E111" s="209">
        <f t="shared" ref="E111:E115" si="45">(C111-B111+D111)/B111</f>
        <v>-0.53999999999999992</v>
      </c>
      <c r="H111">
        <v>2011</v>
      </c>
      <c r="I111">
        <f t="shared" ref="I111:I125" si="46">J110</f>
        <v>0.35</v>
      </c>
      <c r="J111">
        <v>0.315</v>
      </c>
      <c r="K111">
        <f>0.015+0.01</f>
        <v>2.5000000000000001E-2</v>
      </c>
      <c r="L111" s="209">
        <f t="shared" si="43"/>
        <v>-2.8571428571428501E-2</v>
      </c>
      <c r="O111">
        <v>2011</v>
      </c>
    </row>
    <row r="112" spans="1:19">
      <c r="A112">
        <v>2012</v>
      </c>
      <c r="B112">
        <f t="shared" si="44"/>
        <v>6.9000000000000006E-2</v>
      </c>
      <c r="C112">
        <v>0.15</v>
      </c>
      <c r="D112">
        <v>5.0000000000000001E-3</v>
      </c>
      <c r="E112" s="209">
        <f t="shared" si="45"/>
        <v>1.2463768115942027</v>
      </c>
      <c r="H112">
        <v>2012</v>
      </c>
      <c r="I112">
        <f t="shared" si="46"/>
        <v>0.315</v>
      </c>
      <c r="J112">
        <v>0.28999999999999998</v>
      </c>
      <c r="K112">
        <f>0.01+0.01</f>
        <v>0.02</v>
      </c>
      <c r="L112" s="209">
        <f t="shared" si="43"/>
        <v>-1.5873015873015942E-2</v>
      </c>
      <c r="O112">
        <v>2012</v>
      </c>
    </row>
    <row r="113" spans="1:19">
      <c r="A113">
        <v>2013</v>
      </c>
      <c r="B113">
        <f t="shared" si="44"/>
        <v>0.15</v>
      </c>
      <c r="C113">
        <v>0.14599999999999999</v>
      </c>
      <c r="D113">
        <v>7.0000000000000001E-3</v>
      </c>
      <c r="E113" s="209">
        <f t="shared" si="45"/>
        <v>1.999999999999998E-2</v>
      </c>
      <c r="H113">
        <v>2013</v>
      </c>
      <c r="I113">
        <f t="shared" si="46"/>
        <v>0.28999999999999998</v>
      </c>
      <c r="J113">
        <v>0.36</v>
      </c>
      <c r="K113">
        <f>0.01+0.015</f>
        <v>2.5000000000000001E-2</v>
      </c>
      <c r="L113" s="209">
        <f t="shared" si="43"/>
        <v>0.32758620689655177</v>
      </c>
      <c r="O113">
        <v>2013</v>
      </c>
    </row>
    <row r="114" spans="1:19">
      <c r="A114">
        <v>2014</v>
      </c>
      <c r="B114">
        <f t="shared" si="44"/>
        <v>0.14599999999999999</v>
      </c>
      <c r="C114">
        <v>0.155</v>
      </c>
      <c r="D114">
        <v>0</v>
      </c>
      <c r="E114" s="209">
        <f t="shared" si="45"/>
        <v>6.1643835616438415E-2</v>
      </c>
      <c r="H114">
        <v>2014</v>
      </c>
      <c r="I114">
        <f t="shared" si="46"/>
        <v>0.36</v>
      </c>
      <c r="J114">
        <v>0.42499999999999999</v>
      </c>
      <c r="K114">
        <f>0.015+0.015</f>
        <v>0.03</v>
      </c>
      <c r="L114" s="209">
        <f t="shared" si="43"/>
        <v>0.2638888888888889</v>
      </c>
      <c r="O114">
        <v>2014</v>
      </c>
    </row>
    <row r="115" spans="1:19">
      <c r="A115">
        <v>2015</v>
      </c>
      <c r="B115">
        <f t="shared" si="44"/>
        <v>0.155</v>
      </c>
      <c r="C115">
        <v>8.1000000000000003E-2</v>
      </c>
      <c r="D115">
        <v>0</v>
      </c>
      <c r="E115" s="209">
        <f t="shared" si="45"/>
        <v>-0.47741935483870968</v>
      </c>
      <c r="H115">
        <v>2015</v>
      </c>
      <c r="I115">
        <f t="shared" si="46"/>
        <v>0.42499999999999999</v>
      </c>
      <c r="J115">
        <v>0.54500000000000004</v>
      </c>
      <c r="K115">
        <f>0.02+0.02</f>
        <v>0.04</v>
      </c>
      <c r="L115" s="209">
        <f t="shared" si="43"/>
        <v>0.37647058823529428</v>
      </c>
      <c r="O115">
        <v>2015</v>
      </c>
    </row>
    <row r="116" spans="1:19">
      <c r="A116" s="217">
        <v>2016</v>
      </c>
      <c r="B116">
        <f t="shared" si="44"/>
        <v>8.1000000000000003E-2</v>
      </c>
      <c r="C116" s="217">
        <v>7.8E-2</v>
      </c>
      <c r="D116" s="218">
        <v>0</v>
      </c>
      <c r="E116" s="209">
        <f t="shared" ref="E116:E120" si="47">(C116-B116+D116)/B116</f>
        <v>-3.703703703703707E-2</v>
      </c>
      <c r="H116" s="217">
        <v>2016</v>
      </c>
      <c r="I116">
        <f t="shared" si="46"/>
        <v>0.54500000000000004</v>
      </c>
      <c r="J116" s="217">
        <v>0.65</v>
      </c>
      <c r="K116" s="217">
        <f>0.02+0.015</f>
        <v>3.5000000000000003E-2</v>
      </c>
      <c r="L116" s="209">
        <f t="shared" si="43"/>
        <v>0.25688073394495409</v>
      </c>
      <c r="O116" s="217">
        <v>2016</v>
      </c>
      <c r="P116" s="217">
        <v>0</v>
      </c>
      <c r="Q116" s="217">
        <v>0</v>
      </c>
      <c r="R116" s="49">
        <v>0</v>
      </c>
      <c r="S116" s="209" t="e">
        <f t="shared" ref="S116:S125" si="48">(Q116-P116+R116)/P116</f>
        <v>#DIV/0!</v>
      </c>
    </row>
    <row r="117" spans="1:19">
      <c r="A117" s="217">
        <v>2017</v>
      </c>
      <c r="B117">
        <f t="shared" ref="B117:B121" si="49">C116</f>
        <v>7.8E-2</v>
      </c>
      <c r="C117" s="217">
        <v>0.12</v>
      </c>
      <c r="D117" s="218">
        <v>0</v>
      </c>
      <c r="E117" s="209">
        <f t="shared" si="47"/>
        <v>0.53846153846153844</v>
      </c>
      <c r="F117" t="s">
        <v>2374</v>
      </c>
      <c r="H117" s="217">
        <v>2017</v>
      </c>
      <c r="I117">
        <f t="shared" si="46"/>
        <v>0.65</v>
      </c>
      <c r="J117" s="217">
        <v>0.46500000000000002</v>
      </c>
      <c r="K117" s="217">
        <f>0.01+0.01</f>
        <v>0.02</v>
      </c>
      <c r="L117" s="209">
        <f t="shared" si="43"/>
        <v>-0.25384615384615383</v>
      </c>
      <c r="O117" s="217">
        <v>2017</v>
      </c>
      <c r="P117">
        <f t="shared" ref="P117:P125" si="50">Q116</f>
        <v>0</v>
      </c>
      <c r="Q117" s="217">
        <v>0</v>
      </c>
      <c r="R117" s="49">
        <v>0</v>
      </c>
      <c r="S117" s="209" t="e">
        <f t="shared" si="48"/>
        <v>#DIV/0!</v>
      </c>
    </row>
    <row r="118" spans="1:19">
      <c r="A118" s="217">
        <v>2018</v>
      </c>
      <c r="B118">
        <f t="shared" si="49"/>
        <v>0.12</v>
      </c>
      <c r="C118" s="217">
        <v>7.1999999999999995E-2</v>
      </c>
      <c r="D118" s="218">
        <v>0</v>
      </c>
      <c r="E118" s="209">
        <f t="shared" si="47"/>
        <v>-0.4</v>
      </c>
      <c r="F118" t="s">
        <v>2375</v>
      </c>
      <c r="H118" s="217">
        <v>2018</v>
      </c>
      <c r="I118">
        <f t="shared" si="46"/>
        <v>0.46500000000000002</v>
      </c>
      <c r="J118" s="217">
        <v>0.23</v>
      </c>
      <c r="K118" s="217">
        <v>0</v>
      </c>
      <c r="L118" s="209">
        <f t="shared" si="43"/>
        <v>-0.5053763440860215</v>
      </c>
      <c r="O118" s="217">
        <v>2018</v>
      </c>
      <c r="P118">
        <f t="shared" si="50"/>
        <v>0</v>
      </c>
      <c r="Q118" s="217">
        <v>0</v>
      </c>
      <c r="R118" s="49">
        <v>0</v>
      </c>
      <c r="S118" s="209" t="e">
        <f t="shared" si="48"/>
        <v>#DIV/0!</v>
      </c>
    </row>
    <row r="119" spans="1:19">
      <c r="A119" s="217">
        <v>2019</v>
      </c>
      <c r="B119">
        <f t="shared" si="49"/>
        <v>7.1999999999999995E-2</v>
      </c>
      <c r="C119" s="217">
        <v>6.8000000000000005E-2</v>
      </c>
      <c r="D119" s="218">
        <v>5.0000000000000001E-4</v>
      </c>
      <c r="E119" s="209">
        <f t="shared" si="47"/>
        <v>-4.8611111111110973E-2</v>
      </c>
      <c r="H119" s="217">
        <v>2019</v>
      </c>
      <c r="I119">
        <f t="shared" si="46"/>
        <v>0.23</v>
      </c>
      <c r="J119" s="217">
        <v>0.105</v>
      </c>
      <c r="K119" s="217">
        <v>0</v>
      </c>
      <c r="L119" s="209">
        <f t="shared" si="43"/>
        <v>-0.54347826086956519</v>
      </c>
      <c r="O119" s="217">
        <v>2019</v>
      </c>
      <c r="P119">
        <f t="shared" si="50"/>
        <v>0</v>
      </c>
      <c r="Q119" s="217">
        <v>0</v>
      </c>
      <c r="R119" s="49">
        <v>0</v>
      </c>
      <c r="S119" s="209" t="e">
        <f t="shared" si="48"/>
        <v>#DIV/0!</v>
      </c>
    </row>
    <row r="120" spans="1:19">
      <c r="A120" s="217">
        <v>2020</v>
      </c>
      <c r="B120">
        <f t="shared" si="49"/>
        <v>6.8000000000000005E-2</v>
      </c>
      <c r="C120" s="217">
        <v>6.0999999999999999E-2</v>
      </c>
      <c r="D120" s="218">
        <v>0</v>
      </c>
      <c r="E120" s="209">
        <f t="shared" si="47"/>
        <v>-0.10294117647058831</v>
      </c>
      <c r="H120" s="217">
        <v>2020</v>
      </c>
      <c r="I120">
        <f t="shared" si="46"/>
        <v>0.105</v>
      </c>
      <c r="J120" s="217">
        <v>7.0999999999999994E-2</v>
      </c>
      <c r="K120" s="217">
        <v>0</v>
      </c>
      <c r="L120" s="209">
        <f t="shared" si="43"/>
        <v>-0.32380952380952382</v>
      </c>
      <c r="O120" s="217">
        <v>2020</v>
      </c>
      <c r="P120">
        <f t="shared" si="50"/>
        <v>0</v>
      </c>
      <c r="Q120" s="217">
        <v>0</v>
      </c>
      <c r="R120" s="49">
        <v>0</v>
      </c>
      <c r="S120" s="209" t="e">
        <f t="shared" si="48"/>
        <v>#DIV/0!</v>
      </c>
    </row>
    <row r="121" spans="1:19">
      <c r="A121">
        <v>2021</v>
      </c>
      <c r="B121">
        <f t="shared" si="49"/>
        <v>6.0999999999999999E-2</v>
      </c>
      <c r="C121">
        <v>6.5000000000000002E-2</v>
      </c>
      <c r="D121">
        <v>0</v>
      </c>
      <c r="E121" s="209">
        <f>(C121-B121+D121)/B121</f>
        <v>6.5573770491803338E-2</v>
      </c>
      <c r="H121">
        <v>2021</v>
      </c>
      <c r="I121">
        <f t="shared" si="46"/>
        <v>7.0999999999999994E-2</v>
      </c>
      <c r="J121">
        <v>0.13900000000000001</v>
      </c>
      <c r="K121">
        <v>0</v>
      </c>
      <c r="L121" s="209">
        <f t="shared" si="43"/>
        <v>0.95774647887323983</v>
      </c>
      <c r="O121">
        <v>2021</v>
      </c>
      <c r="P121">
        <f t="shared" si="50"/>
        <v>0</v>
      </c>
      <c r="Q121" s="217">
        <v>0</v>
      </c>
      <c r="R121" s="49">
        <v>0</v>
      </c>
      <c r="S121" s="209" t="e">
        <f t="shared" si="48"/>
        <v>#DIV/0!</v>
      </c>
    </row>
    <row r="122" spans="1:19">
      <c r="A122">
        <v>2022</v>
      </c>
      <c r="B122">
        <f>C121</f>
        <v>6.5000000000000002E-2</v>
      </c>
      <c r="C122">
        <v>7.3999999999999996E-2</v>
      </c>
      <c r="D122">
        <v>0</v>
      </c>
      <c r="E122" s="209">
        <f t="shared" ref="E122:E125" si="51">(C122-B122+D122)/B122</f>
        <v>0.13846153846153836</v>
      </c>
      <c r="H122">
        <v>2022</v>
      </c>
      <c r="I122">
        <f t="shared" si="46"/>
        <v>0.13900000000000001</v>
      </c>
      <c r="J122">
        <v>0.14000000000000001</v>
      </c>
      <c r="K122">
        <v>0.01</v>
      </c>
      <c r="L122" s="209">
        <f t="shared" si="43"/>
        <v>7.9136690647482022E-2</v>
      </c>
      <c r="O122">
        <v>2022</v>
      </c>
      <c r="P122">
        <f t="shared" si="50"/>
        <v>0</v>
      </c>
      <c r="Q122" s="217">
        <v>0</v>
      </c>
      <c r="R122" s="49">
        <v>0</v>
      </c>
      <c r="S122" s="209" t="e">
        <f t="shared" si="48"/>
        <v>#DIV/0!</v>
      </c>
    </row>
    <row r="123" spans="1:19">
      <c r="A123" s="49">
        <v>2023</v>
      </c>
      <c r="B123" s="49">
        <f>C122</f>
        <v>7.3999999999999996E-2</v>
      </c>
      <c r="C123" s="49">
        <v>0.09</v>
      </c>
      <c r="D123" s="49">
        <v>5.0000000000000001E-3</v>
      </c>
      <c r="E123" s="209">
        <f t="shared" si="51"/>
        <v>0.28378378378378383</v>
      </c>
      <c r="H123" s="49">
        <v>2023</v>
      </c>
      <c r="I123" s="49">
        <f t="shared" si="46"/>
        <v>0.14000000000000001</v>
      </c>
      <c r="J123" s="49">
        <v>0.19</v>
      </c>
      <c r="K123" s="49">
        <v>0</v>
      </c>
      <c r="L123" s="209">
        <f t="shared" si="43"/>
        <v>0.35714285714285704</v>
      </c>
      <c r="O123" s="49">
        <v>2023</v>
      </c>
      <c r="P123" s="49">
        <f t="shared" si="50"/>
        <v>0</v>
      </c>
      <c r="Q123" s="217">
        <v>0</v>
      </c>
      <c r="R123" s="49">
        <v>0</v>
      </c>
      <c r="S123" s="209" t="e">
        <f t="shared" si="48"/>
        <v>#DIV/0!</v>
      </c>
    </row>
    <row r="124" spans="1:19">
      <c r="A124" s="205">
        <v>2024</v>
      </c>
      <c r="B124" s="49">
        <f>C123</f>
        <v>0.09</v>
      </c>
      <c r="C124" s="49">
        <v>8.5000000000000006E-2</v>
      </c>
      <c r="D124" s="49">
        <v>1E-3</v>
      </c>
      <c r="E124" s="209">
        <f t="shared" si="51"/>
        <v>-4.4444444444444342E-2</v>
      </c>
      <c r="H124" s="205">
        <v>2024</v>
      </c>
      <c r="I124" s="49">
        <f t="shared" si="46"/>
        <v>0.19</v>
      </c>
      <c r="J124" s="49">
        <v>0.23499999999999999</v>
      </c>
      <c r="K124" s="49">
        <v>0</v>
      </c>
      <c r="L124" s="209">
        <f t="shared" si="43"/>
        <v>0.2368421052631578</v>
      </c>
      <c r="O124" s="205">
        <v>2024</v>
      </c>
      <c r="P124" s="49">
        <f t="shared" si="50"/>
        <v>0</v>
      </c>
      <c r="Q124" s="217">
        <v>0</v>
      </c>
      <c r="R124" s="49">
        <v>0</v>
      </c>
      <c r="S124" s="209" t="e">
        <f t="shared" si="48"/>
        <v>#DIV/0!</v>
      </c>
    </row>
    <row r="125" spans="1:19">
      <c r="A125" s="205">
        <v>2025</v>
      </c>
      <c r="B125" s="49">
        <f>C124</f>
        <v>8.5000000000000006E-2</v>
      </c>
      <c r="C125" s="49">
        <v>0.114</v>
      </c>
      <c r="D125" s="49">
        <v>1E-3</v>
      </c>
      <c r="E125" s="209">
        <f t="shared" si="51"/>
        <v>0.3529411764705882</v>
      </c>
      <c r="H125" s="205">
        <v>2025</v>
      </c>
      <c r="I125" s="49">
        <f t="shared" si="46"/>
        <v>0.23499999999999999</v>
      </c>
      <c r="J125" s="49">
        <v>0.17</v>
      </c>
      <c r="K125" s="49">
        <v>0</v>
      </c>
      <c r="L125" s="209">
        <f t="shared" si="43"/>
        <v>-0.27659574468085096</v>
      </c>
      <c r="O125" s="205">
        <v>2025</v>
      </c>
      <c r="P125" s="49">
        <f t="shared" si="50"/>
        <v>0</v>
      </c>
      <c r="Q125" s="49">
        <v>0</v>
      </c>
      <c r="R125" s="49">
        <v>0</v>
      </c>
      <c r="S125" s="209" t="e">
        <f t="shared" si="48"/>
        <v>#DIV/0!</v>
      </c>
    </row>
    <row r="126" spans="1:19">
      <c r="E126" s="209"/>
      <c r="L126" s="209"/>
    </row>
    <row r="127" spans="1:19">
      <c r="A127" t="s">
        <v>2358</v>
      </c>
      <c r="B127" t="str">
        <f>'03_Beta_Calculation'!B49</f>
        <v>LS 2 Holdings</v>
      </c>
      <c r="D127" t="s">
        <v>922</v>
      </c>
      <c r="E127" s="209"/>
      <c r="H127" s="247" t="s">
        <v>2363</v>
      </c>
      <c r="I127" s="247" t="str">
        <f>'03_Beta_Calculation'!B54</f>
        <v>Chasen</v>
      </c>
      <c r="J127" s="247" t="s">
        <v>716</v>
      </c>
      <c r="L127" s="209"/>
      <c r="O127" s="247" t="s">
        <v>2382</v>
      </c>
      <c r="P127" s="247"/>
      <c r="Q127" s="247"/>
      <c r="S127" s="209"/>
    </row>
    <row r="128" spans="1:19" ht="43.2">
      <c r="A128" s="214" t="s">
        <v>2304</v>
      </c>
      <c r="B128" s="214" t="s">
        <v>2305</v>
      </c>
      <c r="C128" s="214" t="s">
        <v>2306</v>
      </c>
      <c r="D128" s="214" t="s">
        <v>2307</v>
      </c>
      <c r="E128" s="211" t="s">
        <v>2308</v>
      </c>
      <c r="H128" s="214" t="s">
        <v>2304</v>
      </c>
      <c r="I128" s="214" t="s">
        <v>2305</v>
      </c>
      <c r="J128" s="214" t="s">
        <v>2306</v>
      </c>
      <c r="K128" s="214" t="s">
        <v>2307</v>
      </c>
      <c r="L128" s="211" t="s">
        <v>2308</v>
      </c>
      <c r="O128" s="214" t="s">
        <v>2304</v>
      </c>
      <c r="P128" s="214" t="s">
        <v>2305</v>
      </c>
      <c r="Q128" s="214" t="s">
        <v>2306</v>
      </c>
      <c r="R128" s="214" t="s">
        <v>2307</v>
      </c>
      <c r="S128" s="211" t="s">
        <v>2308</v>
      </c>
    </row>
    <row r="129" spans="1:19">
      <c r="A129">
        <v>2010</v>
      </c>
      <c r="E129" s="209" t="e">
        <f t="shared" ref="E129:E134" si="52">(C129-B129+D129)/B129</f>
        <v>#DIV/0!</v>
      </c>
      <c r="H129">
        <v>2010</v>
      </c>
      <c r="I129">
        <v>0.30659999999999998</v>
      </c>
      <c r="J129">
        <v>0.34820000000000001</v>
      </c>
      <c r="K129">
        <v>5.7239999999999999E-3</v>
      </c>
      <c r="L129" s="209">
        <f t="shared" ref="L129:L144" si="53">(J129-I129+K129)/I129</f>
        <v>0.15435094585779527</v>
      </c>
      <c r="O129">
        <v>2010</v>
      </c>
    </row>
    <row r="130" spans="1:19">
      <c r="A130">
        <v>2011</v>
      </c>
      <c r="E130" s="209" t="e">
        <f t="shared" si="52"/>
        <v>#DIV/0!</v>
      </c>
      <c r="H130">
        <v>2011</v>
      </c>
      <c r="I130">
        <f t="shared" ref="I130:I144" si="54">J129</f>
        <v>0.34820000000000001</v>
      </c>
      <c r="J130">
        <v>0.2051</v>
      </c>
      <c r="K130">
        <v>5.7239999999999999E-3</v>
      </c>
      <c r="L130" s="209">
        <f t="shared" si="53"/>
        <v>-0.39453187823090174</v>
      </c>
      <c r="O130">
        <v>2011</v>
      </c>
    </row>
    <row r="131" spans="1:19">
      <c r="A131">
        <v>2012</v>
      </c>
      <c r="E131" s="209" t="e">
        <f t="shared" si="52"/>
        <v>#DIV/0!</v>
      </c>
      <c r="H131">
        <v>2012</v>
      </c>
      <c r="I131">
        <f t="shared" si="54"/>
        <v>0.2051</v>
      </c>
      <c r="J131">
        <v>0.22420000000000001</v>
      </c>
      <c r="K131">
        <v>5.7239999999999999E-3</v>
      </c>
      <c r="L131" s="209">
        <f t="shared" si="53"/>
        <v>0.12103364212579232</v>
      </c>
      <c r="O131">
        <v>2012</v>
      </c>
    </row>
    <row r="132" spans="1:19">
      <c r="A132">
        <v>2013</v>
      </c>
      <c r="E132" s="209" t="e">
        <f t="shared" si="52"/>
        <v>#DIV/0!</v>
      </c>
      <c r="H132">
        <v>2013</v>
      </c>
      <c r="I132">
        <f t="shared" si="54"/>
        <v>0.22420000000000001</v>
      </c>
      <c r="J132">
        <v>0.16120000000000001</v>
      </c>
      <c r="K132">
        <v>1.908E-3</v>
      </c>
      <c r="L132" s="209">
        <f t="shared" si="53"/>
        <v>-0.27248884924174843</v>
      </c>
      <c r="O132">
        <v>2013</v>
      </c>
    </row>
    <row r="133" spans="1:19">
      <c r="A133">
        <v>2014</v>
      </c>
      <c r="E133" s="209" t="e">
        <f t="shared" si="52"/>
        <v>#DIV/0!</v>
      </c>
      <c r="H133">
        <v>2014</v>
      </c>
      <c r="I133">
        <f t="shared" si="54"/>
        <v>0.16120000000000001</v>
      </c>
      <c r="J133">
        <v>0.13450000000000001</v>
      </c>
      <c r="K133">
        <v>9.5399999999999999E-4</v>
      </c>
      <c r="L133" s="209">
        <f t="shared" si="53"/>
        <v>-0.15971464019851117</v>
      </c>
      <c r="O133">
        <v>2014</v>
      </c>
    </row>
    <row r="134" spans="1:19">
      <c r="A134">
        <v>2015</v>
      </c>
      <c r="E134" s="209" t="e">
        <f t="shared" si="52"/>
        <v>#DIV/0!</v>
      </c>
      <c r="H134">
        <v>2015</v>
      </c>
      <c r="I134">
        <f t="shared" si="54"/>
        <v>0.13450000000000001</v>
      </c>
      <c r="J134">
        <v>3.3000000000000002E-2</v>
      </c>
      <c r="K134">
        <v>9.5399999999999999E-4</v>
      </c>
      <c r="L134" s="209">
        <f t="shared" si="53"/>
        <v>-0.74755390334572491</v>
      </c>
      <c r="O134">
        <v>2015</v>
      </c>
    </row>
    <row r="135" spans="1:19">
      <c r="A135" s="217">
        <v>2016</v>
      </c>
      <c r="C135" s="217"/>
      <c r="D135" s="49">
        <v>0</v>
      </c>
      <c r="E135" s="209" t="e">
        <f t="shared" ref="E135:E139" si="55">(C135-B135+D135)/B135</f>
        <v>#DIV/0!</v>
      </c>
      <c r="H135" s="217">
        <v>2016</v>
      </c>
      <c r="I135">
        <f t="shared" si="54"/>
        <v>3.3000000000000002E-2</v>
      </c>
      <c r="J135" s="217">
        <v>0.03</v>
      </c>
      <c r="K135" s="217">
        <v>5.0000000000000001E-4</v>
      </c>
      <c r="L135" s="209">
        <f t="shared" si="53"/>
        <v>-7.5757575757575829E-2</v>
      </c>
      <c r="O135" s="217">
        <v>2016</v>
      </c>
      <c r="P135" s="217">
        <v>0</v>
      </c>
      <c r="Q135" s="217">
        <v>0</v>
      </c>
      <c r="R135" s="49">
        <v>0</v>
      </c>
      <c r="S135" s="209" t="e">
        <f t="shared" ref="S135:S144" si="56">(Q135-P135+R135)/P135</f>
        <v>#DIV/0!</v>
      </c>
    </row>
    <row r="136" spans="1:19">
      <c r="A136" s="217">
        <v>2017</v>
      </c>
      <c r="C136" s="217"/>
      <c r="D136" s="49">
        <v>0</v>
      </c>
      <c r="E136" s="209" t="e">
        <f t="shared" si="55"/>
        <v>#DIV/0!</v>
      </c>
      <c r="H136" s="217">
        <v>2017</v>
      </c>
      <c r="I136">
        <f t="shared" si="54"/>
        <v>0.03</v>
      </c>
      <c r="J136" s="217">
        <v>7.9000000000000001E-2</v>
      </c>
      <c r="K136" s="217">
        <v>1E-3</v>
      </c>
      <c r="L136" s="209">
        <f t="shared" si="53"/>
        <v>1.6666666666666667</v>
      </c>
      <c r="O136" s="217">
        <v>2017</v>
      </c>
      <c r="P136">
        <f t="shared" ref="P136:P144" si="57">Q135</f>
        <v>0</v>
      </c>
      <c r="Q136" s="217">
        <v>0</v>
      </c>
      <c r="R136" s="49">
        <v>0</v>
      </c>
      <c r="S136" s="209" t="e">
        <f t="shared" si="56"/>
        <v>#DIV/0!</v>
      </c>
    </row>
    <row r="137" spans="1:19">
      <c r="A137" s="217">
        <v>2018</v>
      </c>
      <c r="C137" s="217"/>
      <c r="D137" s="49">
        <v>0</v>
      </c>
      <c r="E137" s="209" t="e">
        <f t="shared" si="55"/>
        <v>#DIV/0!</v>
      </c>
      <c r="H137" s="217">
        <v>2018</v>
      </c>
      <c r="I137">
        <f t="shared" si="54"/>
        <v>7.9000000000000001E-2</v>
      </c>
      <c r="J137" s="217">
        <v>7.0999999999999994E-2</v>
      </c>
      <c r="K137" s="217">
        <v>3.0000000000000001E-3</v>
      </c>
      <c r="L137" s="209">
        <f t="shared" si="53"/>
        <v>-6.3291139240506417E-2</v>
      </c>
      <c r="O137" s="217">
        <v>2018</v>
      </c>
      <c r="P137">
        <f t="shared" si="57"/>
        <v>0</v>
      </c>
      <c r="Q137" s="217">
        <v>0</v>
      </c>
      <c r="R137" s="49">
        <v>0</v>
      </c>
      <c r="S137" s="209" t="e">
        <f t="shared" si="56"/>
        <v>#DIV/0!</v>
      </c>
    </row>
    <row r="138" spans="1:19">
      <c r="A138" s="217">
        <v>2019</v>
      </c>
      <c r="C138" s="217"/>
      <c r="D138" s="49">
        <v>0</v>
      </c>
      <c r="E138" s="209" t="e">
        <f t="shared" si="55"/>
        <v>#DIV/0!</v>
      </c>
      <c r="H138" s="217">
        <v>2019</v>
      </c>
      <c r="I138">
        <f t="shared" si="54"/>
        <v>7.0999999999999994E-2</v>
      </c>
      <c r="J138" s="217">
        <v>6.9000000000000006E-2</v>
      </c>
      <c r="K138" s="217">
        <f>0.003+0.001</f>
        <v>4.0000000000000001E-3</v>
      </c>
      <c r="L138" s="209">
        <f t="shared" si="53"/>
        <v>2.8169014084507216E-2</v>
      </c>
      <c r="O138" s="217">
        <v>2019</v>
      </c>
      <c r="P138">
        <f t="shared" si="57"/>
        <v>0</v>
      </c>
      <c r="Q138" s="217">
        <v>0</v>
      </c>
      <c r="R138" s="49">
        <v>0</v>
      </c>
      <c r="S138" s="209" t="e">
        <f t="shared" si="56"/>
        <v>#DIV/0!</v>
      </c>
    </row>
    <row r="139" spans="1:19">
      <c r="A139" s="217">
        <v>2020</v>
      </c>
      <c r="C139" s="217"/>
      <c r="D139" s="49">
        <v>0</v>
      </c>
      <c r="E139" s="209" t="e">
        <f t="shared" si="55"/>
        <v>#DIV/0!</v>
      </c>
      <c r="H139" s="217">
        <v>2020</v>
      </c>
      <c r="I139">
        <f t="shared" si="54"/>
        <v>6.9000000000000006E-2</v>
      </c>
      <c r="J139" s="217">
        <v>5.6000000000000001E-2</v>
      </c>
      <c r="K139" s="217">
        <v>0</v>
      </c>
      <c r="L139" s="209">
        <f t="shared" si="53"/>
        <v>-0.18840579710144933</v>
      </c>
      <c r="O139" s="217">
        <v>2020</v>
      </c>
      <c r="P139">
        <f t="shared" si="57"/>
        <v>0</v>
      </c>
      <c r="Q139" s="217">
        <v>0</v>
      </c>
      <c r="R139" s="49">
        <v>0</v>
      </c>
      <c r="S139" s="209" t="e">
        <f t="shared" si="56"/>
        <v>#DIV/0!</v>
      </c>
    </row>
    <row r="140" spans="1:19">
      <c r="A140">
        <v>2021</v>
      </c>
      <c r="C140">
        <v>0.88</v>
      </c>
      <c r="D140" s="49">
        <v>0</v>
      </c>
      <c r="E140" s="209" t="e">
        <f>(C140-B140+D140)/B140</f>
        <v>#DIV/0!</v>
      </c>
      <c r="H140">
        <v>2021</v>
      </c>
      <c r="I140">
        <f t="shared" si="54"/>
        <v>5.6000000000000001E-2</v>
      </c>
      <c r="J140">
        <v>7.0000000000000007E-2</v>
      </c>
      <c r="K140">
        <v>0</v>
      </c>
      <c r="L140" s="209">
        <f t="shared" si="53"/>
        <v>0.25000000000000011</v>
      </c>
      <c r="O140">
        <v>2021</v>
      </c>
      <c r="P140">
        <f t="shared" si="57"/>
        <v>0</v>
      </c>
      <c r="Q140" s="217">
        <v>0</v>
      </c>
      <c r="R140" s="49">
        <v>0</v>
      </c>
      <c r="S140" s="209" t="e">
        <f t="shared" si="56"/>
        <v>#DIV/0!</v>
      </c>
    </row>
    <row r="141" spans="1:19">
      <c r="A141">
        <v>2022</v>
      </c>
      <c r="B141">
        <f>C140</f>
        <v>0.88</v>
      </c>
      <c r="C141">
        <v>0.184</v>
      </c>
      <c r="D141" s="49">
        <v>0</v>
      </c>
      <c r="E141" s="209">
        <f t="shared" ref="E141:E144" si="58">(C141-B141+D141)/B141</f>
        <v>-0.79090909090909089</v>
      </c>
      <c r="H141">
        <v>2022</v>
      </c>
      <c r="I141">
        <f t="shared" si="54"/>
        <v>7.0000000000000007E-2</v>
      </c>
      <c r="J141">
        <v>6.0999999999999999E-2</v>
      </c>
      <c r="K141">
        <v>0</v>
      </c>
      <c r="L141" s="209">
        <f t="shared" si="53"/>
        <v>-0.12857142857142867</v>
      </c>
      <c r="O141">
        <v>2022</v>
      </c>
      <c r="P141">
        <f t="shared" si="57"/>
        <v>0</v>
      </c>
      <c r="Q141" s="217">
        <v>0</v>
      </c>
      <c r="R141" s="49">
        <v>0</v>
      </c>
      <c r="S141" s="209" t="e">
        <f t="shared" si="56"/>
        <v>#DIV/0!</v>
      </c>
    </row>
    <row r="142" spans="1:19">
      <c r="A142" s="49">
        <v>2023</v>
      </c>
      <c r="B142" s="49">
        <f>C141</f>
        <v>0.184</v>
      </c>
      <c r="C142" s="49">
        <v>0.08</v>
      </c>
      <c r="D142" s="49">
        <v>0</v>
      </c>
      <c r="E142" s="209">
        <f t="shared" si="58"/>
        <v>-0.56521739130434778</v>
      </c>
      <c r="H142" s="49">
        <v>2023</v>
      </c>
      <c r="I142" s="49">
        <f t="shared" si="54"/>
        <v>6.0999999999999999E-2</v>
      </c>
      <c r="J142" s="49">
        <v>7.6999999999999999E-2</v>
      </c>
      <c r="K142" s="49">
        <v>0</v>
      </c>
      <c r="L142" s="209">
        <f t="shared" si="53"/>
        <v>0.26229508196721313</v>
      </c>
      <c r="O142" s="49">
        <v>2023</v>
      </c>
      <c r="P142" s="49">
        <f t="shared" si="57"/>
        <v>0</v>
      </c>
      <c r="Q142" s="217">
        <v>0</v>
      </c>
      <c r="R142" s="49">
        <v>0</v>
      </c>
      <c r="S142" s="209" t="e">
        <f t="shared" si="56"/>
        <v>#DIV/0!</v>
      </c>
    </row>
    <row r="143" spans="1:19">
      <c r="A143" s="205">
        <v>2024</v>
      </c>
      <c r="B143" s="49">
        <f>C142</f>
        <v>0.08</v>
      </c>
      <c r="C143" s="49">
        <v>6.7000000000000004E-2</v>
      </c>
      <c r="D143" s="49">
        <v>0</v>
      </c>
      <c r="E143" s="209">
        <f t="shared" si="58"/>
        <v>-0.16249999999999998</v>
      </c>
      <c r="H143" s="205">
        <v>2024</v>
      </c>
      <c r="I143" s="49">
        <f t="shared" si="54"/>
        <v>7.6999999999999999E-2</v>
      </c>
      <c r="J143" s="49">
        <v>7.0999999999999994E-2</v>
      </c>
      <c r="K143" s="49">
        <v>0.03</v>
      </c>
      <c r="L143" s="209">
        <f t="shared" si="53"/>
        <v>0.31168831168831163</v>
      </c>
      <c r="O143" s="205">
        <v>2024</v>
      </c>
      <c r="P143" s="49">
        <f t="shared" si="57"/>
        <v>0</v>
      </c>
      <c r="Q143" s="217">
        <v>0</v>
      </c>
      <c r="R143" s="49">
        <v>0</v>
      </c>
      <c r="S143" s="209" t="e">
        <f t="shared" si="56"/>
        <v>#DIV/0!</v>
      </c>
    </row>
    <row r="144" spans="1:19">
      <c r="A144" s="205">
        <v>2025</v>
      </c>
      <c r="B144" s="49">
        <f>C143</f>
        <v>6.7000000000000004E-2</v>
      </c>
      <c r="C144" s="49">
        <v>7.3999999999999996E-2</v>
      </c>
      <c r="D144" s="49">
        <v>0</v>
      </c>
      <c r="E144" s="209">
        <f t="shared" si="58"/>
        <v>0.10447761194029839</v>
      </c>
      <c r="H144" s="205">
        <v>2025</v>
      </c>
      <c r="I144" s="49">
        <f t="shared" si="54"/>
        <v>7.0999999999999994E-2</v>
      </c>
      <c r="J144" s="49">
        <v>8.3000000000000004E-2</v>
      </c>
      <c r="K144" s="49">
        <v>0</v>
      </c>
      <c r="L144" s="209">
        <f t="shared" si="53"/>
        <v>0.16901408450704242</v>
      </c>
      <c r="O144" s="205">
        <v>2025</v>
      </c>
      <c r="P144" s="49">
        <f t="shared" si="57"/>
        <v>0</v>
      </c>
      <c r="Q144" s="49">
        <v>0</v>
      </c>
      <c r="R144" s="49">
        <v>0</v>
      </c>
      <c r="S144" s="209" t="e">
        <f t="shared" si="56"/>
        <v>#DIV/0!</v>
      </c>
    </row>
    <row r="145" spans="5:5">
      <c r="E145" s="209"/>
    </row>
    <row r="195" ht="14.4" customHeight="1"/>
    <row r="208" ht="14.4" customHeight="1"/>
    <row r="240" spans="5:5">
      <c r="E240" s="209"/>
    </row>
  </sheetData>
  <mergeCells count="15">
    <mergeCell ref="A42:C42"/>
    <mergeCell ref="D42:F42"/>
    <mergeCell ref="G42:I42"/>
    <mergeCell ref="A43:C44"/>
    <mergeCell ref="D43:F44"/>
    <mergeCell ref="G43:I44"/>
    <mergeCell ref="G40:I41"/>
    <mergeCell ref="A25:B25"/>
    <mergeCell ref="G25:O25"/>
    <mergeCell ref="A39:C39"/>
    <mergeCell ref="D39:F39"/>
    <mergeCell ref="G39:I39"/>
    <mergeCell ref="A40:C41"/>
    <mergeCell ref="D40:F41"/>
    <mergeCell ref="A26:B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39991-7514-4ED8-92E4-52C3134246E6}">
  <dimension ref="A5:X295"/>
  <sheetViews>
    <sheetView workbookViewId="0">
      <selection activeCell="E27" sqref="E27"/>
    </sheetView>
  </sheetViews>
  <sheetFormatPr defaultRowHeight="14.4"/>
  <cols>
    <col min="2" max="3" width="9.88671875" customWidth="1"/>
    <col min="5" max="5" width="10.21875" customWidth="1"/>
    <col min="6" max="6" width="11.6640625" customWidth="1"/>
    <col min="10" max="10" width="10.5546875" bestFit="1" customWidth="1"/>
  </cols>
  <sheetData>
    <row r="5" spans="1:24">
      <c r="A5" s="206" t="s">
        <v>2353</v>
      </c>
      <c r="B5" s="204"/>
      <c r="C5" s="204"/>
      <c r="D5" s="204"/>
      <c r="E5" s="210"/>
      <c r="F5" s="204"/>
      <c r="G5" s="207" t="s">
        <v>2354</v>
      </c>
      <c r="H5" s="24"/>
      <c r="M5" s="204"/>
      <c r="N5" s="204"/>
      <c r="O5" s="204"/>
      <c r="P5" s="204"/>
      <c r="Q5" s="204"/>
      <c r="R5" s="204"/>
      <c r="S5" s="204"/>
      <c r="T5" s="204"/>
      <c r="U5" s="204"/>
      <c r="V5" s="204"/>
      <c r="W5" s="204"/>
      <c r="X5" s="204"/>
    </row>
    <row r="6" spans="1:24">
      <c r="A6" t="s">
        <v>2366</v>
      </c>
      <c r="B6" t="str">
        <f>'03_Beta_Calculation'!B45</f>
        <v>Audience</v>
      </c>
      <c r="E6" s="209"/>
      <c r="G6" s="212" t="s">
        <v>2367</v>
      </c>
      <c r="H6" s="213">
        <v>1</v>
      </c>
      <c r="I6" s="213">
        <v>2</v>
      </c>
      <c r="J6" s="213">
        <v>3</v>
      </c>
      <c r="K6" s="213">
        <v>4</v>
      </c>
      <c r="L6" s="213">
        <v>5</v>
      </c>
      <c r="M6" s="213">
        <v>6</v>
      </c>
      <c r="N6" s="213">
        <v>7</v>
      </c>
      <c r="O6" s="213">
        <v>8</v>
      </c>
      <c r="P6" s="213">
        <v>9</v>
      </c>
      <c r="Q6" s="213">
        <v>10</v>
      </c>
      <c r="R6" s="213">
        <v>11</v>
      </c>
      <c r="S6" s="213">
        <v>12</v>
      </c>
      <c r="T6" s="213">
        <v>13</v>
      </c>
      <c r="U6" s="213"/>
    </row>
    <row r="7" spans="1:24" ht="43.2">
      <c r="A7" s="40" t="s">
        <v>2304</v>
      </c>
      <c r="B7" s="40" t="s">
        <v>2305</v>
      </c>
      <c r="C7" s="40" t="s">
        <v>2306</v>
      </c>
      <c r="D7" s="40" t="s">
        <v>2307</v>
      </c>
      <c r="E7" s="211" t="s">
        <v>2308</v>
      </c>
      <c r="G7" s="182" t="s">
        <v>2304</v>
      </c>
      <c r="H7" s="182" t="str">
        <f>B6</f>
        <v>Audience</v>
      </c>
      <c r="I7" s="182" t="str">
        <f>B19</f>
        <v>Dezign Format</v>
      </c>
      <c r="J7" s="182" t="str">
        <f>B32</f>
        <v>GKE</v>
      </c>
      <c r="K7" s="223" t="str">
        <f>B45</f>
        <v>CapitaLandInvest</v>
      </c>
      <c r="L7" s="182" t="str">
        <f>B58</f>
        <v>LS 2 Holdings</v>
      </c>
      <c r="M7" s="182" t="str">
        <f>B71</f>
        <v>VCPlus</v>
      </c>
      <c r="N7" s="182" t="str">
        <f>B84</f>
        <v>ZICO Hldgs</v>
      </c>
      <c r="O7" s="182" t="str">
        <f>B97</f>
        <v>UnUsUaL</v>
      </c>
      <c r="P7" s="182" t="str">
        <f>B110</f>
        <v>Abundante</v>
      </c>
      <c r="Q7" s="182" t="str">
        <f>B123</f>
        <v>Frasers Property</v>
      </c>
      <c r="R7" s="182" t="str">
        <f>B136</f>
        <v>SIA Engineering</v>
      </c>
      <c r="S7" s="182" t="str">
        <f>B149</f>
        <v>Wing Tai</v>
      </c>
      <c r="T7" s="223" t="e">
        <f>B162</f>
        <v>#REF!</v>
      </c>
      <c r="U7" s="182" t="s">
        <v>2327</v>
      </c>
    </row>
    <row r="8" spans="1:24">
      <c r="A8" s="217">
        <v>2016</v>
      </c>
      <c r="B8" s="217">
        <v>0.21</v>
      </c>
      <c r="C8" s="217">
        <v>0.17</v>
      </c>
      <c r="D8">
        <v>0</v>
      </c>
      <c r="E8" s="209">
        <f t="shared" ref="E8:E12" si="0">(C8-B8+D8)/B8</f>
        <v>-0.19047619047619038</v>
      </c>
      <c r="G8" s="217">
        <v>2016</v>
      </c>
      <c r="H8" s="219">
        <f t="shared" ref="H8:H13" si="1">E8</f>
        <v>-0.19047619047619038</v>
      </c>
      <c r="I8" s="153">
        <f t="shared" ref="I8:I12" si="2">E21</f>
        <v>-0.22033898305084743</v>
      </c>
      <c r="J8" s="153">
        <f t="shared" ref="J8:J12" si="3">E34</f>
        <v>0.13836477987421386</v>
      </c>
      <c r="K8" s="224">
        <f t="shared" ref="K8:K12" si="4">E47</f>
        <v>0.11442795299938151</v>
      </c>
      <c r="L8" s="225">
        <f t="shared" ref="L8:L12" si="5">E60</f>
        <v>0.1951219512195122</v>
      </c>
      <c r="M8" s="153">
        <f t="shared" ref="M8:M12" si="6">E73</f>
        <v>0.51428571428571412</v>
      </c>
      <c r="N8" s="153">
        <f t="shared" ref="N8:N12" si="7">E86</f>
        <v>2.1499999999999991E-2</v>
      </c>
      <c r="O8" s="153">
        <f t="shared" ref="O8:O12" si="8">E99</f>
        <v>0</v>
      </c>
      <c r="P8" s="153">
        <f t="shared" ref="P8:P12" si="9">E112</f>
        <v>0.10370370370370358</v>
      </c>
      <c r="Q8" s="153">
        <f t="shared" ref="Q8:Q12" si="10">E125</f>
        <v>3.9682539682539687E-2</v>
      </c>
      <c r="R8" s="153">
        <f>E138</f>
        <v>-0.90317460317460307</v>
      </c>
      <c r="S8" s="153">
        <f>E151</f>
        <v>6.8965517241379323E-2</v>
      </c>
      <c r="T8" s="224">
        <f>E164</f>
        <v>-0.20476190476190484</v>
      </c>
      <c r="U8" s="208">
        <f>AVERAGE(H8:T8)-K8-S8-Q8</f>
        <v>-0.24789905011230831</v>
      </c>
    </row>
    <row r="9" spans="1:24">
      <c r="A9" s="217">
        <v>2017</v>
      </c>
      <c r="B9">
        <f t="shared" ref="B9:B13" si="11">C8</f>
        <v>0.17</v>
      </c>
      <c r="C9" s="217">
        <v>0.24</v>
      </c>
      <c r="D9">
        <v>0</v>
      </c>
      <c r="E9" s="209">
        <f t="shared" si="0"/>
        <v>0.41176470588235281</v>
      </c>
      <c r="G9" s="217">
        <v>2017</v>
      </c>
      <c r="H9" s="219">
        <f t="shared" si="1"/>
        <v>0.41176470588235281</v>
      </c>
      <c r="I9" s="153">
        <f t="shared" si="2"/>
        <v>-0.54347826086956519</v>
      </c>
      <c r="J9" s="153">
        <f t="shared" si="3"/>
        <v>6.060606060606049E-2</v>
      </c>
      <c r="K9" s="224">
        <f t="shared" si="4"/>
        <v>0.67656946826758135</v>
      </c>
      <c r="L9" s="225">
        <f t="shared" si="5"/>
        <v>-0.11224489795918377</v>
      </c>
      <c r="M9" s="153">
        <f t="shared" si="6"/>
        <v>0.32075471698113223</v>
      </c>
      <c r="N9" s="153">
        <f t="shared" si="7"/>
        <v>-7.575757575757589E-3</v>
      </c>
      <c r="O9" s="153">
        <f t="shared" si="8"/>
        <v>2.3255813953488393E-2</v>
      </c>
      <c r="P9" s="153">
        <f t="shared" si="9"/>
        <v>-5.4237288135593108E-2</v>
      </c>
      <c r="Q9" s="153">
        <f t="shared" si="10"/>
        <v>0.45634920634920639</v>
      </c>
      <c r="R9" s="153">
        <f t="shared" ref="R9:R17" si="12">E139</f>
        <v>-0.39344262295081966</v>
      </c>
      <c r="S9" s="153">
        <f t="shared" ref="S9:S17" si="13">E152</f>
        <v>0.26724137931034486</v>
      </c>
      <c r="T9" s="224">
        <f t="shared" ref="T9:T17" si="14">E165</f>
        <v>0.1437125748502994</v>
      </c>
      <c r="U9" s="208">
        <f t="shared" ref="U9:U16" si="15">AVERAGE(H9:T9)-K9-S9-Q9</f>
        <v>-1.3040619694110136</v>
      </c>
    </row>
    <row r="10" spans="1:24">
      <c r="A10" s="217">
        <v>2018</v>
      </c>
      <c r="B10">
        <f t="shared" si="11"/>
        <v>0.24</v>
      </c>
      <c r="C10" s="217">
        <v>8.4000000000000005E-2</v>
      </c>
      <c r="D10">
        <v>0</v>
      </c>
      <c r="E10" s="209">
        <f t="shared" si="0"/>
        <v>-0.64999999999999991</v>
      </c>
      <c r="G10" s="217">
        <v>2018</v>
      </c>
      <c r="H10" s="219">
        <f t="shared" si="1"/>
        <v>-0.64999999999999991</v>
      </c>
      <c r="I10" s="153">
        <f t="shared" si="2"/>
        <v>-0.40476190476190477</v>
      </c>
      <c r="J10" s="153">
        <f t="shared" si="3"/>
        <v>-0.41542857142857137</v>
      </c>
      <c r="K10" s="224">
        <f t="shared" si="4"/>
        <v>-0.4559207094418361</v>
      </c>
      <c r="L10" s="225">
        <f t="shared" si="5"/>
        <v>-0.39080459770114939</v>
      </c>
      <c r="M10" s="153">
        <f t="shared" si="6"/>
        <v>-0.77142857142857146</v>
      </c>
      <c r="N10" s="153">
        <f t="shared" si="7"/>
        <v>-0.18974358974358976</v>
      </c>
      <c r="O10" s="153">
        <f t="shared" si="8"/>
        <v>-0.29090909090909089</v>
      </c>
      <c r="P10" s="153">
        <f t="shared" si="9"/>
        <v>-9.0740740740740844E-2</v>
      </c>
      <c r="Q10" s="153">
        <f t="shared" si="10"/>
        <v>-0.12359550561797752</v>
      </c>
      <c r="R10" s="153">
        <f t="shared" si="12"/>
        <v>-0.51351351351351349</v>
      </c>
      <c r="S10" s="153">
        <f t="shared" si="13"/>
        <v>-0.14388489208633093</v>
      </c>
      <c r="T10" s="224">
        <f t="shared" si="14"/>
        <v>-3.6649214659685785E-2</v>
      </c>
      <c r="U10" s="208">
        <f t="shared" si="15"/>
        <v>0.37898719160514738</v>
      </c>
    </row>
    <row r="11" spans="1:24">
      <c r="A11" s="217">
        <v>2019</v>
      </c>
      <c r="B11">
        <f t="shared" si="11"/>
        <v>8.4000000000000005E-2</v>
      </c>
      <c r="C11" s="217">
        <v>8.7999999999999995E-2</v>
      </c>
      <c r="D11">
        <v>0</v>
      </c>
      <c r="E11" s="209">
        <f t="shared" si="0"/>
        <v>4.7619047619047492E-2</v>
      </c>
      <c r="G11" s="217">
        <v>2019</v>
      </c>
      <c r="H11" s="219">
        <f t="shared" si="1"/>
        <v>4.7619047619047492E-2</v>
      </c>
      <c r="I11" s="153">
        <f t="shared" si="2"/>
        <v>-0.86</v>
      </c>
      <c r="J11" s="153">
        <f t="shared" si="3"/>
        <v>2.0833333333333325E-2</v>
      </c>
      <c r="K11" s="224">
        <f t="shared" si="4"/>
        <v>0.2000671366230278</v>
      </c>
      <c r="L11" s="225">
        <f t="shared" si="5"/>
        <v>3.7735849056603807E-2</v>
      </c>
      <c r="M11" s="153">
        <f t="shared" si="6"/>
        <v>-0.125</v>
      </c>
      <c r="N11" s="153">
        <f t="shared" si="7"/>
        <v>0.1298701298701298</v>
      </c>
      <c r="O11" s="153">
        <f t="shared" si="8"/>
        <v>-0.5165384615384615</v>
      </c>
      <c r="P11" s="153">
        <f t="shared" si="9"/>
        <v>-4.4680851063829727E-2</v>
      </c>
      <c r="Q11" s="153">
        <f t="shared" si="10"/>
        <v>5.7894736842105284E-2</v>
      </c>
      <c r="R11" s="153">
        <f t="shared" si="12"/>
        <v>0</v>
      </c>
      <c r="S11" s="153">
        <f t="shared" si="13"/>
        <v>-0.22608695652173905</v>
      </c>
      <c r="T11" s="224">
        <f t="shared" si="14"/>
        <v>4.8913043478260788E-2</v>
      </c>
      <c r="U11" s="208">
        <f t="shared" si="15"/>
        <v>-0.12644207019735726</v>
      </c>
    </row>
    <row r="12" spans="1:24">
      <c r="A12" s="217">
        <v>2020</v>
      </c>
      <c r="B12">
        <f t="shared" si="11"/>
        <v>8.7999999999999995E-2</v>
      </c>
      <c r="C12" s="217">
        <v>8.7999999999999995E-2</v>
      </c>
      <c r="D12">
        <v>0</v>
      </c>
      <c r="E12" s="209">
        <f t="shared" si="0"/>
        <v>0</v>
      </c>
      <c r="G12" s="217">
        <v>2020</v>
      </c>
      <c r="H12" s="219">
        <f t="shared" si="1"/>
        <v>0</v>
      </c>
      <c r="I12" s="153">
        <f t="shared" si="2"/>
        <v>-0.2857142857142857</v>
      </c>
      <c r="J12" s="153">
        <f t="shared" si="3"/>
        <v>-2.1052631578947413E-2</v>
      </c>
      <c r="K12" s="224">
        <f t="shared" si="4"/>
        <v>-0.3047482014388489</v>
      </c>
      <c r="L12" s="225">
        <f t="shared" si="5"/>
        <v>-0.23636363636363633</v>
      </c>
      <c r="M12" s="153">
        <f t="shared" si="6"/>
        <v>1.7142857142857142</v>
      </c>
      <c r="N12" s="153">
        <f t="shared" si="7"/>
        <v>-0.25287356321839072</v>
      </c>
      <c r="O12" s="153">
        <f t="shared" si="8"/>
        <v>2.3333333333333335</v>
      </c>
      <c r="P12" s="153">
        <f t="shared" si="9"/>
        <v>-0.24772727272727268</v>
      </c>
      <c r="Q12" s="153">
        <f t="shared" si="10"/>
        <v>-3.8461538461538941E-3</v>
      </c>
      <c r="R12" s="153">
        <f t="shared" si="12"/>
        <v>-0.11111111111111102</v>
      </c>
      <c r="S12" s="153">
        <f t="shared" si="13"/>
        <v>-3.4883720930232495E-2</v>
      </c>
      <c r="T12" s="224">
        <f t="shared" si="14"/>
        <v>1.0362694300518144E-2</v>
      </c>
      <c r="U12" s="208">
        <f t="shared" si="15"/>
        <v>0.54037508890682662</v>
      </c>
    </row>
    <row r="13" spans="1:24">
      <c r="A13">
        <v>2021</v>
      </c>
      <c r="B13">
        <f t="shared" si="11"/>
        <v>8.7999999999999995E-2</v>
      </c>
      <c r="C13">
        <v>8.7999999999999995E-2</v>
      </c>
      <c r="D13">
        <v>0</v>
      </c>
      <c r="E13" s="209">
        <f>(C13-B13+D13)/B13</f>
        <v>0</v>
      </c>
      <c r="G13">
        <v>2021</v>
      </c>
      <c r="H13" s="153">
        <f t="shared" si="1"/>
        <v>0</v>
      </c>
      <c r="I13" s="153">
        <f>E26</f>
        <v>0</v>
      </c>
      <c r="J13" s="153">
        <f>E39</f>
        <v>-0.55555555555555558</v>
      </c>
      <c r="K13" s="224">
        <f>E52</f>
        <v>-0.18442256042972241</v>
      </c>
      <c r="L13" s="225">
        <f>E65</f>
        <v>0.59523809523809523</v>
      </c>
      <c r="M13" s="153">
        <f>E78</f>
        <v>0.4210526315789474</v>
      </c>
      <c r="N13" s="153">
        <f>E91</f>
        <v>-0.23076923076923075</v>
      </c>
      <c r="O13" s="153">
        <f>E104</f>
        <v>-0.70833333333333326</v>
      </c>
      <c r="P13" s="153">
        <f>E117</f>
        <v>-8.3841463414634235E-2</v>
      </c>
      <c r="Q13" s="153">
        <f>E130</f>
        <v>5.4054054054054085E-2</v>
      </c>
      <c r="R13" s="153">
        <f t="shared" si="12"/>
        <v>0.62499999999999989</v>
      </c>
      <c r="S13" s="153">
        <f t="shared" si="13"/>
        <v>0.17499999999999993</v>
      </c>
      <c r="T13" s="224">
        <f t="shared" si="14"/>
        <v>0.3641025641025642</v>
      </c>
      <c r="U13" s="208">
        <f t="shared" si="15"/>
        <v>-8.3603242803943489E-3</v>
      </c>
    </row>
    <row r="14" spans="1:24">
      <c r="A14">
        <v>2022</v>
      </c>
      <c r="B14">
        <f>C13</f>
        <v>8.7999999999999995E-2</v>
      </c>
      <c r="C14">
        <v>8.7999999999999995E-2</v>
      </c>
      <c r="D14">
        <v>0</v>
      </c>
      <c r="E14" s="209">
        <f t="shared" ref="E14:E17" si="16">(C14-B14+D14)/B14</f>
        <v>0</v>
      </c>
      <c r="G14">
        <v>2022</v>
      </c>
      <c r="H14" s="153">
        <f t="shared" ref="H14:H17" si="17">E14</f>
        <v>0</v>
      </c>
      <c r="I14" s="153">
        <f t="shared" ref="I14:I17" si="18">E27</f>
        <v>0</v>
      </c>
      <c r="J14" s="153">
        <f t="shared" ref="J14:J17" si="19">E40</f>
        <v>-0.10000000000000009</v>
      </c>
      <c r="K14" s="224">
        <f t="shared" ref="K14:K17" si="20">E53</f>
        <v>-0.17918753478018923</v>
      </c>
      <c r="L14" s="225">
        <f t="shared" ref="L14:L17" si="21">E66</f>
        <v>-0.29850746268656719</v>
      </c>
      <c r="M14" s="153">
        <f t="shared" ref="M14:M17" si="22">E79</f>
        <v>-0.33333333333333337</v>
      </c>
      <c r="N14" s="153">
        <f t="shared" ref="N14:N17" si="23">E92</f>
        <v>0.1999999999999999</v>
      </c>
      <c r="O14" s="153">
        <f t="shared" ref="O14:O17" si="24">E105</f>
        <v>-0.5</v>
      </c>
      <c r="P14" s="153">
        <f t="shared" ref="P14:P17" si="25">E118</f>
        <v>-7.7702702702702603E-2</v>
      </c>
      <c r="Q14" s="153">
        <f t="shared" ref="Q14:Q17" si="26">E131</f>
        <v>-2.6315789473684258E-2</v>
      </c>
      <c r="R14" s="153">
        <f t="shared" si="12"/>
        <v>-7.6923076923076858E-2</v>
      </c>
      <c r="S14" s="153">
        <f t="shared" si="13"/>
        <v>-3.3707865168539394E-2</v>
      </c>
      <c r="T14" s="224">
        <f t="shared" si="14"/>
        <v>-0.2105263157894737</v>
      </c>
      <c r="U14" s="208">
        <f t="shared" si="15"/>
        <v>0.11334933704875388</v>
      </c>
    </row>
    <row r="15" spans="1:24">
      <c r="A15" s="49">
        <v>2023</v>
      </c>
      <c r="B15" s="49">
        <f>C14</f>
        <v>8.7999999999999995E-2</v>
      </c>
      <c r="C15" s="49">
        <v>8.7999999999999995E-2</v>
      </c>
      <c r="D15" s="49">
        <v>0</v>
      </c>
      <c r="E15" s="209">
        <f t="shared" si="16"/>
        <v>0</v>
      </c>
      <c r="G15" s="49">
        <v>2023</v>
      </c>
      <c r="H15" s="153">
        <f t="shared" si="17"/>
        <v>0</v>
      </c>
      <c r="I15" s="153">
        <f t="shared" si="18"/>
        <v>-0.6</v>
      </c>
      <c r="J15" s="153">
        <f t="shared" si="19"/>
        <v>-0.41666666666666657</v>
      </c>
      <c r="K15" s="224">
        <f t="shared" si="20"/>
        <v>-0.3655172413793103</v>
      </c>
      <c r="L15" s="225">
        <f t="shared" si="21"/>
        <v>-0.34042553191489361</v>
      </c>
      <c r="M15" s="153">
        <f t="shared" si="22"/>
        <v>-0.22222222222222215</v>
      </c>
      <c r="N15" s="153">
        <f t="shared" si="23"/>
        <v>0</v>
      </c>
      <c r="O15" s="153">
        <f t="shared" si="24"/>
        <v>-0.4285714285714286</v>
      </c>
      <c r="P15" s="153">
        <f t="shared" si="25"/>
        <v>9.7333333333333005E-3</v>
      </c>
      <c r="Q15" s="153">
        <f t="shared" si="26"/>
        <v>-5.5555555555555469E-2</v>
      </c>
      <c r="R15" s="153">
        <f t="shared" si="12"/>
        <v>0.12499999999999996</v>
      </c>
      <c r="S15" s="153">
        <f t="shared" si="13"/>
        <v>-0.1707317073170731</v>
      </c>
      <c r="T15" s="224">
        <f t="shared" si="14"/>
        <v>0.69047619047619035</v>
      </c>
      <c r="U15" s="208">
        <f t="shared" si="15"/>
        <v>0.45530597888135227</v>
      </c>
    </row>
    <row r="16" spans="1:24">
      <c r="A16" s="205">
        <v>2024</v>
      </c>
      <c r="B16" s="49">
        <f>C15</f>
        <v>8.7999999999999995E-2</v>
      </c>
      <c r="C16" s="49">
        <v>8.7999999999999995E-2</v>
      </c>
      <c r="D16" s="49">
        <v>0</v>
      </c>
      <c r="E16" s="209">
        <f t="shared" si="16"/>
        <v>0</v>
      </c>
      <c r="G16" s="49">
        <v>2024</v>
      </c>
      <c r="H16" s="153">
        <f t="shared" si="17"/>
        <v>0</v>
      </c>
      <c r="I16" s="153">
        <f t="shared" si="18"/>
        <v>-0.5</v>
      </c>
      <c r="J16" s="153">
        <f t="shared" si="19"/>
        <v>0.52380952380952372</v>
      </c>
      <c r="K16" s="224">
        <f t="shared" si="20"/>
        <v>-0.22826086956521743</v>
      </c>
      <c r="L16" s="225">
        <f t="shared" si="21"/>
        <v>3.2258064516129059E-2</v>
      </c>
      <c r="M16" s="153">
        <f t="shared" si="22"/>
        <v>-0.14285714285714285</v>
      </c>
      <c r="N16" s="153">
        <f t="shared" si="23"/>
        <v>-4.1666666666666588E-2</v>
      </c>
      <c r="O16" s="153">
        <f t="shared" si="24"/>
        <v>1.4</v>
      </c>
      <c r="P16" s="153">
        <f t="shared" si="25"/>
        <v>-8.3230769230769303E-2</v>
      </c>
      <c r="Q16" s="153">
        <f t="shared" si="26"/>
        <v>6.0606060606060635E-2</v>
      </c>
      <c r="R16" s="153">
        <f t="shared" si="12"/>
        <v>2.592592592592593</v>
      </c>
      <c r="S16" s="153">
        <f t="shared" si="13"/>
        <v>1.5151515151515122E-2</v>
      </c>
      <c r="T16" s="224">
        <f t="shared" si="14"/>
        <v>-5.5511151231257827E-17</v>
      </c>
      <c r="U16" s="208">
        <f t="shared" si="15"/>
        <v>0.43161116368118202</v>
      </c>
    </row>
    <row r="17" spans="1:21">
      <c r="A17" s="205">
        <v>2025</v>
      </c>
      <c r="B17" s="49">
        <f>C16</f>
        <v>8.7999999999999995E-2</v>
      </c>
      <c r="C17" s="49">
        <v>4.3999999999999997E-2</v>
      </c>
      <c r="D17" s="49">
        <v>0</v>
      </c>
      <c r="E17" s="209">
        <f t="shared" si="16"/>
        <v>-0.5</v>
      </c>
      <c r="G17" s="49">
        <v>2025</v>
      </c>
      <c r="H17" s="153">
        <f t="shared" si="17"/>
        <v>-0.5</v>
      </c>
      <c r="I17" s="153">
        <f t="shared" si="18"/>
        <v>0</v>
      </c>
      <c r="J17" s="153">
        <f t="shared" si="19"/>
        <v>0.5625</v>
      </c>
      <c r="K17" s="224">
        <f t="shared" si="20"/>
        <v>0.19718309859154948</v>
      </c>
      <c r="L17" s="225">
        <f t="shared" si="21"/>
        <v>0.40624999999999994</v>
      </c>
      <c r="M17" s="153">
        <f t="shared" si="22"/>
        <v>0.29166666666666663</v>
      </c>
      <c r="N17" s="153">
        <f t="shared" si="23"/>
        <v>-0.1391304347826087</v>
      </c>
      <c r="O17" s="153">
        <f t="shared" si="24"/>
        <v>-0.20833333333333337</v>
      </c>
      <c r="P17" s="153">
        <f t="shared" si="25"/>
        <v>0.1843220338983052</v>
      </c>
      <c r="Q17" s="153">
        <f t="shared" si="26"/>
        <v>0.89705882352941169</v>
      </c>
      <c r="R17" s="153">
        <f t="shared" si="12"/>
        <v>0.46701030927835036</v>
      </c>
      <c r="S17" s="153">
        <f t="shared" si="13"/>
        <v>1.484375</v>
      </c>
      <c r="T17" s="224">
        <f t="shared" si="14"/>
        <v>0.37142857142857144</v>
      </c>
      <c r="U17" s="208">
        <f t="shared" ref="U17" si="27">AVERAGE(H17:T17)-K17-S17</f>
        <v>-1.3727634266471715</v>
      </c>
    </row>
    <row r="18" spans="1:21">
      <c r="E18" s="209"/>
      <c r="Q18" t="s">
        <v>1455</v>
      </c>
      <c r="U18" s="222">
        <f>AVERAGE(U8:U17)</f>
        <v>-0.11398980805249832</v>
      </c>
    </row>
    <row r="19" spans="1:21">
      <c r="A19" t="s">
        <v>2355</v>
      </c>
      <c r="B19" t="str">
        <f>'03_Beta_Calculation'!B46</f>
        <v>Dezign Format</v>
      </c>
      <c r="E19" s="209"/>
    </row>
    <row r="20" spans="1:21" ht="43.2">
      <c r="A20" s="40" t="s">
        <v>2304</v>
      </c>
      <c r="B20" s="40" t="s">
        <v>2305</v>
      </c>
      <c r="C20" s="40" t="s">
        <v>2306</v>
      </c>
      <c r="D20" s="40" t="s">
        <v>2307</v>
      </c>
      <c r="E20" s="211" t="s">
        <v>2308</v>
      </c>
      <c r="S20" s="319" t="s">
        <v>2397</v>
      </c>
      <c r="T20" s="319"/>
      <c r="U20" s="227" t="e">
        <f>12/'15_DB_SGX_Industry'!J568*'03c_Size Premium Method 10Y'!U18</f>
        <v>#DIV/0!</v>
      </c>
    </row>
    <row r="21" spans="1:21">
      <c r="A21" s="217">
        <v>2016</v>
      </c>
      <c r="B21" s="217">
        <v>0.23599999999999999</v>
      </c>
      <c r="C21" s="217">
        <v>0.184</v>
      </c>
      <c r="D21">
        <v>0</v>
      </c>
      <c r="E21" s="209">
        <f t="shared" ref="E21:E25" si="28">(C21-B21+D21)/B21</f>
        <v>-0.22033898305084743</v>
      </c>
      <c r="S21" s="227" t="e">
        <f>13/'15_DB_SGX_Industry'!J568*'03c_Size Premium Method 10Y'!U18</f>
        <v>#DIV/0!</v>
      </c>
    </row>
    <row r="22" spans="1:21">
      <c r="A22" s="217">
        <v>2017</v>
      </c>
      <c r="B22">
        <f t="shared" ref="B22:B26" si="29">C21</f>
        <v>0.184</v>
      </c>
      <c r="C22" s="217">
        <v>8.4000000000000005E-2</v>
      </c>
      <c r="D22">
        <v>0</v>
      </c>
      <c r="E22" s="209">
        <f t="shared" si="28"/>
        <v>-0.54347826086956519</v>
      </c>
      <c r="F22" t="s">
        <v>2376</v>
      </c>
    </row>
    <row r="23" spans="1:21">
      <c r="A23" s="217">
        <v>2018</v>
      </c>
      <c r="B23">
        <f t="shared" si="29"/>
        <v>8.4000000000000005E-2</v>
      </c>
      <c r="C23" s="217">
        <v>0.05</v>
      </c>
      <c r="D23">
        <v>0</v>
      </c>
      <c r="E23" s="209">
        <f t="shared" si="28"/>
        <v>-0.40476190476190477</v>
      </c>
    </row>
    <row r="24" spans="1:21">
      <c r="A24" s="217">
        <v>2019</v>
      </c>
      <c r="B24">
        <f t="shared" si="29"/>
        <v>0.05</v>
      </c>
      <c r="C24" s="217">
        <v>7.0000000000000001E-3</v>
      </c>
      <c r="D24">
        <v>0</v>
      </c>
      <c r="E24" s="209">
        <f t="shared" si="28"/>
        <v>-0.86</v>
      </c>
    </row>
    <row r="25" spans="1:21">
      <c r="A25" s="217">
        <v>2020</v>
      </c>
      <c r="B25">
        <f t="shared" si="29"/>
        <v>7.0000000000000001E-3</v>
      </c>
      <c r="C25" s="217">
        <v>5.0000000000000001E-3</v>
      </c>
      <c r="D25">
        <v>0</v>
      </c>
      <c r="E25" s="209">
        <f t="shared" si="28"/>
        <v>-0.2857142857142857</v>
      </c>
    </row>
    <row r="26" spans="1:21" ht="20.399999999999999" customHeight="1">
      <c r="A26">
        <v>2021</v>
      </c>
      <c r="B26">
        <f t="shared" si="29"/>
        <v>5.0000000000000001E-3</v>
      </c>
      <c r="C26">
        <v>5.0000000000000001E-3</v>
      </c>
      <c r="D26">
        <v>0</v>
      </c>
      <c r="E26" s="209">
        <f>(C26-B26+D26)/B26</f>
        <v>0</v>
      </c>
    </row>
    <row r="27" spans="1:21">
      <c r="A27">
        <v>2022</v>
      </c>
      <c r="B27">
        <f>C26</f>
        <v>5.0000000000000001E-3</v>
      </c>
      <c r="C27">
        <v>5.0000000000000001E-3</v>
      </c>
      <c r="D27">
        <v>0</v>
      </c>
      <c r="E27" s="209">
        <f t="shared" ref="E27:E30" si="30">(C27-B27+D27)/B27</f>
        <v>0</v>
      </c>
    </row>
    <row r="28" spans="1:21">
      <c r="A28" s="49">
        <v>2023</v>
      </c>
      <c r="B28" s="49">
        <f>C27</f>
        <v>5.0000000000000001E-3</v>
      </c>
      <c r="C28" s="49">
        <v>2E-3</v>
      </c>
      <c r="D28" s="49">
        <v>0</v>
      </c>
      <c r="E28" s="209">
        <f t="shared" si="30"/>
        <v>-0.6</v>
      </c>
    </row>
    <row r="29" spans="1:21">
      <c r="A29" s="205">
        <v>2024</v>
      </c>
      <c r="B29" s="49">
        <f>C28</f>
        <v>2E-3</v>
      </c>
      <c r="C29" s="49">
        <v>1E-3</v>
      </c>
      <c r="D29" s="49">
        <v>0</v>
      </c>
      <c r="E29" s="209">
        <f t="shared" si="30"/>
        <v>-0.5</v>
      </c>
    </row>
    <row r="30" spans="1:21">
      <c r="A30" s="205">
        <v>2025</v>
      </c>
      <c r="B30" s="49">
        <f>C29</f>
        <v>1E-3</v>
      </c>
      <c r="C30" s="49">
        <v>1E-3</v>
      </c>
      <c r="D30" s="49">
        <v>0</v>
      </c>
      <c r="E30" s="209">
        <f t="shared" si="30"/>
        <v>0</v>
      </c>
    </row>
    <row r="31" spans="1:21">
      <c r="E31" s="209"/>
    </row>
    <row r="32" spans="1:21">
      <c r="A32" t="s">
        <v>2356</v>
      </c>
      <c r="B32" t="str">
        <f>'03_Beta_Calculation'!B47</f>
        <v>GKE</v>
      </c>
      <c r="E32" s="209"/>
      <c r="M32" t="s">
        <v>2373</v>
      </c>
    </row>
    <row r="33" spans="1:21" ht="43.2">
      <c r="A33" s="40" t="s">
        <v>2304</v>
      </c>
      <c r="B33" s="40" t="s">
        <v>2305</v>
      </c>
      <c r="C33" s="40" t="s">
        <v>2306</v>
      </c>
      <c r="D33" s="40" t="s">
        <v>2307</v>
      </c>
      <c r="E33" s="211" t="s">
        <v>2308</v>
      </c>
      <c r="G33" s="314" t="s">
        <v>2368</v>
      </c>
      <c r="H33" s="314"/>
      <c r="I33" s="40" t="s">
        <v>2331</v>
      </c>
      <c r="J33" s="40" t="s">
        <v>2332</v>
      </c>
      <c r="K33" s="40" t="s">
        <v>2333</v>
      </c>
      <c r="L33">
        <v>1</v>
      </c>
      <c r="M33" s="302" t="s">
        <v>2372</v>
      </c>
      <c r="N33" s="302"/>
      <c r="O33" s="302"/>
      <c r="P33" s="302"/>
      <c r="Q33" s="302"/>
      <c r="R33" s="302"/>
      <c r="S33" s="302"/>
      <c r="T33" s="302"/>
      <c r="U33" s="302"/>
    </row>
    <row r="34" spans="1:21">
      <c r="A34" s="217">
        <v>2016</v>
      </c>
      <c r="B34" s="217">
        <v>0.159</v>
      </c>
      <c r="C34" s="217">
        <v>0.16500000000000001</v>
      </c>
      <c r="D34" s="217">
        <v>1.6E-2</v>
      </c>
      <c r="E34" s="209">
        <f t="shared" ref="E34:E38" si="31">(C34-B34+D34)/B34</f>
        <v>0.13836477987421386</v>
      </c>
      <c r="G34" s="317" t="s">
        <v>2334</v>
      </c>
      <c r="H34" s="317"/>
      <c r="I34" s="216">
        <f>U18</f>
        <v>-0.11398980805249832</v>
      </c>
      <c r="J34" s="215">
        <f>(' 04_CAPM'!D4+('03_Beta_Calculation'!E59*' 04_CAPM'!D7))%</f>
        <v>4.6857937522384832E-2</v>
      </c>
      <c r="K34" s="216">
        <f>I34-J34</f>
        <v>-0.16084774557488316</v>
      </c>
    </row>
    <row r="35" spans="1:21">
      <c r="A35" s="217">
        <v>2017</v>
      </c>
      <c r="B35">
        <f t="shared" ref="B35:B39" si="32">C34</f>
        <v>0.16500000000000001</v>
      </c>
      <c r="C35" s="217">
        <v>0.17499999999999999</v>
      </c>
      <c r="D35" s="220">
        <v>0</v>
      </c>
      <c r="E35" s="209">
        <f t="shared" si="31"/>
        <v>6.060606060606049E-2</v>
      </c>
      <c r="G35" t="s">
        <v>2398</v>
      </c>
      <c r="I35" s="58" t="e">
        <f>U20</f>
        <v>#DIV/0!</v>
      </c>
      <c r="J35" s="153">
        <f>J34</f>
        <v>4.6857937522384832E-2</v>
      </c>
      <c r="K35" s="216" t="e">
        <f>I35-J35</f>
        <v>#DIV/0!</v>
      </c>
      <c r="L35">
        <v>2</v>
      </c>
      <c r="M35" t="s">
        <v>2378</v>
      </c>
    </row>
    <row r="36" spans="1:21">
      <c r="A36" s="217">
        <v>2018</v>
      </c>
      <c r="B36">
        <f t="shared" si="32"/>
        <v>0.17499999999999999</v>
      </c>
      <c r="C36" s="217">
        <v>9.6000000000000002E-2</v>
      </c>
      <c r="D36" s="217">
        <v>6.3E-3</v>
      </c>
      <c r="E36" s="209">
        <f t="shared" si="31"/>
        <v>-0.41542857142857137</v>
      </c>
      <c r="G36" t="s">
        <v>2335</v>
      </c>
    </row>
    <row r="37" spans="1:21">
      <c r="A37" s="217">
        <v>2019</v>
      </c>
      <c r="B37">
        <f t="shared" si="32"/>
        <v>9.6000000000000002E-2</v>
      </c>
      <c r="C37" s="217">
        <v>9.5000000000000001E-2</v>
      </c>
      <c r="D37" s="217">
        <v>3.0000000000000001E-3</v>
      </c>
      <c r="E37" s="209">
        <f t="shared" si="31"/>
        <v>2.0833333333333325E-2</v>
      </c>
      <c r="G37" s="55" t="s">
        <v>2369</v>
      </c>
      <c r="L37">
        <v>3</v>
      </c>
      <c r="M37" t="s">
        <v>2379</v>
      </c>
    </row>
    <row r="38" spans="1:21">
      <c r="A38" s="217">
        <v>2020</v>
      </c>
      <c r="B38">
        <f t="shared" si="32"/>
        <v>9.5000000000000001E-2</v>
      </c>
      <c r="C38" s="217">
        <v>0.09</v>
      </c>
      <c r="D38" s="217">
        <v>3.0000000000000001E-3</v>
      </c>
      <c r="E38" s="209">
        <f t="shared" si="31"/>
        <v>-2.1052631578947413E-2</v>
      </c>
      <c r="G38" s="55" t="s">
        <v>2370</v>
      </c>
    </row>
    <row r="39" spans="1:21">
      <c r="A39">
        <v>2021</v>
      </c>
      <c r="B39">
        <f t="shared" si="32"/>
        <v>0.09</v>
      </c>
      <c r="C39">
        <v>0.04</v>
      </c>
      <c r="D39">
        <v>0</v>
      </c>
      <c r="E39" s="209">
        <f>(C39-B39+D39)/B39</f>
        <v>-0.55555555555555558</v>
      </c>
      <c r="G39" s="55" t="s">
        <v>2371</v>
      </c>
    </row>
    <row r="40" spans="1:21">
      <c r="A40">
        <v>2022</v>
      </c>
      <c r="B40">
        <f>C39</f>
        <v>0.04</v>
      </c>
      <c r="C40">
        <v>3.5999999999999997E-2</v>
      </c>
      <c r="D40">
        <v>0</v>
      </c>
      <c r="E40" s="209">
        <f t="shared" ref="E40:E43" si="33">(C40-B40+D40)/B40</f>
        <v>-0.10000000000000009</v>
      </c>
    </row>
    <row r="41" spans="1:21">
      <c r="A41" s="49">
        <v>2023</v>
      </c>
      <c r="B41" s="49">
        <f>C40</f>
        <v>3.5999999999999997E-2</v>
      </c>
      <c r="C41" s="49">
        <v>2.1000000000000001E-2</v>
      </c>
      <c r="D41" s="49">
        <v>0</v>
      </c>
      <c r="E41" s="209">
        <f t="shared" si="33"/>
        <v>-0.41666666666666657</v>
      </c>
    </row>
    <row r="42" spans="1:21">
      <c r="A42" s="205">
        <v>2024</v>
      </c>
      <c r="B42" s="49">
        <f>C41</f>
        <v>2.1000000000000001E-2</v>
      </c>
      <c r="C42" s="49">
        <v>3.2000000000000001E-2</v>
      </c>
      <c r="D42" s="49">
        <v>0</v>
      </c>
      <c r="E42" s="209">
        <f t="shared" si="33"/>
        <v>0.52380952380952372</v>
      </c>
    </row>
    <row r="43" spans="1:21">
      <c r="A43" s="205">
        <v>2025</v>
      </c>
      <c r="B43" s="49">
        <f>C42</f>
        <v>3.2000000000000001E-2</v>
      </c>
      <c r="C43" s="49">
        <v>0.05</v>
      </c>
      <c r="D43" s="49">
        <v>0</v>
      </c>
      <c r="E43" s="209">
        <f t="shared" si="33"/>
        <v>0.5625</v>
      </c>
      <c r="G43" s="315" t="s">
        <v>2200</v>
      </c>
      <c r="H43" s="315"/>
      <c r="I43" s="315"/>
      <c r="J43" s="315" t="s">
        <v>2201</v>
      </c>
      <c r="K43" s="315"/>
      <c r="L43" s="315"/>
      <c r="M43" s="315" t="s">
        <v>2202</v>
      </c>
      <c r="N43" s="315"/>
      <c r="O43" s="315"/>
    </row>
    <row r="44" spans="1:21">
      <c r="E44" s="209"/>
      <c r="G44" s="316" t="s">
        <v>2388</v>
      </c>
      <c r="H44" s="316"/>
      <c r="I44" s="316"/>
      <c r="J44" s="313" t="s">
        <v>2391</v>
      </c>
      <c r="K44" s="313"/>
      <c r="L44" s="313"/>
      <c r="M44" s="313" t="s">
        <v>2396</v>
      </c>
      <c r="N44" s="313"/>
      <c r="O44" s="313"/>
    </row>
    <row r="45" spans="1:21">
      <c r="A45" t="s">
        <v>2357</v>
      </c>
      <c r="B45" t="str">
        <f>'03_Beta_Calculation'!B19</f>
        <v>CapitaLandInvest</v>
      </c>
      <c r="E45" s="209"/>
      <c r="G45" s="316"/>
      <c r="H45" s="316"/>
      <c r="I45" s="316"/>
      <c r="J45" s="313"/>
      <c r="K45" s="313"/>
      <c r="L45" s="313"/>
      <c r="M45" s="313"/>
      <c r="N45" s="313"/>
      <c r="O45" s="313"/>
    </row>
    <row r="46" spans="1:21" ht="43.2">
      <c r="A46" s="40" t="s">
        <v>2304</v>
      </c>
      <c r="B46" s="40" t="s">
        <v>2305</v>
      </c>
      <c r="C46" s="40" t="s">
        <v>2306</v>
      </c>
      <c r="D46" s="40" t="s">
        <v>2307</v>
      </c>
      <c r="E46" s="211" t="s">
        <v>2308</v>
      </c>
      <c r="G46" s="318" t="s">
        <v>2389</v>
      </c>
      <c r="H46" s="318"/>
      <c r="I46" s="318"/>
      <c r="J46" s="313" t="s">
        <v>2392</v>
      </c>
      <c r="K46" s="313"/>
      <c r="L46" s="313"/>
      <c r="M46" s="313" t="s">
        <v>2394</v>
      </c>
      <c r="N46" s="313"/>
      <c r="O46" s="313"/>
    </row>
    <row r="47" spans="1:21">
      <c r="A47" s="217">
        <v>2016</v>
      </c>
      <c r="B47" s="217">
        <v>0.32340000000000002</v>
      </c>
      <c r="C47" s="217">
        <v>0.3498</v>
      </c>
      <c r="D47" s="218">
        <f>0.005682+0.00303+0.001894</f>
        <v>1.0606000000000001E-2</v>
      </c>
      <c r="E47" s="209">
        <f t="shared" ref="E47:E51" si="34">(C47-B47+D47)/B47</f>
        <v>0.11442795299938151</v>
      </c>
      <c r="G47" s="318" t="s">
        <v>2390</v>
      </c>
      <c r="H47" s="318"/>
      <c r="I47" s="318"/>
      <c r="J47" s="313" t="s">
        <v>2393</v>
      </c>
      <c r="K47" s="313"/>
      <c r="L47" s="313"/>
      <c r="M47" s="313" t="s">
        <v>2395</v>
      </c>
      <c r="N47" s="313"/>
      <c r="O47" s="313"/>
    </row>
    <row r="48" spans="1:21">
      <c r="A48" s="217">
        <v>2017</v>
      </c>
      <c r="B48">
        <f t="shared" ref="B48:B52" si="35">C47</f>
        <v>0.3498</v>
      </c>
      <c r="C48" s="217">
        <v>0.57509999999999994</v>
      </c>
      <c r="D48" s="218">
        <f>0.003788+0.002273+0.005303</f>
        <v>1.1364000000000001E-2</v>
      </c>
      <c r="E48" s="209">
        <f t="shared" si="34"/>
        <v>0.67656946826758135</v>
      </c>
      <c r="F48" t="s">
        <v>2374</v>
      </c>
      <c r="G48" s="318"/>
      <c r="H48" s="318"/>
      <c r="I48" s="318"/>
      <c r="J48" s="313"/>
      <c r="K48" s="313"/>
      <c r="L48" s="313"/>
      <c r="M48" s="313"/>
      <c r="N48" s="313"/>
      <c r="O48" s="313"/>
    </row>
    <row r="49" spans="1:7">
      <c r="A49" s="217">
        <v>2018</v>
      </c>
      <c r="B49">
        <f t="shared" si="35"/>
        <v>0.57509999999999994</v>
      </c>
      <c r="C49" s="217">
        <v>0.2979</v>
      </c>
      <c r="D49" s="218">
        <f>0.0072+0.0078</f>
        <v>1.4999999999999999E-2</v>
      </c>
      <c r="E49" s="209">
        <f t="shared" si="34"/>
        <v>-0.4559207094418361</v>
      </c>
      <c r="F49" t="s">
        <v>2375</v>
      </c>
      <c r="G49" s="55"/>
    </row>
    <row r="50" spans="1:7">
      <c r="A50" s="217">
        <v>2019</v>
      </c>
      <c r="B50">
        <f t="shared" si="35"/>
        <v>0.2979</v>
      </c>
      <c r="C50" s="217">
        <v>0.34749999999999998</v>
      </c>
      <c r="D50" s="218">
        <f>0.0032+0.0068</f>
        <v>0.01</v>
      </c>
      <c r="E50" s="209">
        <f t="shared" si="34"/>
        <v>0.2000671366230278</v>
      </c>
      <c r="G50" s="55"/>
    </row>
    <row r="51" spans="1:7">
      <c r="A51" s="217">
        <v>2020</v>
      </c>
      <c r="B51">
        <f t="shared" si="35"/>
        <v>0.34749999999999998</v>
      </c>
      <c r="C51" s="217">
        <v>0.22339999999999999</v>
      </c>
      <c r="D51" s="218">
        <f>0.0032+0.015</f>
        <v>1.8200000000000001E-2</v>
      </c>
      <c r="E51" s="209">
        <f t="shared" si="34"/>
        <v>-0.3047482014388489</v>
      </c>
      <c r="G51" s="55"/>
    </row>
    <row r="52" spans="1:7">
      <c r="A52">
        <v>2021</v>
      </c>
      <c r="B52">
        <f t="shared" si="35"/>
        <v>0.22339999999999999</v>
      </c>
      <c r="C52">
        <v>0.1797</v>
      </c>
      <c r="D52">
        <v>2.5000000000000001E-3</v>
      </c>
      <c r="E52" s="209">
        <f>(C52-B52+D52)/B52</f>
        <v>-0.18442256042972241</v>
      </c>
    </row>
    <row r="53" spans="1:7">
      <c r="A53">
        <v>2022</v>
      </c>
      <c r="B53">
        <f>C52</f>
        <v>0.1797</v>
      </c>
      <c r="C53">
        <v>0.14499999999999999</v>
      </c>
      <c r="D53">
        <v>2.5000000000000001E-3</v>
      </c>
      <c r="E53" s="209">
        <f t="shared" ref="E53:E56" si="36">(C53-B53+D53)/B53</f>
        <v>-0.17918753478018923</v>
      </c>
    </row>
    <row r="54" spans="1:7">
      <c r="A54" s="49">
        <v>2023</v>
      </c>
      <c r="B54" s="49">
        <f>C53</f>
        <v>0.14499999999999999</v>
      </c>
      <c r="C54" s="49">
        <v>9.1999999999999998E-2</v>
      </c>
      <c r="D54" s="49">
        <v>0</v>
      </c>
      <c r="E54" s="209">
        <f t="shared" si="36"/>
        <v>-0.3655172413793103</v>
      </c>
    </row>
    <row r="55" spans="1:7">
      <c r="A55" s="205">
        <v>2024</v>
      </c>
      <c r="B55" s="49">
        <f>C54</f>
        <v>9.1999999999999998E-2</v>
      </c>
      <c r="C55" s="49">
        <v>7.0999999999999994E-2</v>
      </c>
      <c r="D55" s="49">
        <v>0</v>
      </c>
      <c r="E55" s="209">
        <f t="shared" si="36"/>
        <v>-0.22826086956521743</v>
      </c>
    </row>
    <row r="56" spans="1:7">
      <c r="A56" s="205">
        <v>2025</v>
      </c>
      <c r="B56" s="49">
        <f>C55</f>
        <v>7.0999999999999994E-2</v>
      </c>
      <c r="C56" s="49">
        <v>8.5000000000000006E-2</v>
      </c>
      <c r="D56" s="49">
        <v>0</v>
      </c>
      <c r="E56" s="209">
        <f t="shared" si="36"/>
        <v>0.19718309859154948</v>
      </c>
    </row>
    <row r="57" spans="1:7">
      <c r="E57" s="209"/>
    </row>
    <row r="58" spans="1:7">
      <c r="A58" t="s">
        <v>2358</v>
      </c>
      <c r="B58" t="str">
        <f>'03_Beta_Calculation'!B49</f>
        <v>LS 2 Holdings</v>
      </c>
      <c r="E58" s="209"/>
    </row>
    <row r="59" spans="1:7" ht="43.2">
      <c r="A59" s="40" t="s">
        <v>2304</v>
      </c>
      <c r="B59" s="40" t="s">
        <v>2305</v>
      </c>
      <c r="C59" s="40" t="s">
        <v>2306</v>
      </c>
      <c r="D59" s="40" t="s">
        <v>2307</v>
      </c>
      <c r="E59" s="211" t="s">
        <v>2308</v>
      </c>
    </row>
    <row r="60" spans="1:7">
      <c r="A60" s="217">
        <v>2016</v>
      </c>
      <c r="B60" s="217">
        <v>8.2000000000000003E-2</v>
      </c>
      <c r="C60" s="217">
        <v>9.8000000000000004E-2</v>
      </c>
      <c r="D60" s="49">
        <v>0</v>
      </c>
      <c r="E60" s="209">
        <f t="shared" ref="E60:E64" si="37">(C60-B60+D60)/B60</f>
        <v>0.1951219512195122</v>
      </c>
    </row>
    <row r="61" spans="1:7">
      <c r="A61" s="217">
        <v>2017</v>
      </c>
      <c r="B61">
        <f t="shared" ref="B61:B65" si="38">C60</f>
        <v>9.8000000000000004E-2</v>
      </c>
      <c r="C61" s="217">
        <v>8.6999999999999994E-2</v>
      </c>
      <c r="D61" s="49">
        <v>0</v>
      </c>
      <c r="E61" s="209">
        <f t="shared" si="37"/>
        <v>-0.11224489795918377</v>
      </c>
    </row>
    <row r="62" spans="1:7">
      <c r="A62" s="217">
        <v>2018</v>
      </c>
      <c r="B62">
        <f t="shared" si="38"/>
        <v>8.6999999999999994E-2</v>
      </c>
      <c r="C62" s="217">
        <v>5.2999999999999999E-2</v>
      </c>
      <c r="D62" s="49">
        <v>0</v>
      </c>
      <c r="E62" s="209">
        <f t="shared" si="37"/>
        <v>-0.39080459770114939</v>
      </c>
    </row>
    <row r="63" spans="1:7">
      <c r="A63" s="217">
        <v>2019</v>
      </c>
      <c r="B63">
        <f t="shared" si="38"/>
        <v>5.2999999999999999E-2</v>
      </c>
      <c r="C63" s="217">
        <v>5.5E-2</v>
      </c>
      <c r="D63" s="49">
        <v>0</v>
      </c>
      <c r="E63" s="209">
        <f t="shared" si="37"/>
        <v>3.7735849056603807E-2</v>
      </c>
    </row>
    <row r="64" spans="1:7">
      <c r="A64" s="217">
        <v>2020</v>
      </c>
      <c r="B64">
        <f t="shared" si="38"/>
        <v>5.5E-2</v>
      </c>
      <c r="C64" s="217">
        <v>4.2000000000000003E-2</v>
      </c>
      <c r="D64" s="49">
        <v>0</v>
      </c>
      <c r="E64" s="209">
        <f t="shared" si="37"/>
        <v>-0.23636363636363633</v>
      </c>
    </row>
    <row r="65" spans="1:5">
      <c r="A65">
        <v>2021</v>
      </c>
      <c r="B65">
        <f t="shared" si="38"/>
        <v>4.2000000000000003E-2</v>
      </c>
      <c r="C65">
        <v>6.7000000000000004E-2</v>
      </c>
      <c r="D65" s="49">
        <v>0</v>
      </c>
      <c r="E65" s="209">
        <f>(C65-B65+D65)/B65</f>
        <v>0.59523809523809523</v>
      </c>
    </row>
    <row r="66" spans="1:5">
      <c r="A66">
        <v>2022</v>
      </c>
      <c r="B66">
        <f>C65</f>
        <v>6.7000000000000004E-2</v>
      </c>
      <c r="C66">
        <v>4.7E-2</v>
      </c>
      <c r="D66" s="49">
        <v>0</v>
      </c>
      <c r="E66" s="209">
        <f t="shared" ref="E66:E69" si="39">(C66-B66+D66)/B66</f>
        <v>-0.29850746268656719</v>
      </c>
    </row>
    <row r="67" spans="1:5">
      <c r="A67" s="49">
        <v>2023</v>
      </c>
      <c r="B67" s="49">
        <f>C66</f>
        <v>4.7E-2</v>
      </c>
      <c r="C67" s="49">
        <v>3.1E-2</v>
      </c>
      <c r="D67" s="49">
        <v>0</v>
      </c>
      <c r="E67" s="209">
        <f t="shared" si="39"/>
        <v>-0.34042553191489361</v>
      </c>
    </row>
    <row r="68" spans="1:5">
      <c r="A68" s="205">
        <v>2024</v>
      </c>
      <c r="B68" s="49">
        <f>C67</f>
        <v>3.1E-2</v>
      </c>
      <c r="C68" s="49">
        <v>3.2000000000000001E-2</v>
      </c>
      <c r="D68" s="49">
        <v>0</v>
      </c>
      <c r="E68" s="209">
        <f t="shared" si="39"/>
        <v>3.2258064516129059E-2</v>
      </c>
    </row>
    <row r="69" spans="1:5">
      <c r="A69" s="205">
        <v>2025</v>
      </c>
      <c r="B69" s="49">
        <f>C68</f>
        <v>3.2000000000000001E-2</v>
      </c>
      <c r="C69" s="49">
        <v>4.4999999999999998E-2</v>
      </c>
      <c r="D69" s="49">
        <v>0</v>
      </c>
      <c r="E69" s="209">
        <f t="shared" si="39"/>
        <v>0.40624999999999994</v>
      </c>
    </row>
    <row r="70" spans="1:5">
      <c r="E70" s="209"/>
    </row>
    <row r="71" spans="1:5">
      <c r="A71" t="s">
        <v>2359</v>
      </c>
      <c r="B71" t="str">
        <f>'03_Beta_Calculation'!B50</f>
        <v>VCPlus</v>
      </c>
      <c r="E71" s="209"/>
    </row>
    <row r="72" spans="1:5" ht="43.2">
      <c r="A72" s="40" t="s">
        <v>2304</v>
      </c>
      <c r="B72" s="40" t="s">
        <v>2305</v>
      </c>
      <c r="C72" s="40" t="s">
        <v>2306</v>
      </c>
      <c r="D72" s="40" t="s">
        <v>2307</v>
      </c>
      <c r="E72" s="211" t="s">
        <v>2308</v>
      </c>
    </row>
    <row r="73" spans="1:5">
      <c r="A73" s="217">
        <v>2016</v>
      </c>
      <c r="B73" s="217">
        <v>3.5000000000000003E-2</v>
      </c>
      <c r="C73" s="217">
        <v>5.2999999999999999E-2</v>
      </c>
      <c r="D73" s="49">
        <v>0</v>
      </c>
      <c r="E73" s="209">
        <f t="shared" ref="E73:E77" si="40">(C73-B73+D73)/B73</f>
        <v>0.51428571428571412</v>
      </c>
    </row>
    <row r="74" spans="1:5">
      <c r="A74" s="217">
        <v>2017</v>
      </c>
      <c r="B74">
        <f t="shared" ref="B74:B78" si="41">C73</f>
        <v>5.2999999999999999E-2</v>
      </c>
      <c r="C74" s="217">
        <v>7.0000000000000007E-2</v>
      </c>
      <c r="D74" s="49">
        <v>0</v>
      </c>
      <c r="E74" s="209">
        <f t="shared" si="40"/>
        <v>0.32075471698113223</v>
      </c>
    </row>
    <row r="75" spans="1:5">
      <c r="A75" s="217">
        <v>2018</v>
      </c>
      <c r="B75">
        <f t="shared" si="41"/>
        <v>7.0000000000000007E-2</v>
      </c>
      <c r="C75" s="217">
        <v>1.6E-2</v>
      </c>
      <c r="D75" s="49">
        <v>0</v>
      </c>
      <c r="E75" s="209">
        <f t="shared" si="40"/>
        <v>-0.77142857142857146</v>
      </c>
    </row>
    <row r="76" spans="1:5">
      <c r="A76" s="217">
        <v>2019</v>
      </c>
      <c r="B76">
        <f t="shared" si="41"/>
        <v>1.6E-2</v>
      </c>
      <c r="C76" s="217">
        <v>1.4E-2</v>
      </c>
      <c r="D76" s="49">
        <v>0</v>
      </c>
      <c r="E76" s="209">
        <f t="shared" si="40"/>
        <v>-0.125</v>
      </c>
    </row>
    <row r="77" spans="1:5">
      <c r="A77" s="217">
        <v>2020</v>
      </c>
      <c r="B77">
        <f t="shared" si="41"/>
        <v>1.4E-2</v>
      </c>
      <c r="C77" s="217">
        <v>3.7999999999999999E-2</v>
      </c>
      <c r="D77" s="49">
        <v>0</v>
      </c>
      <c r="E77" s="209">
        <f t="shared" si="40"/>
        <v>1.7142857142857142</v>
      </c>
    </row>
    <row r="78" spans="1:5">
      <c r="A78">
        <v>2021</v>
      </c>
      <c r="B78">
        <f t="shared" si="41"/>
        <v>3.7999999999999999E-2</v>
      </c>
      <c r="C78">
        <v>5.3999999999999999E-2</v>
      </c>
      <c r="D78" s="49">
        <v>0</v>
      </c>
      <c r="E78" s="209">
        <f>(C78-B78+D78)/B78</f>
        <v>0.4210526315789474</v>
      </c>
    </row>
    <row r="79" spans="1:5">
      <c r="A79">
        <v>2022</v>
      </c>
      <c r="B79">
        <f>C78</f>
        <v>5.3999999999999999E-2</v>
      </c>
      <c r="C79">
        <v>3.5999999999999997E-2</v>
      </c>
      <c r="D79" s="49">
        <v>0</v>
      </c>
      <c r="E79" s="209">
        <f t="shared" ref="E79:E82" si="42">(C79-B79+D79)/B79</f>
        <v>-0.33333333333333337</v>
      </c>
    </row>
    <row r="80" spans="1:5">
      <c r="A80" s="49">
        <v>2023</v>
      </c>
      <c r="B80" s="49">
        <f>C79</f>
        <v>3.5999999999999997E-2</v>
      </c>
      <c r="C80" s="49">
        <v>2.8000000000000001E-2</v>
      </c>
      <c r="D80" s="49">
        <v>0</v>
      </c>
      <c r="E80" s="209">
        <f t="shared" si="42"/>
        <v>-0.22222222222222215</v>
      </c>
    </row>
    <row r="81" spans="1:5">
      <c r="A81" s="205">
        <v>2024</v>
      </c>
      <c r="B81" s="49">
        <f>C80</f>
        <v>2.8000000000000001E-2</v>
      </c>
      <c r="C81" s="49">
        <v>2.4E-2</v>
      </c>
      <c r="D81" s="49">
        <v>0</v>
      </c>
      <c r="E81" s="209">
        <f t="shared" si="42"/>
        <v>-0.14285714285714285</v>
      </c>
    </row>
    <row r="82" spans="1:5">
      <c r="A82" s="205">
        <v>2025</v>
      </c>
      <c r="B82" s="49">
        <f>C81</f>
        <v>2.4E-2</v>
      </c>
      <c r="C82" s="49">
        <v>3.1E-2</v>
      </c>
      <c r="D82" s="49">
        <v>0</v>
      </c>
      <c r="E82" s="209">
        <f t="shared" si="42"/>
        <v>0.29166666666666663</v>
      </c>
    </row>
    <row r="83" spans="1:5">
      <c r="E83" s="209"/>
    </row>
    <row r="84" spans="1:5">
      <c r="A84" t="s">
        <v>2360</v>
      </c>
      <c r="B84" t="str">
        <f>'03_Beta_Calculation'!B51</f>
        <v>ZICO Hldgs</v>
      </c>
      <c r="E84" s="209"/>
    </row>
    <row r="85" spans="1:5" ht="43.2">
      <c r="A85" s="40" t="s">
        <v>2304</v>
      </c>
      <c r="B85" s="40" t="s">
        <v>2305</v>
      </c>
      <c r="C85" s="40" t="s">
        <v>2306</v>
      </c>
      <c r="D85" s="40" t="s">
        <v>2307</v>
      </c>
      <c r="E85" s="211" t="s">
        <v>2308</v>
      </c>
    </row>
    <row r="86" spans="1:5">
      <c r="A86" s="217">
        <v>2016</v>
      </c>
      <c r="B86" s="217">
        <v>0.2</v>
      </c>
      <c r="C86" s="217">
        <v>0.19800000000000001</v>
      </c>
      <c r="D86" s="217">
        <f>0.0022+0.0041</f>
        <v>6.3E-3</v>
      </c>
      <c r="E86" s="209">
        <f t="shared" ref="E86:E91" si="43">(C86-B86+D86)/B86</f>
        <v>2.1499999999999991E-2</v>
      </c>
    </row>
    <row r="87" spans="1:5">
      <c r="A87" s="217">
        <v>2017</v>
      </c>
      <c r="B87">
        <f t="shared" ref="B87:B91" si="44">C86</f>
        <v>0.19800000000000001</v>
      </c>
      <c r="C87" s="217">
        <v>0.19500000000000001</v>
      </c>
      <c r="D87">
        <v>1.5E-3</v>
      </c>
      <c r="E87" s="209">
        <f t="shared" si="43"/>
        <v>-7.575757575757589E-3</v>
      </c>
    </row>
    <row r="88" spans="1:5">
      <c r="A88" s="217">
        <v>2018</v>
      </c>
      <c r="B88">
        <f t="shared" si="44"/>
        <v>0.19500000000000001</v>
      </c>
      <c r="C88" s="217">
        <v>0.154</v>
      </c>
      <c r="D88">
        <f>0.0015+0.0025</f>
        <v>4.0000000000000001E-3</v>
      </c>
      <c r="E88" s="209">
        <f t="shared" si="43"/>
        <v>-0.18974358974358976</v>
      </c>
    </row>
    <row r="89" spans="1:5">
      <c r="A89" s="217">
        <v>2019</v>
      </c>
      <c r="B89">
        <f t="shared" si="44"/>
        <v>0.154</v>
      </c>
      <c r="C89" s="217">
        <v>0.17399999999999999</v>
      </c>
      <c r="D89">
        <v>0</v>
      </c>
      <c r="E89" s="209">
        <f t="shared" si="43"/>
        <v>0.1298701298701298</v>
      </c>
    </row>
    <row r="90" spans="1:5">
      <c r="A90" s="217">
        <v>2020</v>
      </c>
      <c r="B90">
        <f t="shared" si="44"/>
        <v>0.17399999999999999</v>
      </c>
      <c r="C90" s="217">
        <v>0.13</v>
      </c>
      <c r="D90">
        <v>0</v>
      </c>
      <c r="E90" s="209">
        <f t="shared" si="43"/>
        <v>-0.25287356321839072</v>
      </c>
    </row>
    <row r="91" spans="1:5">
      <c r="A91">
        <v>2021</v>
      </c>
      <c r="B91">
        <f t="shared" si="44"/>
        <v>0.13</v>
      </c>
      <c r="C91" s="221">
        <v>0.1</v>
      </c>
      <c r="D91">
        <v>0</v>
      </c>
      <c r="E91" s="209">
        <f t="shared" si="43"/>
        <v>-0.23076923076923075</v>
      </c>
    </row>
    <row r="92" spans="1:5">
      <c r="A92">
        <v>2022</v>
      </c>
      <c r="B92">
        <f>C91</f>
        <v>0.1</v>
      </c>
      <c r="C92">
        <v>0.12</v>
      </c>
      <c r="D92">
        <v>0</v>
      </c>
      <c r="E92" s="209">
        <f t="shared" ref="E92:E95" si="45">(C92-B92+D92)/B92</f>
        <v>0.1999999999999999</v>
      </c>
    </row>
    <row r="93" spans="1:5">
      <c r="A93" s="49">
        <v>2023</v>
      </c>
      <c r="B93" s="49">
        <f>C92</f>
        <v>0.12</v>
      </c>
      <c r="C93" s="49">
        <v>0.12</v>
      </c>
      <c r="D93" s="49">
        <v>0</v>
      </c>
      <c r="E93" s="209">
        <f t="shared" si="45"/>
        <v>0</v>
      </c>
    </row>
    <row r="94" spans="1:5">
      <c r="A94" s="205">
        <v>2024</v>
      </c>
      <c r="B94" s="49">
        <f>C93</f>
        <v>0.12</v>
      </c>
      <c r="C94" s="49">
        <v>0.115</v>
      </c>
      <c r="D94" s="49">
        <v>0</v>
      </c>
      <c r="E94" s="209">
        <f t="shared" si="45"/>
        <v>-4.1666666666666588E-2</v>
      </c>
    </row>
    <row r="95" spans="1:5">
      <c r="A95" s="205">
        <v>2025</v>
      </c>
      <c r="B95" s="49">
        <f>C94</f>
        <v>0.115</v>
      </c>
      <c r="C95" s="49">
        <v>9.9000000000000005E-2</v>
      </c>
      <c r="D95" s="49">
        <v>0</v>
      </c>
      <c r="E95" s="209">
        <f t="shared" si="45"/>
        <v>-0.1391304347826087</v>
      </c>
    </row>
    <row r="96" spans="1:5">
      <c r="E96" s="209"/>
    </row>
    <row r="97" spans="1:6">
      <c r="A97" t="s">
        <v>2361</v>
      </c>
      <c r="B97" t="str">
        <f>'03_Beta_Calculation'!B52</f>
        <v>UnUsUaL</v>
      </c>
      <c r="E97" s="209"/>
    </row>
    <row r="98" spans="1:6" ht="43.2">
      <c r="A98" s="40" t="s">
        <v>2304</v>
      </c>
      <c r="B98" s="40" t="s">
        <v>2305</v>
      </c>
      <c r="C98" s="40" t="s">
        <v>2306</v>
      </c>
      <c r="D98" s="40" t="s">
        <v>2307</v>
      </c>
      <c r="E98" s="211" t="s">
        <v>2308</v>
      </c>
    </row>
    <row r="99" spans="1:6">
      <c r="A99" s="217">
        <v>2016</v>
      </c>
      <c r="B99" s="217">
        <v>0</v>
      </c>
      <c r="C99" s="217">
        <v>0</v>
      </c>
      <c r="D99" s="217">
        <v>0</v>
      </c>
      <c r="E99" s="209">
        <v>0</v>
      </c>
    </row>
    <row r="100" spans="1:6">
      <c r="A100" s="217">
        <v>2017</v>
      </c>
      <c r="B100">
        <v>0.215</v>
      </c>
      <c r="C100" s="217">
        <v>0.22</v>
      </c>
      <c r="D100" s="217">
        <v>0</v>
      </c>
      <c r="E100" s="209">
        <f t="shared" ref="E100:E103" si="46">(C100-B100+D100)/B100</f>
        <v>2.3255813953488393E-2</v>
      </c>
      <c r="F100" t="s">
        <v>2377</v>
      </c>
    </row>
    <row r="101" spans="1:6">
      <c r="A101" s="217">
        <v>2018</v>
      </c>
      <c r="B101">
        <f t="shared" ref="B101:B104" si="47">C100</f>
        <v>0.22</v>
      </c>
      <c r="C101" s="217">
        <v>0.156</v>
      </c>
      <c r="D101" s="217">
        <v>0</v>
      </c>
      <c r="E101" s="209">
        <f t="shared" si="46"/>
        <v>-0.29090909090909089</v>
      </c>
    </row>
    <row r="102" spans="1:6">
      <c r="A102" s="217">
        <v>2019</v>
      </c>
      <c r="B102">
        <f t="shared" si="47"/>
        <v>0.156</v>
      </c>
      <c r="C102" s="217">
        <v>7.1999999999999995E-2</v>
      </c>
      <c r="D102" s="217">
        <v>3.4199999999999999E-3</v>
      </c>
      <c r="E102" s="209">
        <f t="shared" si="46"/>
        <v>-0.5165384615384615</v>
      </c>
    </row>
    <row r="103" spans="1:6">
      <c r="A103" s="217">
        <v>2020</v>
      </c>
      <c r="B103">
        <f t="shared" si="47"/>
        <v>7.1999999999999995E-2</v>
      </c>
      <c r="C103" s="217">
        <v>0.24</v>
      </c>
      <c r="D103">
        <v>0</v>
      </c>
      <c r="E103" s="209">
        <f t="shared" si="46"/>
        <v>2.3333333333333335</v>
      </c>
    </row>
    <row r="104" spans="1:6">
      <c r="A104">
        <v>2021</v>
      </c>
      <c r="B104">
        <f t="shared" si="47"/>
        <v>0.24</v>
      </c>
      <c r="C104">
        <v>7.0000000000000007E-2</v>
      </c>
      <c r="D104">
        <v>0</v>
      </c>
      <c r="E104" s="209">
        <f>(C104-B104+D104)/B104</f>
        <v>-0.70833333333333326</v>
      </c>
    </row>
    <row r="105" spans="1:6">
      <c r="A105">
        <v>2022</v>
      </c>
      <c r="B105">
        <f>C104</f>
        <v>7.0000000000000007E-2</v>
      </c>
      <c r="C105">
        <v>3.5000000000000003E-2</v>
      </c>
      <c r="D105">
        <v>0</v>
      </c>
      <c r="E105" s="209">
        <f t="shared" ref="E105:E108" si="48">(C105-B105+D105)/B105</f>
        <v>-0.5</v>
      </c>
    </row>
    <row r="106" spans="1:6">
      <c r="A106" s="49">
        <v>2023</v>
      </c>
      <c r="B106" s="49">
        <f>C105</f>
        <v>3.5000000000000003E-2</v>
      </c>
      <c r="C106" s="49">
        <v>0.02</v>
      </c>
      <c r="D106" s="49">
        <v>0</v>
      </c>
      <c r="E106" s="209">
        <f t="shared" si="48"/>
        <v>-0.4285714285714286</v>
      </c>
    </row>
    <row r="107" spans="1:6">
      <c r="A107" s="205">
        <v>2024</v>
      </c>
      <c r="B107" s="49">
        <f>C106</f>
        <v>0.02</v>
      </c>
      <c r="C107" s="49">
        <v>4.8000000000000001E-2</v>
      </c>
      <c r="D107" s="49">
        <v>0</v>
      </c>
      <c r="E107" s="209">
        <f t="shared" si="48"/>
        <v>1.4</v>
      </c>
    </row>
    <row r="108" spans="1:6">
      <c r="A108" s="205">
        <v>2025</v>
      </c>
      <c r="B108" s="49">
        <f>C107</f>
        <v>4.8000000000000001E-2</v>
      </c>
      <c r="C108" s="49">
        <v>3.7999999999999999E-2</v>
      </c>
      <c r="D108" s="49">
        <v>0</v>
      </c>
      <c r="E108" s="209">
        <f t="shared" si="48"/>
        <v>-0.20833333333333337</v>
      </c>
    </row>
    <row r="109" spans="1:6">
      <c r="E109" s="209"/>
    </row>
    <row r="110" spans="1:6">
      <c r="A110" t="s">
        <v>2362</v>
      </c>
      <c r="B110" t="str">
        <f>'03_Beta_Calculation'!B53</f>
        <v>Abundante</v>
      </c>
      <c r="E110" s="209"/>
    </row>
    <row r="111" spans="1:6" ht="43.2">
      <c r="A111" s="40" t="s">
        <v>2304</v>
      </c>
      <c r="B111" s="40" t="s">
        <v>2305</v>
      </c>
      <c r="C111" s="40" t="s">
        <v>2306</v>
      </c>
      <c r="D111" s="40" t="s">
        <v>2307</v>
      </c>
      <c r="E111" s="211" t="s">
        <v>2308</v>
      </c>
    </row>
    <row r="112" spans="1:6">
      <c r="A112" s="217">
        <v>2016</v>
      </c>
      <c r="B112" s="217">
        <v>0.27</v>
      </c>
      <c r="C112" s="217">
        <v>0.29499999999999998</v>
      </c>
      <c r="D112" s="217">
        <v>3.0000000000000001E-3</v>
      </c>
      <c r="E112" s="209">
        <f t="shared" ref="E112:E116" si="49">(C112-B112+D112)/B112</f>
        <v>0.10370370370370358</v>
      </c>
    </row>
    <row r="113" spans="1:5">
      <c r="A113" s="217">
        <v>2017</v>
      </c>
      <c r="B113">
        <f t="shared" ref="B113:B117" si="50">C112</f>
        <v>0.29499999999999998</v>
      </c>
      <c r="C113" s="217">
        <v>0.27</v>
      </c>
      <c r="D113" s="217">
        <f>0.003+0.003+0.003</f>
        <v>9.0000000000000011E-3</v>
      </c>
      <c r="E113" s="209">
        <f t="shared" si="49"/>
        <v>-5.4237288135593108E-2</v>
      </c>
    </row>
    <row r="114" spans="1:5">
      <c r="A114" s="217">
        <v>2018</v>
      </c>
      <c r="B114">
        <f t="shared" si="50"/>
        <v>0.27</v>
      </c>
      <c r="C114" s="217">
        <v>0.23499999999999999</v>
      </c>
      <c r="D114" s="217">
        <f>0.003+0.003+0.003+0.0015</f>
        <v>1.0500000000000001E-2</v>
      </c>
      <c r="E114" s="209">
        <f t="shared" si="49"/>
        <v>-9.0740740740740844E-2</v>
      </c>
    </row>
    <row r="115" spans="1:5">
      <c r="A115" s="217">
        <v>2019</v>
      </c>
      <c r="B115">
        <f t="shared" si="50"/>
        <v>0.23499999999999999</v>
      </c>
      <c r="C115" s="217">
        <v>0.22</v>
      </c>
      <c r="D115" s="217">
        <f>0.003+0.0015</f>
        <v>4.5000000000000005E-3</v>
      </c>
      <c r="E115" s="209">
        <f t="shared" si="49"/>
        <v>-4.4680851063829727E-2</v>
      </c>
    </row>
    <row r="116" spans="1:5">
      <c r="A116" s="217">
        <v>2020</v>
      </c>
      <c r="B116">
        <f t="shared" si="50"/>
        <v>0.22</v>
      </c>
      <c r="C116" s="217">
        <v>0.16400000000000001</v>
      </c>
      <c r="D116" s="217">
        <v>1.5E-3</v>
      </c>
      <c r="E116" s="209">
        <f t="shared" si="49"/>
        <v>-0.24772727272727268</v>
      </c>
    </row>
    <row r="117" spans="1:5">
      <c r="A117">
        <v>2021</v>
      </c>
      <c r="B117">
        <f t="shared" si="50"/>
        <v>0.16400000000000001</v>
      </c>
      <c r="C117">
        <v>0.14799999999999999</v>
      </c>
      <c r="D117">
        <f>0.0015+0.00075</f>
        <v>2.2500000000000003E-3</v>
      </c>
      <c r="E117" s="209">
        <f>(C117-B117+D117)/B117</f>
        <v>-8.3841463414634235E-2</v>
      </c>
    </row>
    <row r="118" spans="1:5">
      <c r="A118">
        <v>2022</v>
      </c>
      <c r="B118">
        <f>C117</f>
        <v>0.14799999999999999</v>
      </c>
      <c r="C118">
        <v>0.13500000000000001</v>
      </c>
      <c r="D118">
        <v>1.5E-3</v>
      </c>
      <c r="E118" s="209">
        <f t="shared" ref="E118:E121" si="51">(C118-B118+D118)/B118</f>
        <v>-7.7702702702702603E-2</v>
      </c>
    </row>
    <row r="119" spans="1:5">
      <c r="A119" s="49">
        <v>2023</v>
      </c>
      <c r="B119" s="49">
        <f>C118</f>
        <v>0.13500000000000001</v>
      </c>
      <c r="C119" s="49">
        <v>0.13</v>
      </c>
      <c r="D119" s="49">
        <f>0.005564+0.00075</f>
        <v>6.3140000000000002E-3</v>
      </c>
      <c r="E119" s="209">
        <f t="shared" si="51"/>
        <v>9.7333333333333005E-3</v>
      </c>
    </row>
    <row r="120" spans="1:5">
      <c r="A120" s="205">
        <v>2024</v>
      </c>
      <c r="B120" s="49">
        <f>C119</f>
        <v>0.13</v>
      </c>
      <c r="C120" s="49">
        <v>0.11799999999999999</v>
      </c>
      <c r="D120" s="49">
        <v>1.1800000000000001E-3</v>
      </c>
      <c r="E120" s="209">
        <f t="shared" si="51"/>
        <v>-8.3230769230769303E-2</v>
      </c>
    </row>
    <row r="121" spans="1:5">
      <c r="A121" s="205">
        <v>2025</v>
      </c>
      <c r="B121" s="49">
        <f>C120</f>
        <v>0.11799999999999999</v>
      </c>
      <c r="C121" s="49">
        <v>0.13400000000000001</v>
      </c>
      <c r="D121" s="49">
        <v>5.7499999999999999E-3</v>
      </c>
      <c r="E121" s="209">
        <f t="shared" si="51"/>
        <v>0.1843220338983052</v>
      </c>
    </row>
    <row r="122" spans="1:5">
      <c r="E122" s="209"/>
    </row>
    <row r="123" spans="1:5">
      <c r="A123" t="s">
        <v>2363</v>
      </c>
      <c r="B123" t="str">
        <f>'03_Beta_Calculation'!B21</f>
        <v>Frasers Property</v>
      </c>
      <c r="E123" s="209"/>
    </row>
    <row r="124" spans="1:5" ht="43.2">
      <c r="A124" s="40" t="s">
        <v>2304</v>
      </c>
      <c r="B124" s="40" t="s">
        <v>2305</v>
      </c>
      <c r="C124" s="40" t="s">
        <v>2306</v>
      </c>
      <c r="D124" s="40" t="s">
        <v>2307</v>
      </c>
      <c r="E124" s="211" t="s">
        <v>2308</v>
      </c>
    </row>
    <row r="125" spans="1:5">
      <c r="A125" s="217">
        <v>2016</v>
      </c>
      <c r="B125" s="217">
        <v>0.315</v>
      </c>
      <c r="C125" s="217">
        <v>0.315</v>
      </c>
      <c r="D125" s="217">
        <v>1.2500000000000001E-2</v>
      </c>
      <c r="E125" s="209">
        <f t="shared" ref="E125:E129" si="52">(C125-B125+D125)/B125</f>
        <v>3.9682539682539687E-2</v>
      </c>
    </row>
    <row r="126" spans="1:5">
      <c r="A126" s="217">
        <v>2017</v>
      </c>
      <c r="B126">
        <f t="shared" ref="B126:B130" si="53">C125</f>
        <v>0.315</v>
      </c>
      <c r="C126" s="217">
        <v>0.44500000000000001</v>
      </c>
      <c r="D126" s="217">
        <v>1.375E-2</v>
      </c>
      <c r="E126" s="209">
        <f t="shared" si="52"/>
        <v>0.45634920634920639</v>
      </c>
    </row>
    <row r="127" spans="1:5">
      <c r="A127" s="217">
        <v>2018</v>
      </c>
      <c r="B127">
        <f t="shared" si="53"/>
        <v>0.44500000000000001</v>
      </c>
      <c r="C127" s="217">
        <v>0.38</v>
      </c>
      <c r="D127" s="217">
        <v>0.01</v>
      </c>
      <c r="E127" s="209">
        <f t="shared" si="52"/>
        <v>-0.12359550561797752</v>
      </c>
    </row>
    <row r="128" spans="1:5">
      <c r="A128" s="217">
        <v>2019</v>
      </c>
      <c r="B128">
        <f t="shared" si="53"/>
        <v>0.38</v>
      </c>
      <c r="C128" s="217">
        <v>0.39</v>
      </c>
      <c r="D128" s="217">
        <v>1.2E-2</v>
      </c>
      <c r="E128" s="209">
        <f t="shared" si="52"/>
        <v>5.7894736842105284E-2</v>
      </c>
    </row>
    <row r="129" spans="1:5">
      <c r="A129" s="217">
        <v>2020</v>
      </c>
      <c r="B129">
        <f t="shared" si="53"/>
        <v>0.39</v>
      </c>
      <c r="C129" s="217">
        <v>0.37</v>
      </c>
      <c r="D129" s="217">
        <v>1.8499999999999999E-2</v>
      </c>
      <c r="E129" s="209">
        <f t="shared" si="52"/>
        <v>-3.8461538461538941E-3</v>
      </c>
    </row>
    <row r="130" spans="1:5">
      <c r="A130">
        <v>2021</v>
      </c>
      <c r="B130">
        <f t="shared" si="53"/>
        <v>0.37</v>
      </c>
      <c r="C130">
        <v>0.38</v>
      </c>
      <c r="D130">
        <v>0.01</v>
      </c>
      <c r="E130" s="209">
        <f>(C130-B130+D130)/B130</f>
        <v>5.4054054054054085E-2</v>
      </c>
    </row>
    <row r="131" spans="1:5">
      <c r="A131">
        <v>2022</v>
      </c>
      <c r="B131">
        <f>C130</f>
        <v>0.38</v>
      </c>
      <c r="C131">
        <v>0.36</v>
      </c>
      <c r="D131">
        <v>0.01</v>
      </c>
      <c r="E131" s="209">
        <f t="shared" ref="E131:E134" si="54">(C131-B131+D131)/B131</f>
        <v>-2.6315789473684258E-2</v>
      </c>
    </row>
    <row r="132" spans="1:5">
      <c r="A132" s="49">
        <v>2023</v>
      </c>
      <c r="B132" s="49">
        <f>C131</f>
        <v>0.36</v>
      </c>
      <c r="C132" s="49">
        <v>0.33</v>
      </c>
      <c r="D132" s="49">
        <v>0.01</v>
      </c>
      <c r="E132" s="209">
        <f t="shared" si="54"/>
        <v>-5.5555555555555469E-2</v>
      </c>
    </row>
    <row r="133" spans="1:5">
      <c r="A133" s="205">
        <v>2024</v>
      </c>
      <c r="B133" s="49">
        <f>C132</f>
        <v>0.33</v>
      </c>
      <c r="C133" s="49">
        <v>0.34</v>
      </c>
      <c r="D133" s="49">
        <v>0.01</v>
      </c>
      <c r="E133" s="209">
        <f t="shared" si="54"/>
        <v>6.0606060606060635E-2</v>
      </c>
    </row>
    <row r="134" spans="1:5">
      <c r="A134" s="205">
        <v>2025</v>
      </c>
      <c r="B134" s="49">
        <f>C133</f>
        <v>0.34</v>
      </c>
      <c r="C134" s="49">
        <v>0.63500000000000001</v>
      </c>
      <c r="D134" s="49">
        <v>0.01</v>
      </c>
      <c r="E134" s="209">
        <f t="shared" si="54"/>
        <v>0.89705882352941169</v>
      </c>
    </row>
    <row r="135" spans="1:5">
      <c r="E135" s="209"/>
    </row>
    <row r="136" spans="1:5">
      <c r="A136" t="s">
        <v>2364</v>
      </c>
      <c r="B136" t="str">
        <f>'03_Beta_Calculation'!B16</f>
        <v>SIA Engineering</v>
      </c>
      <c r="E136" s="209"/>
    </row>
    <row r="137" spans="1:5" ht="43.2">
      <c r="A137" s="40" t="s">
        <v>2304</v>
      </c>
      <c r="B137" s="40" t="s">
        <v>2305</v>
      </c>
      <c r="C137" s="40" t="s">
        <v>2306</v>
      </c>
      <c r="D137" s="40" t="s">
        <v>2307</v>
      </c>
      <c r="E137" s="211" t="s">
        <v>2308</v>
      </c>
    </row>
    <row r="138" spans="1:5">
      <c r="A138" s="217">
        <v>2016</v>
      </c>
      <c r="B138" s="21">
        <v>0.63</v>
      </c>
      <c r="C138" s="217">
        <v>6.0999999999999999E-2</v>
      </c>
      <c r="D138" s="49">
        <v>0</v>
      </c>
      <c r="E138" s="209">
        <f t="shared" ref="E138:E142" si="55">(C138-B138+D138)/B138</f>
        <v>-0.90317460317460307</v>
      </c>
    </row>
    <row r="139" spans="1:5">
      <c r="A139" s="217">
        <v>2017</v>
      </c>
      <c r="B139">
        <f t="shared" ref="B139:B143" si="56">C138</f>
        <v>6.0999999999999999E-2</v>
      </c>
      <c r="C139" s="217">
        <v>3.6999999999999998E-2</v>
      </c>
      <c r="D139" s="49">
        <v>0</v>
      </c>
      <c r="E139" s="209">
        <f t="shared" si="55"/>
        <v>-0.39344262295081966</v>
      </c>
    </row>
    <row r="140" spans="1:5">
      <c r="A140" s="217">
        <v>2018</v>
      </c>
      <c r="B140">
        <f t="shared" si="56"/>
        <v>3.6999999999999998E-2</v>
      </c>
      <c r="C140" s="217">
        <v>1.7999999999999999E-2</v>
      </c>
      <c r="D140" s="49">
        <v>0</v>
      </c>
      <c r="E140" s="209">
        <f t="shared" si="55"/>
        <v>-0.51351351351351349</v>
      </c>
    </row>
    <row r="141" spans="1:5">
      <c r="A141" s="217">
        <v>2019</v>
      </c>
      <c r="B141">
        <f t="shared" si="56"/>
        <v>1.7999999999999999E-2</v>
      </c>
      <c r="C141" s="217">
        <v>1.7999999999999999E-2</v>
      </c>
      <c r="D141" s="49">
        <v>0</v>
      </c>
      <c r="E141" s="209">
        <f t="shared" si="55"/>
        <v>0</v>
      </c>
    </row>
    <row r="142" spans="1:5">
      <c r="A142" s="217">
        <v>2020</v>
      </c>
      <c r="B142">
        <f t="shared" si="56"/>
        <v>1.7999999999999999E-2</v>
      </c>
      <c r="C142" s="217">
        <v>1.6E-2</v>
      </c>
      <c r="D142" s="49">
        <v>0</v>
      </c>
      <c r="E142" s="209">
        <f t="shared" si="55"/>
        <v>-0.11111111111111102</v>
      </c>
    </row>
    <row r="143" spans="1:5">
      <c r="A143">
        <v>2021</v>
      </c>
      <c r="B143">
        <f t="shared" si="56"/>
        <v>1.6E-2</v>
      </c>
      <c r="C143">
        <v>2.5999999999999999E-2</v>
      </c>
      <c r="D143" s="49">
        <v>0</v>
      </c>
      <c r="E143" s="209">
        <f>(C143-B143+D143)/B143</f>
        <v>0.62499999999999989</v>
      </c>
    </row>
    <row r="144" spans="1:5">
      <c r="A144">
        <v>2022</v>
      </c>
      <c r="B144">
        <f>C143</f>
        <v>2.5999999999999999E-2</v>
      </c>
      <c r="C144">
        <v>2.4E-2</v>
      </c>
      <c r="D144" s="49">
        <v>0</v>
      </c>
      <c r="E144" s="209">
        <f t="shared" ref="E144:E147" si="57">(C144-B144+D144)/B144</f>
        <v>-7.6923076923076858E-2</v>
      </c>
    </row>
    <row r="145" spans="1:5">
      <c r="A145" s="49">
        <v>2023</v>
      </c>
      <c r="B145" s="49">
        <f>C144</f>
        <v>2.4E-2</v>
      </c>
      <c r="C145" s="49">
        <v>2.7E-2</v>
      </c>
      <c r="D145" s="49">
        <v>0</v>
      </c>
      <c r="E145" s="209">
        <f t="shared" si="57"/>
        <v>0.12499999999999996</v>
      </c>
    </row>
    <row r="146" spans="1:5">
      <c r="A146" s="205">
        <v>2024</v>
      </c>
      <c r="B146" s="49">
        <f>C145</f>
        <v>2.7E-2</v>
      </c>
      <c r="C146" s="49">
        <v>9.7000000000000003E-2</v>
      </c>
      <c r="D146" s="49">
        <v>0</v>
      </c>
      <c r="E146" s="209">
        <f t="shared" si="57"/>
        <v>2.592592592592593</v>
      </c>
    </row>
    <row r="147" spans="1:5">
      <c r="A147" s="205">
        <v>2025</v>
      </c>
      <c r="B147" s="49">
        <f>C146</f>
        <v>9.7000000000000003E-2</v>
      </c>
      <c r="C147" s="49">
        <v>0.14099999999999999</v>
      </c>
      <c r="D147" s="49">
        <v>1.2999999999999999E-3</v>
      </c>
      <c r="E147" s="209">
        <f t="shared" si="57"/>
        <v>0.46701030927835036</v>
      </c>
    </row>
    <row r="148" spans="1:5">
      <c r="E148" s="209"/>
    </row>
    <row r="149" spans="1:5" ht="17.399999999999999" customHeight="1">
      <c r="A149" t="s">
        <v>2365</v>
      </c>
      <c r="B149" s="317" t="str">
        <f>'03_Beta_Calculation'!B18</f>
        <v>Wing Tai</v>
      </c>
      <c r="C149" s="317"/>
      <c r="E149" s="209"/>
    </row>
    <row r="150" spans="1:5" ht="43.2">
      <c r="A150" s="40" t="s">
        <v>2304</v>
      </c>
      <c r="B150" s="40" t="s">
        <v>2305</v>
      </c>
      <c r="C150" s="40" t="s">
        <v>2306</v>
      </c>
      <c r="D150" s="40" t="s">
        <v>2307</v>
      </c>
      <c r="E150" s="211" t="s">
        <v>2308</v>
      </c>
    </row>
    <row r="151" spans="1:5">
      <c r="A151" s="217">
        <v>2016</v>
      </c>
      <c r="B151" s="217">
        <v>0.57999999999999996</v>
      </c>
      <c r="C151" s="217">
        <v>0.57999999999999996</v>
      </c>
      <c r="D151" s="49">
        <v>0.04</v>
      </c>
      <c r="E151" s="209">
        <f t="shared" ref="E151:E155" si="58">(C151-B151+D151)/B151</f>
        <v>6.8965517241379323E-2</v>
      </c>
    </row>
    <row r="152" spans="1:5">
      <c r="A152" s="217">
        <v>2017</v>
      </c>
      <c r="B152">
        <f t="shared" ref="B152:B156" si="59">C151</f>
        <v>0.57999999999999996</v>
      </c>
      <c r="C152" s="217">
        <v>0.69499999999999995</v>
      </c>
      <c r="D152" s="49">
        <v>0.04</v>
      </c>
      <c r="E152" s="209">
        <f t="shared" si="58"/>
        <v>0.26724137931034486</v>
      </c>
    </row>
    <row r="153" spans="1:5">
      <c r="A153" s="217">
        <v>2018</v>
      </c>
      <c r="B153">
        <f t="shared" si="59"/>
        <v>0.69499999999999995</v>
      </c>
      <c r="C153" s="217">
        <v>0.57499999999999996</v>
      </c>
      <c r="D153" s="49">
        <v>0.02</v>
      </c>
      <c r="E153" s="209">
        <f t="shared" si="58"/>
        <v>-0.14388489208633093</v>
      </c>
    </row>
    <row r="154" spans="1:5">
      <c r="A154" s="217">
        <v>2019</v>
      </c>
      <c r="B154">
        <f t="shared" si="59"/>
        <v>0.57499999999999996</v>
      </c>
      <c r="C154" s="217">
        <v>0.43</v>
      </c>
      <c r="D154" s="49">
        <v>1.4999999999999999E-2</v>
      </c>
      <c r="E154" s="209">
        <f t="shared" si="58"/>
        <v>-0.22608695652173905</v>
      </c>
    </row>
    <row r="155" spans="1:5">
      <c r="A155" s="217">
        <v>2020</v>
      </c>
      <c r="B155">
        <f t="shared" si="59"/>
        <v>0.43</v>
      </c>
      <c r="C155" s="217">
        <v>0.4</v>
      </c>
      <c r="D155" s="49">
        <v>1.4999999999999999E-2</v>
      </c>
      <c r="E155" s="209">
        <f t="shared" si="58"/>
        <v>-3.4883720930232495E-2</v>
      </c>
    </row>
    <row r="156" spans="1:5">
      <c r="A156">
        <v>2021</v>
      </c>
      <c r="B156">
        <f t="shared" si="59"/>
        <v>0.4</v>
      </c>
      <c r="C156">
        <v>0.44500000000000001</v>
      </c>
      <c r="D156" s="49">
        <v>2.5000000000000001E-2</v>
      </c>
      <c r="E156" s="209">
        <f>(C156-B156+D156)/B156</f>
        <v>0.17499999999999993</v>
      </c>
    </row>
    <row r="157" spans="1:5">
      <c r="A157">
        <v>2022</v>
      </c>
      <c r="B157">
        <f>C156</f>
        <v>0.44500000000000001</v>
      </c>
      <c r="C157">
        <v>0.41</v>
      </c>
      <c r="D157" s="49">
        <v>0.02</v>
      </c>
      <c r="E157" s="209">
        <f t="shared" ref="E157:E160" si="60">(C157-B157+D157)/B157</f>
        <v>-3.3707865168539394E-2</v>
      </c>
    </row>
    <row r="158" spans="1:5">
      <c r="A158" s="49">
        <v>2023</v>
      </c>
      <c r="B158" s="49">
        <f>C157</f>
        <v>0.41</v>
      </c>
      <c r="C158" s="49">
        <v>0.33</v>
      </c>
      <c r="D158" s="49">
        <v>0.01</v>
      </c>
      <c r="E158" s="209">
        <f t="shared" si="60"/>
        <v>-0.1707317073170731</v>
      </c>
    </row>
    <row r="159" spans="1:5">
      <c r="A159" s="205">
        <v>2024</v>
      </c>
      <c r="B159" s="49">
        <f>C158</f>
        <v>0.33</v>
      </c>
      <c r="C159" s="49">
        <v>0.32</v>
      </c>
      <c r="D159" s="49">
        <v>1.4999999999999999E-2</v>
      </c>
      <c r="E159" s="209">
        <f t="shared" si="60"/>
        <v>1.5151515151515122E-2</v>
      </c>
    </row>
    <row r="160" spans="1:5">
      <c r="A160" s="205">
        <v>2025</v>
      </c>
      <c r="B160" s="49">
        <f>C159</f>
        <v>0.32</v>
      </c>
      <c r="C160" s="49">
        <v>0.78</v>
      </c>
      <c r="D160" s="49">
        <v>1.4999999999999999E-2</v>
      </c>
      <c r="E160" s="209">
        <f t="shared" si="60"/>
        <v>1.484375</v>
      </c>
    </row>
    <row r="161" spans="1:5">
      <c r="E161" s="209"/>
    </row>
    <row r="162" spans="1:5">
      <c r="A162" t="s">
        <v>2380</v>
      </c>
      <c r="B162" s="49" t="e">
        <f>'03_Beta_Calculation'!#REF!</f>
        <v>#REF!</v>
      </c>
      <c r="E162" s="209"/>
    </row>
    <row r="163" spans="1:5" ht="43.2">
      <c r="A163" s="40" t="s">
        <v>2304</v>
      </c>
      <c r="B163" s="40" t="s">
        <v>2305</v>
      </c>
      <c r="C163" s="40" t="s">
        <v>2306</v>
      </c>
      <c r="D163" s="40" t="s">
        <v>2307</v>
      </c>
      <c r="E163" s="211" t="s">
        <v>2308</v>
      </c>
    </row>
    <row r="164" spans="1:5">
      <c r="A164" s="217">
        <v>2016</v>
      </c>
      <c r="B164" s="21">
        <v>1.05</v>
      </c>
      <c r="C164" s="217">
        <v>0.83499999999999996</v>
      </c>
      <c r="D164" s="49">
        <v>0</v>
      </c>
      <c r="E164" s="209">
        <f t="shared" ref="E164:E168" si="61">(C164-B164+D164)/B164</f>
        <v>-0.20476190476190484</v>
      </c>
    </row>
    <row r="165" spans="1:5">
      <c r="A165" s="217">
        <v>2017</v>
      </c>
      <c r="B165">
        <f t="shared" ref="B165:B169" si="62">C164</f>
        <v>0.83499999999999996</v>
      </c>
      <c r="C165" s="217">
        <v>0.95499999999999996</v>
      </c>
      <c r="D165" s="49">
        <v>0</v>
      </c>
      <c r="E165" s="209">
        <f t="shared" si="61"/>
        <v>0.1437125748502994</v>
      </c>
    </row>
    <row r="166" spans="1:5">
      <c r="A166" s="217">
        <v>2018</v>
      </c>
      <c r="B166">
        <f t="shared" si="62"/>
        <v>0.95499999999999996</v>
      </c>
      <c r="C166" s="217">
        <v>0.92</v>
      </c>
      <c r="D166" s="49">
        <v>0</v>
      </c>
      <c r="E166" s="209">
        <f t="shared" si="61"/>
        <v>-3.6649214659685785E-2</v>
      </c>
    </row>
    <row r="167" spans="1:5">
      <c r="A167" s="217">
        <v>2019</v>
      </c>
      <c r="B167">
        <f t="shared" si="62"/>
        <v>0.92</v>
      </c>
      <c r="C167" s="217">
        <v>0.96499999999999997</v>
      </c>
      <c r="D167" s="49">
        <v>0</v>
      </c>
      <c r="E167" s="209">
        <f t="shared" si="61"/>
        <v>4.8913043478260788E-2</v>
      </c>
    </row>
    <row r="168" spans="1:5">
      <c r="A168" s="217">
        <v>2020</v>
      </c>
      <c r="B168">
        <f t="shared" si="62"/>
        <v>0.96499999999999997</v>
      </c>
      <c r="C168" s="217">
        <v>0.97499999999999998</v>
      </c>
      <c r="D168" s="49">
        <v>0</v>
      </c>
      <c r="E168" s="209">
        <f t="shared" si="61"/>
        <v>1.0362694300518144E-2</v>
      </c>
    </row>
    <row r="169" spans="1:5">
      <c r="A169">
        <v>2021</v>
      </c>
      <c r="B169">
        <f t="shared" si="62"/>
        <v>0.97499999999999998</v>
      </c>
      <c r="C169">
        <v>1.33</v>
      </c>
      <c r="D169" s="49">
        <v>0</v>
      </c>
      <c r="E169" s="209">
        <f>(C169-B169+D169)/B169</f>
        <v>0.3641025641025642</v>
      </c>
    </row>
    <row r="170" spans="1:5">
      <c r="A170">
        <v>2022</v>
      </c>
      <c r="B170">
        <f>C169</f>
        <v>1.33</v>
      </c>
      <c r="C170">
        <v>1.05</v>
      </c>
      <c r="D170" s="49">
        <v>0</v>
      </c>
      <c r="E170" s="209">
        <f t="shared" ref="E170:E173" si="63">(C170-B170+D170)/B170</f>
        <v>-0.2105263157894737</v>
      </c>
    </row>
    <row r="171" spans="1:5">
      <c r="A171" s="49">
        <v>2023</v>
      </c>
      <c r="B171" s="49">
        <f>C170</f>
        <v>1.05</v>
      </c>
      <c r="C171" s="49">
        <v>0.75</v>
      </c>
      <c r="D171" s="49">
        <v>1.0249999999999999</v>
      </c>
      <c r="E171" s="209">
        <f t="shared" si="63"/>
        <v>0.69047619047619035</v>
      </c>
    </row>
    <row r="172" spans="1:5">
      <c r="A172" s="205">
        <v>2024</v>
      </c>
      <c r="B172" s="49">
        <f>C171</f>
        <v>0.75</v>
      </c>
      <c r="C172" s="49">
        <v>0.7</v>
      </c>
      <c r="D172" s="49">
        <v>0.05</v>
      </c>
      <c r="E172" s="209">
        <f t="shared" si="63"/>
        <v>-5.5511151231257827E-17</v>
      </c>
    </row>
    <row r="173" spans="1:5">
      <c r="A173" s="205">
        <v>2025</v>
      </c>
      <c r="B173" s="49">
        <f>C172</f>
        <v>0.7</v>
      </c>
      <c r="C173" s="49">
        <v>0.96</v>
      </c>
      <c r="D173" s="49">
        <v>0</v>
      </c>
      <c r="E173" s="209">
        <f t="shared" si="63"/>
        <v>0.37142857142857144</v>
      </c>
    </row>
    <row r="174" spans="1:5">
      <c r="E174" s="209"/>
    </row>
    <row r="175" spans="1:5">
      <c r="A175" t="s">
        <v>2381</v>
      </c>
      <c r="E175" s="209"/>
    </row>
    <row r="176" spans="1:5" ht="43.2">
      <c r="A176" s="40" t="s">
        <v>2304</v>
      </c>
      <c r="B176" s="40" t="s">
        <v>2305</v>
      </c>
      <c r="C176" s="40" t="s">
        <v>2306</v>
      </c>
      <c r="D176" s="40" t="s">
        <v>2307</v>
      </c>
      <c r="E176" s="211" t="s">
        <v>2308</v>
      </c>
    </row>
    <row r="177" spans="1:5">
      <c r="A177" s="217">
        <v>2016</v>
      </c>
      <c r="B177" s="217">
        <v>0</v>
      </c>
      <c r="C177" s="217">
        <v>0</v>
      </c>
      <c r="D177" s="49">
        <v>0</v>
      </c>
      <c r="E177" s="209" t="e">
        <f t="shared" ref="E177:E181" si="64">(C177-B177+D177)/B177</f>
        <v>#DIV/0!</v>
      </c>
    </row>
    <row r="178" spans="1:5">
      <c r="A178" s="217">
        <v>2017</v>
      </c>
      <c r="B178">
        <f t="shared" ref="B178:B182" si="65">C177</f>
        <v>0</v>
      </c>
      <c r="C178" s="217">
        <v>0</v>
      </c>
      <c r="D178" s="49">
        <v>0</v>
      </c>
      <c r="E178" s="209" t="e">
        <f t="shared" si="64"/>
        <v>#DIV/0!</v>
      </c>
    </row>
    <row r="179" spans="1:5">
      <c r="A179" s="217">
        <v>2018</v>
      </c>
      <c r="B179">
        <f t="shared" si="65"/>
        <v>0</v>
      </c>
      <c r="C179" s="217">
        <v>0</v>
      </c>
      <c r="D179" s="49">
        <v>0</v>
      </c>
      <c r="E179" s="209" t="e">
        <f t="shared" si="64"/>
        <v>#DIV/0!</v>
      </c>
    </row>
    <row r="180" spans="1:5">
      <c r="A180" s="217">
        <v>2019</v>
      </c>
      <c r="B180">
        <f t="shared" si="65"/>
        <v>0</v>
      </c>
      <c r="C180" s="217">
        <v>0</v>
      </c>
      <c r="D180" s="49">
        <v>0</v>
      </c>
      <c r="E180" s="209" t="e">
        <f t="shared" si="64"/>
        <v>#DIV/0!</v>
      </c>
    </row>
    <row r="181" spans="1:5">
      <c r="A181" s="217">
        <v>2020</v>
      </c>
      <c r="B181">
        <f t="shared" si="65"/>
        <v>0</v>
      </c>
      <c r="C181" s="217">
        <v>0</v>
      </c>
      <c r="D181" s="49">
        <v>0</v>
      </c>
      <c r="E181" s="209" t="e">
        <f t="shared" si="64"/>
        <v>#DIV/0!</v>
      </c>
    </row>
    <row r="182" spans="1:5">
      <c r="A182">
        <v>2021</v>
      </c>
      <c r="B182">
        <f t="shared" si="65"/>
        <v>0</v>
      </c>
      <c r="C182" s="217">
        <v>0</v>
      </c>
      <c r="D182" s="49">
        <v>0</v>
      </c>
      <c r="E182" s="209" t="e">
        <f>(C182-B182+D182)/B182</f>
        <v>#DIV/0!</v>
      </c>
    </row>
    <row r="183" spans="1:5">
      <c r="A183">
        <v>2022</v>
      </c>
      <c r="B183">
        <f>C182</f>
        <v>0</v>
      </c>
      <c r="C183" s="217">
        <v>0</v>
      </c>
      <c r="D183" s="49">
        <v>0</v>
      </c>
      <c r="E183" s="209" t="e">
        <f t="shared" ref="E183:E186" si="66">(C183-B183+D183)/B183</f>
        <v>#DIV/0!</v>
      </c>
    </row>
    <row r="184" spans="1:5">
      <c r="A184" s="49">
        <v>2023</v>
      </c>
      <c r="B184" s="49">
        <f>C183</f>
        <v>0</v>
      </c>
      <c r="C184" s="217">
        <v>0</v>
      </c>
      <c r="D184" s="49">
        <v>0</v>
      </c>
      <c r="E184" s="209" t="e">
        <f t="shared" si="66"/>
        <v>#DIV/0!</v>
      </c>
    </row>
    <row r="185" spans="1:5">
      <c r="A185" s="205">
        <v>2024</v>
      </c>
      <c r="B185" s="49">
        <f>C184</f>
        <v>0</v>
      </c>
      <c r="C185" s="217">
        <v>0</v>
      </c>
      <c r="D185" s="49">
        <v>0</v>
      </c>
      <c r="E185" s="209" t="e">
        <f t="shared" si="66"/>
        <v>#DIV/0!</v>
      </c>
    </row>
    <row r="186" spans="1:5">
      <c r="A186" s="205">
        <v>2025</v>
      </c>
      <c r="B186" s="49">
        <f>C185</f>
        <v>0</v>
      </c>
      <c r="C186" s="49">
        <v>0</v>
      </c>
      <c r="D186" s="49">
        <v>0</v>
      </c>
      <c r="E186" s="209" t="e">
        <f t="shared" si="66"/>
        <v>#DIV/0!</v>
      </c>
    </row>
    <row r="188" spans="1:5">
      <c r="A188" t="s">
        <v>2382</v>
      </c>
      <c r="E188" s="209"/>
    </row>
    <row r="189" spans="1:5" ht="43.2">
      <c r="A189" s="40" t="s">
        <v>2304</v>
      </c>
      <c r="B189" s="40" t="s">
        <v>2305</v>
      </c>
      <c r="C189" s="40" t="s">
        <v>2306</v>
      </c>
      <c r="D189" s="40" t="s">
        <v>2307</v>
      </c>
      <c r="E189" s="211" t="s">
        <v>2308</v>
      </c>
    </row>
    <row r="190" spans="1:5">
      <c r="A190" s="217">
        <v>2016</v>
      </c>
      <c r="B190" s="21"/>
      <c r="C190" s="217"/>
      <c r="D190" s="49">
        <v>0</v>
      </c>
      <c r="E190" s="209" t="e">
        <f t="shared" ref="E190:E194" si="67">(C190-B190+D190)/B190</f>
        <v>#DIV/0!</v>
      </c>
    </row>
    <row r="191" spans="1:5">
      <c r="A191" s="217">
        <v>2017</v>
      </c>
      <c r="B191">
        <f t="shared" ref="B191:B195" si="68">C190</f>
        <v>0</v>
      </c>
      <c r="C191" s="217"/>
      <c r="D191" s="49">
        <v>0</v>
      </c>
      <c r="E191" s="209" t="e">
        <f t="shared" si="67"/>
        <v>#DIV/0!</v>
      </c>
    </row>
    <row r="192" spans="1:5">
      <c r="A192" s="217">
        <v>2018</v>
      </c>
      <c r="B192">
        <f t="shared" si="68"/>
        <v>0</v>
      </c>
      <c r="C192" s="217"/>
      <c r="D192" s="49">
        <v>0</v>
      </c>
      <c r="E192" s="209" t="e">
        <f t="shared" si="67"/>
        <v>#DIV/0!</v>
      </c>
    </row>
    <row r="193" spans="1:5">
      <c r="A193" s="217">
        <v>2019</v>
      </c>
      <c r="B193">
        <f t="shared" si="68"/>
        <v>0</v>
      </c>
      <c r="C193" s="217"/>
      <c r="D193" s="49">
        <v>0</v>
      </c>
      <c r="E193" s="209" t="e">
        <f t="shared" si="67"/>
        <v>#DIV/0!</v>
      </c>
    </row>
    <row r="194" spans="1:5">
      <c r="A194" s="217">
        <v>2020</v>
      </c>
      <c r="B194">
        <f t="shared" si="68"/>
        <v>0</v>
      </c>
      <c r="C194" s="217"/>
      <c r="D194" s="49">
        <v>0</v>
      </c>
      <c r="E194" s="209" t="e">
        <f t="shared" si="67"/>
        <v>#DIV/0!</v>
      </c>
    </row>
    <row r="195" spans="1:5">
      <c r="A195">
        <v>2021</v>
      </c>
      <c r="B195">
        <f t="shared" si="68"/>
        <v>0</v>
      </c>
      <c r="C195">
        <v>0</v>
      </c>
      <c r="D195" s="49">
        <v>0</v>
      </c>
      <c r="E195" s="209" t="e">
        <f>(C195-B195+D195)/B195</f>
        <v>#DIV/0!</v>
      </c>
    </row>
    <row r="196" spans="1:5">
      <c r="A196">
        <v>2022</v>
      </c>
      <c r="B196">
        <f>C195</f>
        <v>0</v>
      </c>
      <c r="C196">
        <v>0</v>
      </c>
      <c r="D196" s="49">
        <v>0</v>
      </c>
      <c r="E196" s="209" t="e">
        <f t="shared" ref="E196:E199" si="69">(C196-B196+D196)/B196</f>
        <v>#DIV/0!</v>
      </c>
    </row>
    <row r="197" spans="1:5">
      <c r="A197" s="49">
        <v>2023</v>
      </c>
      <c r="B197" s="49">
        <f>C196</f>
        <v>0</v>
      </c>
      <c r="C197" s="49">
        <v>0</v>
      </c>
      <c r="D197" s="49">
        <v>0</v>
      </c>
      <c r="E197" s="209" t="e">
        <f t="shared" si="69"/>
        <v>#DIV/0!</v>
      </c>
    </row>
    <row r="198" spans="1:5">
      <c r="A198" s="205">
        <v>2024</v>
      </c>
      <c r="B198" s="49">
        <f>C197</f>
        <v>0</v>
      </c>
      <c r="C198" s="49">
        <v>0</v>
      </c>
      <c r="D198" s="49">
        <v>0</v>
      </c>
      <c r="E198" s="209" t="e">
        <f t="shared" si="69"/>
        <v>#DIV/0!</v>
      </c>
    </row>
    <row r="199" spans="1:5">
      <c r="A199" s="205">
        <v>2025</v>
      </c>
      <c r="B199" s="49">
        <f>C198</f>
        <v>0</v>
      </c>
      <c r="C199" s="49">
        <v>0</v>
      </c>
      <c r="D199" s="49">
        <v>0</v>
      </c>
      <c r="E199" s="209" t="e">
        <f t="shared" si="69"/>
        <v>#DIV/0!</v>
      </c>
    </row>
    <row r="200" spans="1:5">
      <c r="E200" s="209"/>
    </row>
    <row r="201" spans="1:5">
      <c r="A201" t="s">
        <v>2383</v>
      </c>
      <c r="E201" s="209"/>
    </row>
    <row r="202" spans="1:5" ht="43.2">
      <c r="A202" s="40" t="s">
        <v>2304</v>
      </c>
      <c r="B202" s="40" t="s">
        <v>2305</v>
      </c>
      <c r="C202" s="40" t="s">
        <v>2306</v>
      </c>
      <c r="D202" s="40" t="s">
        <v>2307</v>
      </c>
      <c r="E202" s="211" t="s">
        <v>2308</v>
      </c>
    </row>
    <row r="203" spans="1:5">
      <c r="A203" s="217">
        <v>2016</v>
      </c>
      <c r="B203" s="217"/>
      <c r="C203" s="217"/>
      <c r="D203" s="49">
        <v>0</v>
      </c>
      <c r="E203" s="209" t="e">
        <f t="shared" ref="E203:E207" si="70">(C203-B203+D203)/B203</f>
        <v>#DIV/0!</v>
      </c>
    </row>
    <row r="204" spans="1:5">
      <c r="A204" s="217">
        <v>2017</v>
      </c>
      <c r="B204">
        <f t="shared" ref="B204:B208" si="71">C203</f>
        <v>0</v>
      </c>
      <c r="C204" s="217"/>
      <c r="D204" s="49">
        <v>0</v>
      </c>
      <c r="E204" s="209" t="e">
        <f t="shared" si="70"/>
        <v>#DIV/0!</v>
      </c>
    </row>
    <row r="205" spans="1:5">
      <c r="A205" s="217">
        <v>2018</v>
      </c>
      <c r="B205">
        <f t="shared" si="71"/>
        <v>0</v>
      </c>
      <c r="C205" s="217"/>
      <c r="D205" s="49">
        <v>0</v>
      </c>
      <c r="E205" s="209" t="e">
        <f t="shared" si="70"/>
        <v>#DIV/0!</v>
      </c>
    </row>
    <row r="206" spans="1:5">
      <c r="A206" s="217">
        <v>2019</v>
      </c>
      <c r="B206">
        <f t="shared" si="71"/>
        <v>0</v>
      </c>
      <c r="C206" s="217"/>
      <c r="D206" s="49">
        <v>0</v>
      </c>
      <c r="E206" s="209" t="e">
        <f t="shared" si="70"/>
        <v>#DIV/0!</v>
      </c>
    </row>
    <row r="207" spans="1:5">
      <c r="A207" s="217">
        <v>2020</v>
      </c>
      <c r="B207">
        <f t="shared" si="71"/>
        <v>0</v>
      </c>
      <c r="C207" s="217"/>
      <c r="D207" s="49">
        <v>0</v>
      </c>
      <c r="E207" s="209" t="e">
        <f t="shared" si="70"/>
        <v>#DIV/0!</v>
      </c>
    </row>
    <row r="208" spans="1:5">
      <c r="A208">
        <v>2021</v>
      </c>
      <c r="B208">
        <f t="shared" si="71"/>
        <v>0</v>
      </c>
      <c r="C208">
        <v>0</v>
      </c>
      <c r="D208" s="49">
        <v>0</v>
      </c>
      <c r="E208" s="209" t="e">
        <f>(C208-B208+D208)/B208</f>
        <v>#DIV/0!</v>
      </c>
    </row>
    <row r="209" spans="1:5">
      <c r="A209">
        <v>2022</v>
      </c>
      <c r="B209">
        <f>C208</f>
        <v>0</v>
      </c>
      <c r="C209">
        <v>0</v>
      </c>
      <c r="D209" s="49">
        <v>0</v>
      </c>
      <c r="E209" s="209" t="e">
        <f t="shared" ref="E209:E212" si="72">(C209-B209+D209)/B209</f>
        <v>#DIV/0!</v>
      </c>
    </row>
    <row r="210" spans="1:5">
      <c r="A210" s="49">
        <v>2023</v>
      </c>
      <c r="B210" s="49">
        <f>C209</f>
        <v>0</v>
      </c>
      <c r="C210" s="49">
        <v>0</v>
      </c>
      <c r="D210" s="49">
        <v>0</v>
      </c>
      <c r="E210" s="209" t="e">
        <f t="shared" si="72"/>
        <v>#DIV/0!</v>
      </c>
    </row>
    <row r="211" spans="1:5">
      <c r="A211" s="205">
        <v>2024</v>
      </c>
      <c r="B211" s="49">
        <f>C210</f>
        <v>0</v>
      </c>
      <c r="C211" s="49">
        <v>0</v>
      </c>
      <c r="D211" s="49">
        <v>0</v>
      </c>
      <c r="E211" s="209" t="e">
        <f t="shared" si="72"/>
        <v>#DIV/0!</v>
      </c>
    </row>
    <row r="212" spans="1:5">
      <c r="A212" s="205">
        <v>2025</v>
      </c>
      <c r="B212" s="49">
        <f>C211</f>
        <v>0</v>
      </c>
      <c r="C212" s="49">
        <v>0</v>
      </c>
      <c r="D212" s="49">
        <v>0</v>
      </c>
      <c r="E212" s="209" t="e">
        <f t="shared" si="72"/>
        <v>#DIV/0!</v>
      </c>
    </row>
    <row r="214" spans="1:5">
      <c r="A214" t="s">
        <v>2384</v>
      </c>
      <c r="E214" s="209"/>
    </row>
    <row r="215" spans="1:5" ht="43.2">
      <c r="A215" s="40" t="s">
        <v>2304</v>
      </c>
      <c r="B215" s="40" t="s">
        <v>2305</v>
      </c>
      <c r="C215" s="40" t="s">
        <v>2306</v>
      </c>
      <c r="D215" s="40" t="s">
        <v>2307</v>
      </c>
      <c r="E215" s="211" t="s">
        <v>2308</v>
      </c>
    </row>
    <row r="216" spans="1:5">
      <c r="A216" s="217">
        <v>2016</v>
      </c>
      <c r="B216" s="21"/>
      <c r="C216" s="217"/>
      <c r="D216" s="49">
        <v>0</v>
      </c>
      <c r="E216" s="209" t="e">
        <f t="shared" ref="E216:E220" si="73">(C216-B216+D216)/B216</f>
        <v>#DIV/0!</v>
      </c>
    </row>
    <row r="217" spans="1:5">
      <c r="A217" s="217">
        <v>2017</v>
      </c>
      <c r="B217">
        <f t="shared" ref="B217:B221" si="74">C216</f>
        <v>0</v>
      </c>
      <c r="C217" s="217"/>
      <c r="D217" s="49">
        <v>0</v>
      </c>
      <c r="E217" s="209" t="e">
        <f t="shared" si="73"/>
        <v>#DIV/0!</v>
      </c>
    </row>
    <row r="218" spans="1:5">
      <c r="A218" s="217">
        <v>2018</v>
      </c>
      <c r="B218">
        <f t="shared" si="74"/>
        <v>0</v>
      </c>
      <c r="C218" s="217"/>
      <c r="D218" s="49">
        <v>0</v>
      </c>
      <c r="E218" s="209" t="e">
        <f t="shared" si="73"/>
        <v>#DIV/0!</v>
      </c>
    </row>
    <row r="219" spans="1:5">
      <c r="A219" s="217">
        <v>2019</v>
      </c>
      <c r="B219">
        <f t="shared" si="74"/>
        <v>0</v>
      </c>
      <c r="C219" s="217"/>
      <c r="D219" s="49">
        <v>0</v>
      </c>
      <c r="E219" s="209" t="e">
        <f t="shared" si="73"/>
        <v>#DIV/0!</v>
      </c>
    </row>
    <row r="220" spans="1:5">
      <c r="A220" s="217">
        <v>2020</v>
      </c>
      <c r="B220">
        <f t="shared" si="74"/>
        <v>0</v>
      </c>
      <c r="C220" s="217"/>
      <c r="D220" s="49">
        <v>0</v>
      </c>
      <c r="E220" s="209" t="e">
        <f t="shared" si="73"/>
        <v>#DIV/0!</v>
      </c>
    </row>
    <row r="221" spans="1:5">
      <c r="A221">
        <v>2021</v>
      </c>
      <c r="B221">
        <f t="shared" si="74"/>
        <v>0</v>
      </c>
      <c r="C221">
        <v>0</v>
      </c>
      <c r="D221" s="49">
        <v>0</v>
      </c>
      <c r="E221" s="209" t="e">
        <f>(C221-B221+D221)/B221</f>
        <v>#DIV/0!</v>
      </c>
    </row>
    <row r="222" spans="1:5">
      <c r="A222">
        <v>2022</v>
      </c>
      <c r="B222">
        <f>C221</f>
        <v>0</v>
      </c>
      <c r="C222">
        <v>0</v>
      </c>
      <c r="D222" s="49">
        <v>0</v>
      </c>
      <c r="E222" s="209" t="e">
        <f t="shared" ref="E222:E225" si="75">(C222-B222+D222)/B222</f>
        <v>#DIV/0!</v>
      </c>
    </row>
    <row r="223" spans="1:5">
      <c r="A223" s="49">
        <v>2023</v>
      </c>
      <c r="B223" s="49">
        <f>C222</f>
        <v>0</v>
      </c>
      <c r="C223" s="49">
        <v>0</v>
      </c>
      <c r="D223" s="49">
        <v>0</v>
      </c>
      <c r="E223" s="209" t="e">
        <f t="shared" si="75"/>
        <v>#DIV/0!</v>
      </c>
    </row>
    <row r="224" spans="1:5">
      <c r="A224" s="205">
        <v>2024</v>
      </c>
      <c r="B224" s="49">
        <f>C223</f>
        <v>0</v>
      </c>
      <c r="C224" s="49">
        <v>0</v>
      </c>
      <c r="D224" s="49">
        <v>0</v>
      </c>
      <c r="E224" s="209" t="e">
        <f t="shared" si="75"/>
        <v>#DIV/0!</v>
      </c>
    </row>
    <row r="225" spans="1:5">
      <c r="A225" s="205">
        <v>2025</v>
      </c>
      <c r="B225" s="49">
        <f>C224</f>
        <v>0</v>
      </c>
      <c r="C225" s="49">
        <v>0</v>
      </c>
      <c r="D225" s="49">
        <v>0</v>
      </c>
      <c r="E225" s="209" t="e">
        <f t="shared" si="75"/>
        <v>#DIV/0!</v>
      </c>
    </row>
    <row r="226" spans="1:5">
      <c r="E226" s="209"/>
    </row>
    <row r="227" spans="1:5">
      <c r="A227" t="s">
        <v>2385</v>
      </c>
      <c r="E227" s="209"/>
    </row>
    <row r="228" spans="1:5" ht="43.2">
      <c r="A228" s="40" t="s">
        <v>2304</v>
      </c>
      <c r="B228" s="40" t="s">
        <v>2305</v>
      </c>
      <c r="C228" s="40" t="s">
        <v>2306</v>
      </c>
      <c r="D228" s="40" t="s">
        <v>2307</v>
      </c>
      <c r="E228" s="211" t="s">
        <v>2308</v>
      </c>
    </row>
    <row r="229" spans="1:5">
      <c r="A229" s="217">
        <v>2016</v>
      </c>
      <c r="B229" s="217"/>
      <c r="C229" s="217"/>
      <c r="D229" s="49">
        <v>0</v>
      </c>
      <c r="E229" s="209" t="e">
        <f t="shared" ref="E229:E233" si="76">(C229-B229+D229)/B229</f>
        <v>#DIV/0!</v>
      </c>
    </row>
    <row r="230" spans="1:5">
      <c r="A230" s="217">
        <v>2017</v>
      </c>
      <c r="B230">
        <f t="shared" ref="B230:B234" si="77">C229</f>
        <v>0</v>
      </c>
      <c r="C230" s="217"/>
      <c r="D230" s="49">
        <v>0</v>
      </c>
      <c r="E230" s="209" t="e">
        <f t="shared" si="76"/>
        <v>#DIV/0!</v>
      </c>
    </row>
    <row r="231" spans="1:5">
      <c r="A231" s="217">
        <v>2018</v>
      </c>
      <c r="B231">
        <f t="shared" si="77"/>
        <v>0</v>
      </c>
      <c r="C231" s="217"/>
      <c r="D231" s="49">
        <v>0</v>
      </c>
      <c r="E231" s="209" t="e">
        <f t="shared" si="76"/>
        <v>#DIV/0!</v>
      </c>
    </row>
    <row r="232" spans="1:5">
      <c r="A232" s="217">
        <v>2019</v>
      </c>
      <c r="B232">
        <f t="shared" si="77"/>
        <v>0</v>
      </c>
      <c r="C232" s="217"/>
      <c r="D232" s="49">
        <v>0</v>
      </c>
      <c r="E232" s="209" t="e">
        <f t="shared" si="76"/>
        <v>#DIV/0!</v>
      </c>
    </row>
    <row r="233" spans="1:5">
      <c r="A233" s="217">
        <v>2020</v>
      </c>
      <c r="B233">
        <f t="shared" si="77"/>
        <v>0</v>
      </c>
      <c r="C233" s="217"/>
      <c r="D233" s="49">
        <v>0</v>
      </c>
      <c r="E233" s="209" t="e">
        <f t="shared" si="76"/>
        <v>#DIV/0!</v>
      </c>
    </row>
    <row r="234" spans="1:5">
      <c r="A234">
        <v>2021</v>
      </c>
      <c r="B234">
        <f t="shared" si="77"/>
        <v>0</v>
      </c>
      <c r="C234">
        <v>0</v>
      </c>
      <c r="D234" s="49">
        <v>0</v>
      </c>
      <c r="E234" s="209" t="e">
        <f>(C234-B234+D234)/B234</f>
        <v>#DIV/0!</v>
      </c>
    </row>
    <row r="235" spans="1:5">
      <c r="A235">
        <v>2022</v>
      </c>
      <c r="B235">
        <f>C234</f>
        <v>0</v>
      </c>
      <c r="C235">
        <v>0</v>
      </c>
      <c r="D235" s="49">
        <v>0</v>
      </c>
      <c r="E235" s="209" t="e">
        <f t="shared" ref="E235:E238" si="78">(C235-B235+D235)/B235</f>
        <v>#DIV/0!</v>
      </c>
    </row>
    <row r="236" spans="1:5">
      <c r="A236" s="49">
        <v>2023</v>
      </c>
      <c r="B236" s="49">
        <f>C235</f>
        <v>0</v>
      </c>
      <c r="C236" s="49">
        <v>0</v>
      </c>
      <c r="D236" s="49">
        <v>0</v>
      </c>
      <c r="E236" s="209" t="e">
        <f t="shared" si="78"/>
        <v>#DIV/0!</v>
      </c>
    </row>
    <row r="237" spans="1:5">
      <c r="A237" s="205">
        <v>2024</v>
      </c>
      <c r="B237" s="49">
        <f>C236</f>
        <v>0</v>
      </c>
      <c r="C237" s="49">
        <v>0</v>
      </c>
      <c r="D237" s="49">
        <v>0</v>
      </c>
      <c r="E237" s="209" t="e">
        <f t="shared" si="78"/>
        <v>#DIV/0!</v>
      </c>
    </row>
    <row r="238" spans="1:5">
      <c r="A238" s="205">
        <v>2025</v>
      </c>
      <c r="B238" s="49">
        <f>C237</f>
        <v>0</v>
      </c>
      <c r="C238" s="49">
        <v>0</v>
      </c>
      <c r="D238" s="49">
        <v>0</v>
      </c>
      <c r="E238" s="209" t="e">
        <f t="shared" si="78"/>
        <v>#DIV/0!</v>
      </c>
    </row>
    <row r="240" spans="1:5">
      <c r="A240" t="s">
        <v>2386</v>
      </c>
      <c r="E240" s="209"/>
    </row>
    <row r="241" spans="1:5" ht="43.2">
      <c r="A241" s="40" t="s">
        <v>2304</v>
      </c>
      <c r="B241" s="40" t="s">
        <v>2305</v>
      </c>
      <c r="C241" s="40" t="s">
        <v>2306</v>
      </c>
      <c r="D241" s="40" t="s">
        <v>2307</v>
      </c>
      <c r="E241" s="211" t="s">
        <v>2308</v>
      </c>
    </row>
    <row r="242" spans="1:5">
      <c r="A242" s="217">
        <v>2016</v>
      </c>
      <c r="B242" s="21"/>
      <c r="C242" s="217"/>
      <c r="D242" s="49">
        <v>0</v>
      </c>
      <c r="E242" s="209" t="e">
        <f t="shared" ref="E242:E246" si="79">(C242-B242+D242)/B242</f>
        <v>#DIV/0!</v>
      </c>
    </row>
    <row r="243" spans="1:5">
      <c r="A243" s="217">
        <v>2017</v>
      </c>
      <c r="B243">
        <f t="shared" ref="B243:B247" si="80">C242</f>
        <v>0</v>
      </c>
      <c r="C243" s="217"/>
      <c r="D243" s="49">
        <v>0</v>
      </c>
      <c r="E243" s="209" t="e">
        <f t="shared" si="79"/>
        <v>#DIV/0!</v>
      </c>
    </row>
    <row r="244" spans="1:5">
      <c r="A244" s="217">
        <v>2018</v>
      </c>
      <c r="B244">
        <f t="shared" si="80"/>
        <v>0</v>
      </c>
      <c r="C244" s="217"/>
      <c r="D244" s="49">
        <v>0</v>
      </c>
      <c r="E244" s="209" t="e">
        <f t="shared" si="79"/>
        <v>#DIV/0!</v>
      </c>
    </row>
    <row r="245" spans="1:5">
      <c r="A245" s="217">
        <v>2019</v>
      </c>
      <c r="B245">
        <f t="shared" si="80"/>
        <v>0</v>
      </c>
      <c r="C245" s="217"/>
      <c r="D245" s="49">
        <v>0</v>
      </c>
      <c r="E245" s="209" t="e">
        <f t="shared" si="79"/>
        <v>#DIV/0!</v>
      </c>
    </row>
    <row r="246" spans="1:5">
      <c r="A246" s="217">
        <v>2020</v>
      </c>
      <c r="B246">
        <f t="shared" si="80"/>
        <v>0</v>
      </c>
      <c r="C246" s="217"/>
      <c r="D246" s="49">
        <v>0</v>
      </c>
      <c r="E246" s="209" t="e">
        <f t="shared" si="79"/>
        <v>#DIV/0!</v>
      </c>
    </row>
    <row r="247" spans="1:5">
      <c r="A247">
        <v>2021</v>
      </c>
      <c r="B247">
        <f t="shared" si="80"/>
        <v>0</v>
      </c>
      <c r="C247">
        <v>0</v>
      </c>
      <c r="D247" s="49">
        <v>0</v>
      </c>
      <c r="E247" s="209" t="e">
        <f>(C247-B247+D247)/B247</f>
        <v>#DIV/0!</v>
      </c>
    </row>
    <row r="248" spans="1:5">
      <c r="A248">
        <v>2022</v>
      </c>
      <c r="B248">
        <f>C247</f>
        <v>0</v>
      </c>
      <c r="C248">
        <v>0</v>
      </c>
      <c r="D248" s="49">
        <v>0</v>
      </c>
      <c r="E248" s="209" t="e">
        <f t="shared" ref="E248:E251" si="81">(C248-B248+D248)/B248</f>
        <v>#DIV/0!</v>
      </c>
    </row>
    <row r="249" spans="1:5">
      <c r="A249" s="49">
        <v>2023</v>
      </c>
      <c r="B249" s="49">
        <f>C248</f>
        <v>0</v>
      </c>
      <c r="C249" s="49">
        <v>0</v>
      </c>
      <c r="D249" s="49">
        <v>0</v>
      </c>
      <c r="E249" s="209" t="e">
        <f t="shared" si="81"/>
        <v>#DIV/0!</v>
      </c>
    </row>
    <row r="250" spans="1:5">
      <c r="A250" s="205">
        <v>2024</v>
      </c>
      <c r="B250" s="49">
        <f>C249</f>
        <v>0</v>
      </c>
      <c r="C250" s="49">
        <v>0</v>
      </c>
      <c r="D250" s="49">
        <v>0</v>
      </c>
      <c r="E250" s="209" t="e">
        <f t="shared" si="81"/>
        <v>#DIV/0!</v>
      </c>
    </row>
    <row r="251" spans="1:5">
      <c r="A251" s="205">
        <v>2025</v>
      </c>
      <c r="B251" s="49">
        <f>C250</f>
        <v>0</v>
      </c>
      <c r="C251" s="49">
        <v>0</v>
      </c>
      <c r="D251" s="49">
        <v>0</v>
      </c>
      <c r="E251" s="209" t="e">
        <f t="shared" si="81"/>
        <v>#DIV/0!</v>
      </c>
    </row>
    <row r="252" spans="1:5">
      <c r="E252" s="209"/>
    </row>
    <row r="253" spans="1:5">
      <c r="A253" t="s">
        <v>2387</v>
      </c>
      <c r="E253" s="209"/>
    </row>
    <row r="254" spans="1:5" ht="43.2">
      <c r="A254" s="40" t="s">
        <v>2304</v>
      </c>
      <c r="B254" s="40" t="s">
        <v>2305</v>
      </c>
      <c r="C254" s="40" t="s">
        <v>2306</v>
      </c>
      <c r="D254" s="40" t="s">
        <v>2307</v>
      </c>
      <c r="E254" s="211" t="s">
        <v>2308</v>
      </c>
    </row>
    <row r="255" spans="1:5">
      <c r="A255" s="217">
        <v>2016</v>
      </c>
      <c r="B255" s="217"/>
      <c r="C255" s="217"/>
      <c r="D255" s="49">
        <v>0</v>
      </c>
      <c r="E255" s="209" t="e">
        <f t="shared" ref="E255:E259" si="82">(C255-B255+D255)/B255</f>
        <v>#DIV/0!</v>
      </c>
    </row>
    <row r="256" spans="1:5">
      <c r="A256" s="217">
        <v>2017</v>
      </c>
      <c r="B256">
        <f t="shared" ref="B256:B260" si="83">C255</f>
        <v>0</v>
      </c>
      <c r="C256" s="217"/>
      <c r="D256" s="49">
        <v>0</v>
      </c>
      <c r="E256" s="209" t="e">
        <f t="shared" si="82"/>
        <v>#DIV/0!</v>
      </c>
    </row>
    <row r="257" spans="1:5">
      <c r="A257" s="217">
        <v>2018</v>
      </c>
      <c r="B257">
        <f t="shared" si="83"/>
        <v>0</v>
      </c>
      <c r="C257" s="217"/>
      <c r="D257" s="49">
        <v>0</v>
      </c>
      <c r="E257" s="209" t="e">
        <f t="shared" si="82"/>
        <v>#DIV/0!</v>
      </c>
    </row>
    <row r="258" spans="1:5">
      <c r="A258" s="217">
        <v>2019</v>
      </c>
      <c r="B258">
        <f t="shared" si="83"/>
        <v>0</v>
      </c>
      <c r="C258" s="217"/>
      <c r="D258" s="49">
        <v>0</v>
      </c>
      <c r="E258" s="209" t="e">
        <f t="shared" si="82"/>
        <v>#DIV/0!</v>
      </c>
    </row>
    <row r="259" spans="1:5">
      <c r="A259" s="217">
        <v>2020</v>
      </c>
      <c r="B259">
        <f t="shared" si="83"/>
        <v>0</v>
      </c>
      <c r="C259" s="217"/>
      <c r="D259" s="49">
        <v>0</v>
      </c>
      <c r="E259" s="209" t="e">
        <f t="shared" si="82"/>
        <v>#DIV/0!</v>
      </c>
    </row>
    <row r="260" spans="1:5">
      <c r="A260">
        <v>2021</v>
      </c>
      <c r="B260">
        <f t="shared" si="83"/>
        <v>0</v>
      </c>
      <c r="C260">
        <v>0</v>
      </c>
      <c r="D260" s="49">
        <v>0</v>
      </c>
      <c r="E260" s="209" t="e">
        <f>(C260-B260+D260)/B260</f>
        <v>#DIV/0!</v>
      </c>
    </row>
    <row r="261" spans="1:5">
      <c r="A261">
        <v>2022</v>
      </c>
      <c r="B261">
        <f>C260</f>
        <v>0</v>
      </c>
      <c r="C261">
        <v>0</v>
      </c>
      <c r="D261" s="49">
        <v>0</v>
      </c>
      <c r="E261" s="209" t="e">
        <f t="shared" ref="E261:E264" si="84">(C261-B261+D261)/B261</f>
        <v>#DIV/0!</v>
      </c>
    </row>
    <row r="262" spans="1:5">
      <c r="A262" s="49">
        <v>2023</v>
      </c>
      <c r="B262" s="49">
        <f>C261</f>
        <v>0</v>
      </c>
      <c r="C262" s="49">
        <v>0</v>
      </c>
      <c r="D262" s="49">
        <v>0</v>
      </c>
      <c r="E262" s="209" t="e">
        <f t="shared" si="84"/>
        <v>#DIV/0!</v>
      </c>
    </row>
    <row r="263" spans="1:5">
      <c r="A263" s="205">
        <v>2024</v>
      </c>
      <c r="B263" s="49">
        <f>C262</f>
        <v>0</v>
      </c>
      <c r="C263" s="49">
        <v>0</v>
      </c>
      <c r="D263" s="49">
        <v>0</v>
      </c>
      <c r="E263" s="209" t="e">
        <f t="shared" si="84"/>
        <v>#DIV/0!</v>
      </c>
    </row>
    <row r="264" spans="1:5">
      <c r="A264" s="205">
        <v>2025</v>
      </c>
      <c r="B264" s="49">
        <f>C263</f>
        <v>0</v>
      </c>
      <c r="C264" s="49">
        <v>0</v>
      </c>
      <c r="D264" s="49">
        <v>0</v>
      </c>
      <c r="E264" s="209" t="e">
        <f t="shared" si="84"/>
        <v>#DIV/0!</v>
      </c>
    </row>
    <row r="266" spans="1:5">
      <c r="A266" t="s">
        <v>2364</v>
      </c>
      <c r="E266" s="209"/>
    </row>
    <row r="267" spans="1:5" ht="43.2">
      <c r="A267" s="40" t="s">
        <v>2304</v>
      </c>
      <c r="B267" s="40" t="s">
        <v>2305</v>
      </c>
      <c r="C267" s="40" t="s">
        <v>2306</v>
      </c>
      <c r="D267" s="40" t="s">
        <v>2307</v>
      </c>
      <c r="E267" s="211" t="s">
        <v>2308</v>
      </c>
    </row>
    <row r="268" spans="1:5">
      <c r="A268" s="217">
        <v>2016</v>
      </c>
      <c r="B268" s="21"/>
      <c r="C268" s="217"/>
      <c r="D268" s="49">
        <v>0</v>
      </c>
      <c r="E268" s="209" t="e">
        <f t="shared" ref="E268:E272" si="85">(C268-B268+D268)/B268</f>
        <v>#DIV/0!</v>
      </c>
    </row>
    <row r="269" spans="1:5">
      <c r="A269" s="217">
        <v>2017</v>
      </c>
      <c r="B269">
        <f t="shared" ref="B269:B273" si="86">C268</f>
        <v>0</v>
      </c>
      <c r="C269" s="217"/>
      <c r="D269" s="49">
        <v>0</v>
      </c>
      <c r="E269" s="209" t="e">
        <f t="shared" si="85"/>
        <v>#DIV/0!</v>
      </c>
    </row>
    <row r="270" spans="1:5">
      <c r="A270" s="217">
        <v>2018</v>
      </c>
      <c r="B270">
        <f t="shared" si="86"/>
        <v>0</v>
      </c>
      <c r="C270" s="217"/>
      <c r="D270" s="49">
        <v>0</v>
      </c>
      <c r="E270" s="209" t="e">
        <f t="shared" si="85"/>
        <v>#DIV/0!</v>
      </c>
    </row>
    <row r="271" spans="1:5">
      <c r="A271" s="217">
        <v>2019</v>
      </c>
      <c r="B271">
        <f t="shared" si="86"/>
        <v>0</v>
      </c>
      <c r="C271" s="217"/>
      <c r="D271" s="49">
        <v>0</v>
      </c>
      <c r="E271" s="209" t="e">
        <f t="shared" si="85"/>
        <v>#DIV/0!</v>
      </c>
    </row>
    <row r="272" spans="1:5">
      <c r="A272" s="217">
        <v>2020</v>
      </c>
      <c r="B272">
        <f t="shared" si="86"/>
        <v>0</v>
      </c>
      <c r="C272" s="217"/>
      <c r="D272" s="49">
        <v>0</v>
      </c>
      <c r="E272" s="209" t="e">
        <f t="shared" si="85"/>
        <v>#DIV/0!</v>
      </c>
    </row>
    <row r="273" spans="1:5">
      <c r="A273">
        <v>2021</v>
      </c>
      <c r="B273">
        <f t="shared" si="86"/>
        <v>0</v>
      </c>
      <c r="C273">
        <v>0</v>
      </c>
      <c r="D273" s="49">
        <v>0</v>
      </c>
      <c r="E273" s="209" t="e">
        <f>(C273-B273+D273)/B273</f>
        <v>#DIV/0!</v>
      </c>
    </row>
    <row r="274" spans="1:5">
      <c r="A274">
        <v>2022</v>
      </c>
      <c r="B274">
        <f>C273</f>
        <v>0</v>
      </c>
      <c r="C274">
        <v>0</v>
      </c>
      <c r="D274" s="49">
        <v>0</v>
      </c>
      <c r="E274" s="209" t="e">
        <f t="shared" ref="E274:E277" si="87">(C274-B274+D274)/B274</f>
        <v>#DIV/0!</v>
      </c>
    </row>
    <row r="275" spans="1:5">
      <c r="A275" s="49">
        <v>2023</v>
      </c>
      <c r="B275" s="49">
        <f>C274</f>
        <v>0</v>
      </c>
      <c r="C275" s="49">
        <v>0</v>
      </c>
      <c r="D275" s="49">
        <v>0</v>
      </c>
      <c r="E275" s="209" t="e">
        <f t="shared" si="87"/>
        <v>#DIV/0!</v>
      </c>
    </row>
    <row r="276" spans="1:5">
      <c r="A276" s="205">
        <v>2024</v>
      </c>
      <c r="B276" s="49">
        <f>C275</f>
        <v>0</v>
      </c>
      <c r="C276" s="49">
        <v>0</v>
      </c>
      <c r="D276" s="49">
        <v>0</v>
      </c>
      <c r="E276" s="209" t="e">
        <f t="shared" si="87"/>
        <v>#DIV/0!</v>
      </c>
    </row>
    <row r="277" spans="1:5">
      <c r="A277" s="205">
        <v>2025</v>
      </c>
      <c r="B277" s="49">
        <f>C276</f>
        <v>0</v>
      </c>
      <c r="C277" s="49">
        <v>0</v>
      </c>
      <c r="D277" s="49">
        <v>0</v>
      </c>
      <c r="E277" s="209" t="e">
        <f t="shared" si="87"/>
        <v>#DIV/0!</v>
      </c>
    </row>
    <row r="278" spans="1:5">
      <c r="E278" s="209"/>
    </row>
    <row r="279" spans="1:5">
      <c r="A279" t="s">
        <v>2365</v>
      </c>
      <c r="E279" s="209"/>
    </row>
    <row r="280" spans="1:5" ht="43.2">
      <c r="A280" s="40" t="s">
        <v>2304</v>
      </c>
      <c r="B280" s="40" t="s">
        <v>2305</v>
      </c>
      <c r="C280" s="40" t="s">
        <v>2306</v>
      </c>
      <c r="D280" s="40" t="s">
        <v>2307</v>
      </c>
      <c r="E280" s="211" t="s">
        <v>2308</v>
      </c>
    </row>
    <row r="281" spans="1:5">
      <c r="A281" s="217">
        <v>2016</v>
      </c>
      <c r="B281" s="217"/>
      <c r="C281" s="217"/>
      <c r="D281" s="49">
        <v>0</v>
      </c>
      <c r="E281" s="209" t="e">
        <f t="shared" ref="E281:E285" si="88">(C281-B281+D281)/B281</f>
        <v>#DIV/0!</v>
      </c>
    </row>
    <row r="282" spans="1:5">
      <c r="A282" s="217">
        <v>2017</v>
      </c>
      <c r="B282">
        <f t="shared" ref="B282:B286" si="89">C281</f>
        <v>0</v>
      </c>
      <c r="C282" s="217"/>
      <c r="D282" s="49">
        <v>0</v>
      </c>
      <c r="E282" s="209" t="e">
        <f t="shared" si="88"/>
        <v>#DIV/0!</v>
      </c>
    </row>
    <row r="283" spans="1:5">
      <c r="A283" s="217">
        <v>2018</v>
      </c>
      <c r="B283">
        <f t="shared" si="89"/>
        <v>0</v>
      </c>
      <c r="C283" s="217"/>
      <c r="D283" s="49">
        <v>0</v>
      </c>
      <c r="E283" s="209" t="e">
        <f t="shared" si="88"/>
        <v>#DIV/0!</v>
      </c>
    </row>
    <row r="284" spans="1:5">
      <c r="A284" s="217">
        <v>2019</v>
      </c>
      <c r="B284">
        <f t="shared" si="89"/>
        <v>0</v>
      </c>
      <c r="C284" s="217"/>
      <c r="D284" s="49">
        <v>0</v>
      </c>
      <c r="E284" s="209" t="e">
        <f t="shared" si="88"/>
        <v>#DIV/0!</v>
      </c>
    </row>
    <row r="285" spans="1:5">
      <c r="A285" s="217">
        <v>2020</v>
      </c>
      <c r="B285">
        <f t="shared" si="89"/>
        <v>0</v>
      </c>
      <c r="C285" s="217"/>
      <c r="D285" s="49">
        <v>0</v>
      </c>
      <c r="E285" s="209" t="e">
        <f t="shared" si="88"/>
        <v>#DIV/0!</v>
      </c>
    </row>
    <row r="286" spans="1:5">
      <c r="A286">
        <v>2021</v>
      </c>
      <c r="B286">
        <f t="shared" si="89"/>
        <v>0</v>
      </c>
      <c r="C286">
        <v>0</v>
      </c>
      <c r="D286" s="49">
        <v>0</v>
      </c>
      <c r="E286" s="209" t="e">
        <f>(C286-B286+D286)/B286</f>
        <v>#DIV/0!</v>
      </c>
    </row>
    <row r="287" spans="1:5">
      <c r="A287">
        <v>2022</v>
      </c>
      <c r="B287">
        <f>C286</f>
        <v>0</v>
      </c>
      <c r="C287">
        <v>0</v>
      </c>
      <c r="D287" s="49">
        <v>0</v>
      </c>
      <c r="E287" s="209" t="e">
        <f t="shared" ref="E287:E290" si="90">(C287-B287+D287)/B287</f>
        <v>#DIV/0!</v>
      </c>
    </row>
    <row r="288" spans="1:5">
      <c r="A288" s="49">
        <v>2023</v>
      </c>
      <c r="B288" s="49">
        <f>C287</f>
        <v>0</v>
      </c>
      <c r="C288" s="49">
        <v>0</v>
      </c>
      <c r="D288" s="49">
        <v>0</v>
      </c>
      <c r="E288" s="209" t="e">
        <f t="shared" si="90"/>
        <v>#DIV/0!</v>
      </c>
    </row>
    <row r="289" spans="1:5">
      <c r="A289" s="205">
        <v>2024</v>
      </c>
      <c r="B289" s="49">
        <f>C288</f>
        <v>0</v>
      </c>
      <c r="C289" s="49">
        <v>0</v>
      </c>
      <c r="D289" s="49">
        <v>0</v>
      </c>
      <c r="E289" s="209" t="e">
        <f t="shared" si="90"/>
        <v>#DIV/0!</v>
      </c>
    </row>
    <row r="290" spans="1:5">
      <c r="A290" s="205">
        <v>2025</v>
      </c>
      <c r="B290" s="49">
        <f>C289</f>
        <v>0</v>
      </c>
      <c r="C290" s="49">
        <v>0</v>
      </c>
      <c r="D290" s="49">
        <v>0</v>
      </c>
      <c r="E290" s="209" t="e">
        <f t="shared" si="90"/>
        <v>#DIV/0!</v>
      </c>
    </row>
    <row r="292" spans="1:5" ht="57.6">
      <c r="A292" s="40" t="s">
        <v>2200</v>
      </c>
      <c r="B292" s="40" t="s">
        <v>2201</v>
      </c>
      <c r="C292" s="40" t="s">
        <v>2202</v>
      </c>
    </row>
    <row r="293" spans="1:5" ht="86.4">
      <c r="A293" s="50" t="s">
        <v>2203</v>
      </c>
      <c r="B293" s="49" t="s">
        <v>2204</v>
      </c>
      <c r="C293" s="50" t="s">
        <v>2205</v>
      </c>
    </row>
    <row r="294" spans="1:5" ht="72">
      <c r="A294" s="50" t="s">
        <v>2206</v>
      </c>
      <c r="B294" s="49" t="s">
        <v>2207</v>
      </c>
      <c r="C294" s="50" t="s">
        <v>2208</v>
      </c>
    </row>
    <row r="295" spans="1:5" ht="100.8">
      <c r="A295" s="50" t="s">
        <v>2209</v>
      </c>
      <c r="B295" s="49" t="s">
        <v>2210</v>
      </c>
      <c r="C295" s="50" t="s">
        <v>2211</v>
      </c>
    </row>
  </sheetData>
  <mergeCells count="17">
    <mergeCell ref="G44:I45"/>
    <mergeCell ref="J44:L45"/>
    <mergeCell ref="M44:O45"/>
    <mergeCell ref="B149:C149"/>
    <mergeCell ref="G46:I46"/>
    <mergeCell ref="J46:L46"/>
    <mergeCell ref="M46:O46"/>
    <mergeCell ref="G47:I48"/>
    <mergeCell ref="J47:L48"/>
    <mergeCell ref="M47:O48"/>
    <mergeCell ref="G34:H34"/>
    <mergeCell ref="G33:H33"/>
    <mergeCell ref="M33:U33"/>
    <mergeCell ref="S20:T20"/>
    <mergeCell ref="M43:O43"/>
    <mergeCell ref="J43:L43"/>
    <mergeCell ref="G43:I4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B8457-9443-415D-8E2C-76AC7BA6E660}">
  <dimension ref="A1:J29"/>
  <sheetViews>
    <sheetView zoomScale="70" zoomScaleNormal="70" workbookViewId="0">
      <selection sqref="A1:O54"/>
    </sheetView>
  </sheetViews>
  <sheetFormatPr defaultRowHeight="14.4"/>
  <cols>
    <col min="1" max="1" width="4.33203125" customWidth="1"/>
    <col min="2" max="2" width="49.109375" customWidth="1"/>
    <col min="4" max="4" width="12.88671875" customWidth="1"/>
    <col min="5" max="5" width="4.109375" customWidth="1"/>
  </cols>
  <sheetData>
    <row r="1" spans="1:10">
      <c r="B1" s="24" t="s">
        <v>1293</v>
      </c>
      <c r="D1" t="s">
        <v>2170</v>
      </c>
    </row>
    <row r="2" spans="1:10">
      <c r="D2" s="7" t="s">
        <v>1294</v>
      </c>
    </row>
    <row r="3" spans="1:10" ht="15" customHeight="1">
      <c r="B3" s="320"/>
      <c r="C3" s="320"/>
      <c r="D3" s="320"/>
      <c r="E3" s="320"/>
      <c r="F3" s="320"/>
      <c r="G3" s="320"/>
      <c r="H3" s="320"/>
      <c r="I3" s="320"/>
      <c r="J3" s="320"/>
    </row>
    <row r="4" spans="1:10">
      <c r="A4">
        <v>1</v>
      </c>
      <c r="B4" s="197" t="s">
        <v>1231</v>
      </c>
      <c r="C4" t="s">
        <v>1234</v>
      </c>
      <c r="D4" s="235">
        <v>2.2200000000000002</v>
      </c>
      <c r="G4" t="s">
        <v>1812</v>
      </c>
    </row>
    <row r="5" spans="1:10">
      <c r="B5" s="1"/>
    </row>
    <row r="7" spans="1:10" ht="15.6">
      <c r="A7">
        <v>2</v>
      </c>
      <c r="B7" s="13" t="s">
        <v>2171</v>
      </c>
      <c r="C7" t="s">
        <v>1235</v>
      </c>
      <c r="D7" s="236">
        <v>4.6500000000000004</v>
      </c>
    </row>
    <row r="9" spans="1:10">
      <c r="A9">
        <v>3</v>
      </c>
      <c r="B9" t="s">
        <v>2502</v>
      </c>
      <c r="C9" t="s">
        <v>1236</v>
      </c>
      <c r="D9" s="33">
        <f>(C10*D7)-D7</f>
        <v>1.6098834225706264</v>
      </c>
    </row>
    <row r="10" spans="1:10" ht="28.8">
      <c r="B10" s="12" t="s">
        <v>2416</v>
      </c>
      <c r="C10" s="121">
        <f>'03i_Beta_Calculation'!D47</f>
        <v>1.346211488724866</v>
      </c>
    </row>
    <row r="12" spans="1:10">
      <c r="A12">
        <v>5</v>
      </c>
      <c r="B12" t="s">
        <v>1232</v>
      </c>
      <c r="C12" t="s">
        <v>1237</v>
      </c>
      <c r="D12" s="238">
        <f>'03b_Size Premium Method 15Y'!E27</f>
        <v>6.0302553965607313</v>
      </c>
    </row>
    <row r="13" spans="1:10">
      <c r="B13" s="12"/>
    </row>
    <row r="14" spans="1:10">
      <c r="A14">
        <v>6</v>
      </c>
      <c r="B14" t="s">
        <v>1233</v>
      </c>
      <c r="C14" t="s">
        <v>1238</v>
      </c>
      <c r="D14" s="194">
        <f>'10_CSRP_Scoring'!B21</f>
        <v>4.4000000000000004</v>
      </c>
    </row>
    <row r="15" spans="1:10">
      <c r="D15" s="32"/>
    </row>
    <row r="16" spans="1:10">
      <c r="B16" t="s">
        <v>1240</v>
      </c>
      <c r="C16" s="14" t="s">
        <v>1241</v>
      </c>
      <c r="D16" s="33">
        <f>SUM(D4:D15)</f>
        <v>18.910138819131358</v>
      </c>
    </row>
    <row r="18" spans="2:10">
      <c r="B18" t="s">
        <v>1591</v>
      </c>
      <c r="C18" s="14" t="s">
        <v>1295</v>
      </c>
      <c r="D18" s="195">
        <f>'06b_Sustainable Growth Rate'!B82</f>
        <v>0.03</v>
      </c>
    </row>
    <row r="20" spans="2:10">
      <c r="B20" t="s">
        <v>1239</v>
      </c>
      <c r="D20" s="195">
        <f>D16-D18</f>
        <v>18.880138819131357</v>
      </c>
    </row>
    <row r="21" spans="2:10">
      <c r="C21" t="s">
        <v>1250</v>
      </c>
      <c r="D21" s="237">
        <f>100/D20</f>
        <v>5.2965712253486927</v>
      </c>
      <c r="E21" t="s">
        <v>2414</v>
      </c>
    </row>
    <row r="25" spans="2:10" ht="17.399999999999999">
      <c r="B25" s="232" t="s">
        <v>2411</v>
      </c>
    </row>
    <row r="29" spans="2:10">
      <c r="J29">
        <f>0.005*100</f>
        <v>0.5</v>
      </c>
    </row>
  </sheetData>
  <mergeCells count="1">
    <mergeCell ref="B3:J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16014-3B95-4B4F-9724-0E39035EBCC5}">
  <dimension ref="A3:J46"/>
  <sheetViews>
    <sheetView topLeftCell="A10" zoomScale="76" zoomScaleNormal="76" workbookViewId="0">
      <selection activeCell="E17" sqref="E17"/>
    </sheetView>
  </sheetViews>
  <sheetFormatPr defaultRowHeight="14.4"/>
  <cols>
    <col min="1" max="1" width="41.6640625" customWidth="1"/>
    <col min="2" max="2" width="6.44140625" customWidth="1"/>
    <col min="3" max="7" width="14.33203125" customWidth="1"/>
    <col min="8" max="8" width="34.44140625" customWidth="1"/>
  </cols>
  <sheetData>
    <row r="3" spans="1:8">
      <c r="A3" s="24" t="s">
        <v>1296</v>
      </c>
      <c r="B3" s="24"/>
    </row>
    <row r="4" spans="1:8">
      <c r="A4" t="s">
        <v>1448</v>
      </c>
    </row>
    <row r="5" spans="1:8" ht="105.6" customHeight="1">
      <c r="A5" s="34" t="s">
        <v>1297</v>
      </c>
      <c r="B5" s="68" t="s">
        <v>1470</v>
      </c>
      <c r="C5" s="68" t="s">
        <v>1298</v>
      </c>
      <c r="D5" s="70" t="s">
        <v>1299</v>
      </c>
      <c r="E5" s="68" t="s">
        <v>1300</v>
      </c>
      <c r="F5" s="70" t="s">
        <v>1313</v>
      </c>
      <c r="G5" s="70" t="s">
        <v>1301</v>
      </c>
      <c r="H5" s="34" t="s">
        <v>1311</v>
      </c>
    </row>
    <row r="6" spans="1:8">
      <c r="A6" t="s">
        <v>1302</v>
      </c>
      <c r="B6" s="228">
        <v>4</v>
      </c>
      <c r="C6" s="229">
        <v>4269474</v>
      </c>
      <c r="D6" s="225">
        <f>E6/C6</f>
        <v>0.77761335471301618</v>
      </c>
      <c r="E6" s="230">
        <v>3320000</v>
      </c>
      <c r="F6" s="231">
        <f>C6/$C$11</f>
        <v>0.89106020844612099</v>
      </c>
      <c r="G6" s="229">
        <f>B6*F6</f>
        <v>3.564240833784484</v>
      </c>
      <c r="H6" t="s">
        <v>1312</v>
      </c>
    </row>
    <row r="7" spans="1:8">
      <c r="A7" t="s">
        <v>1303</v>
      </c>
      <c r="B7" s="228">
        <v>3</v>
      </c>
      <c r="C7" s="229">
        <v>330000</v>
      </c>
      <c r="D7" s="225">
        <f>E7/C7</f>
        <v>1</v>
      </c>
      <c r="E7" s="230">
        <v>330000</v>
      </c>
      <c r="F7" s="231">
        <f t="shared" ref="F7:F8" si="0">C7/$C$11</f>
        <v>6.8872621964021774E-2</v>
      </c>
      <c r="G7" s="229">
        <f>F7*B7</f>
        <v>0.20661786589206532</v>
      </c>
      <c r="H7" t="s">
        <v>1312</v>
      </c>
    </row>
    <row r="8" spans="1:8">
      <c r="A8" t="s">
        <v>1304</v>
      </c>
      <c r="B8" s="228">
        <v>4.0599999999999996</v>
      </c>
      <c r="C8" s="229">
        <v>191980</v>
      </c>
      <c r="D8" s="225">
        <f>E8/C8</f>
        <v>0.91666840295864149</v>
      </c>
      <c r="E8" s="230">
        <v>175982</v>
      </c>
      <c r="F8" s="231">
        <f t="shared" si="0"/>
        <v>4.0067169589857274E-2</v>
      </c>
      <c r="G8" s="229">
        <f>F8*B8</f>
        <v>0.16267270853482052</v>
      </c>
      <c r="H8" t="s">
        <v>1312</v>
      </c>
    </row>
    <row r="9" spans="1:8">
      <c r="C9" s="18"/>
      <c r="E9" t="s">
        <v>1317</v>
      </c>
      <c r="G9" s="20">
        <f>SUM(G6:G8)</f>
        <v>3.9335314082113699</v>
      </c>
    </row>
    <row r="10" spans="1:8">
      <c r="C10" s="18"/>
      <c r="E10" s="35"/>
      <c r="F10" t="s">
        <v>1316</v>
      </c>
      <c r="G10" s="42">
        <f>G9*(1-'01_Inputs'!E13)</f>
        <v>3.2648310688154369</v>
      </c>
      <c r="H10" s="191" t="s">
        <v>2622</v>
      </c>
    </row>
    <row r="11" spans="1:8">
      <c r="A11" t="s">
        <v>1305</v>
      </c>
      <c r="C11" s="20">
        <f>SUM(C6:C9)</f>
        <v>4791454</v>
      </c>
      <c r="D11" s="41">
        <f>E11/C11</f>
        <v>0.79850124826409685</v>
      </c>
      <c r="E11" s="20">
        <f>SUM(E6:E9)</f>
        <v>3825982</v>
      </c>
    </row>
    <row r="12" spans="1:8">
      <c r="C12" s="18"/>
      <c r="E12" s="35"/>
    </row>
    <row r="14" spans="1:8">
      <c r="A14" t="s">
        <v>1306</v>
      </c>
    </row>
    <row r="16" spans="1:8" ht="43.8" customHeight="1">
      <c r="A16" s="36"/>
      <c r="B16" s="36"/>
      <c r="C16" s="65" t="s">
        <v>1307</v>
      </c>
      <c r="D16" s="65" t="s">
        <v>1308</v>
      </c>
      <c r="E16" s="65" t="s">
        <v>1309</v>
      </c>
      <c r="F16" s="40"/>
      <c r="G16" s="64" t="s">
        <v>1315</v>
      </c>
    </row>
    <row r="17" spans="1:7">
      <c r="A17" t="s">
        <v>2191</v>
      </c>
      <c r="C17" s="72">
        <f>G10</f>
        <v>3.2648310688154369</v>
      </c>
      <c r="D17" s="71">
        <f>G17/G19</f>
        <v>0.69959335152892144</v>
      </c>
      <c r="E17" s="73">
        <f>D17*C17</f>
        <v>2.2840541096083422</v>
      </c>
      <c r="G17" s="75">
        <f>C11</f>
        <v>4791454</v>
      </c>
    </row>
    <row r="18" spans="1:7" ht="18" customHeight="1">
      <c r="A18" s="37" t="s">
        <v>2192</v>
      </c>
      <c r="B18" s="37"/>
      <c r="C18" s="72">
        <f>B36</f>
        <v>18.910138819131358</v>
      </c>
      <c r="D18" s="74">
        <f>1-D17</f>
        <v>0.30040664847107856</v>
      </c>
      <c r="E18" s="73">
        <f>D18*C18</f>
        <v>5.6807314247780907</v>
      </c>
      <c r="G18" s="63">
        <v>2057459</v>
      </c>
    </row>
    <row r="19" spans="1:7">
      <c r="D19" s="39">
        <f>D17+D18</f>
        <v>1</v>
      </c>
      <c r="E19" s="38">
        <f>E17+E18</f>
        <v>7.9647855343864329</v>
      </c>
      <c r="G19" s="20">
        <f>G17+G18</f>
        <v>6848913</v>
      </c>
    </row>
    <row r="21" spans="1:7">
      <c r="A21" t="s">
        <v>1314</v>
      </c>
      <c r="E21" s="38">
        <f>E19</f>
        <v>7.9647855343864329</v>
      </c>
    </row>
    <row r="24" spans="1:7">
      <c r="A24" s="24" t="s">
        <v>2172</v>
      </c>
      <c r="C24" s="190" t="s">
        <v>1744</v>
      </c>
    </row>
    <row r="25" spans="1:7">
      <c r="A25" s="21" t="s">
        <v>2174</v>
      </c>
      <c r="C25" s="35">
        <f>G17</f>
        <v>4791454</v>
      </c>
    </row>
    <row r="26" spans="1:7">
      <c r="A26" s="21" t="s">
        <v>2173</v>
      </c>
      <c r="C26" s="35">
        <f>G18</f>
        <v>2057459</v>
      </c>
    </row>
    <row r="27" spans="1:7">
      <c r="A27" s="21" t="s">
        <v>2178</v>
      </c>
      <c r="C27">
        <f>C25/C26</f>
        <v>2.3288211332522302</v>
      </c>
    </row>
    <row r="28" spans="1:7">
      <c r="A28" s="21" t="s">
        <v>2176</v>
      </c>
      <c r="C28" s="35">
        <f>'03_Beta_Calculation'!E47</f>
        <v>0.19439740472489342</v>
      </c>
      <c r="D28" t="s">
        <v>279</v>
      </c>
    </row>
    <row r="29" spans="1:7">
      <c r="A29" s="21" t="s">
        <v>2181</v>
      </c>
      <c r="C29" s="129">
        <f>C28*(1+(1-0.17)*C27)</f>
        <v>0.57015233575424995</v>
      </c>
    </row>
    <row r="30" spans="1:7">
      <c r="A30" s="21" t="s">
        <v>1290</v>
      </c>
      <c r="C30" s="129">
        <f>' 04_CAPM'!D7</f>
        <v>4.6500000000000004</v>
      </c>
    </row>
    <row r="31" spans="1:7">
      <c r="A31" t="s">
        <v>2175</v>
      </c>
    </row>
    <row r="33" spans="1:10">
      <c r="A33" s="196" t="s">
        <v>2179</v>
      </c>
    </row>
    <row r="34" spans="1:10">
      <c r="A34" t="s">
        <v>2180</v>
      </c>
    </row>
    <row r="35" spans="1:10" ht="43.2">
      <c r="A35" s="37" t="s">
        <v>2177</v>
      </c>
    </row>
    <row r="36" spans="1:10">
      <c r="A36" t="s">
        <v>2508</v>
      </c>
      <c r="B36" s="33">
        <f>' 04_CAPM'!D16</f>
        <v>18.910138819131358</v>
      </c>
    </row>
    <row r="37" spans="1:10">
      <c r="A37" t="s">
        <v>2195</v>
      </c>
      <c r="B37">
        <f>' 04_CAPM'!D4+(C29*C30)</f>
        <v>4.8712083612572625</v>
      </c>
    </row>
    <row r="38" spans="1:10">
      <c r="A38" t="s">
        <v>2186</v>
      </c>
    </row>
    <row r="40" spans="1:10">
      <c r="A40" t="s">
        <v>2196</v>
      </c>
    </row>
    <row r="41" spans="1:10">
      <c r="A41" t="s">
        <v>2187</v>
      </c>
    </row>
    <row r="42" spans="1:10">
      <c r="A42" s="191" t="s">
        <v>2190</v>
      </c>
    </row>
    <row r="43" spans="1:10">
      <c r="A43" s="191" t="s">
        <v>2189</v>
      </c>
    </row>
    <row r="45" spans="1:10">
      <c r="A45" s="24" t="s">
        <v>2194</v>
      </c>
    </row>
    <row r="46" spans="1:10">
      <c r="A46" s="302" t="s">
        <v>2188</v>
      </c>
      <c r="B46" s="302"/>
      <c r="C46" s="302"/>
      <c r="D46" s="302"/>
      <c r="E46" s="302"/>
      <c r="F46" s="302"/>
      <c r="G46" s="302"/>
      <c r="H46" s="302"/>
      <c r="I46" s="302"/>
      <c r="J46" s="302"/>
    </row>
  </sheetData>
  <mergeCells count="1">
    <mergeCell ref="A46:J4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A3442-8A61-40D7-B099-744FA6E3FC10}">
  <dimension ref="A1:H39"/>
  <sheetViews>
    <sheetView zoomScale="90" zoomScaleNormal="90" workbookViewId="0">
      <selection activeCell="G26" sqref="G26"/>
    </sheetView>
  </sheetViews>
  <sheetFormatPr defaultRowHeight="14.4"/>
  <cols>
    <col min="1" max="1" width="40.21875" customWidth="1"/>
    <col min="2" max="7" width="18.33203125" customWidth="1"/>
  </cols>
  <sheetData>
    <row r="1" spans="1:7">
      <c r="A1" s="16"/>
      <c r="B1" s="45" t="s">
        <v>1318</v>
      </c>
      <c r="C1" s="321" t="s">
        <v>1339</v>
      </c>
      <c r="D1" s="321"/>
      <c r="E1" s="321"/>
      <c r="F1" s="321"/>
      <c r="G1" s="321"/>
    </row>
    <row r="2" spans="1:7" s="37" customFormat="1" ht="28.8">
      <c r="A2" s="56" t="s">
        <v>1319</v>
      </c>
      <c r="B2" s="57" t="s">
        <v>1340</v>
      </c>
      <c r="C2" s="57" t="s">
        <v>1320</v>
      </c>
      <c r="D2" s="57" t="s">
        <v>1321</v>
      </c>
      <c r="E2" s="57" t="s">
        <v>1322</v>
      </c>
      <c r="F2" s="57" t="s">
        <v>1323</v>
      </c>
      <c r="G2" s="57" t="s">
        <v>1449</v>
      </c>
    </row>
    <row r="4" spans="1:7">
      <c r="A4" t="s">
        <v>1324</v>
      </c>
      <c r="B4" s="76">
        <f>'02_Normalization'!G38</f>
        <v>0</v>
      </c>
      <c r="C4" s="76">
        <v>1500000</v>
      </c>
      <c r="D4" s="76">
        <f>C4+(C4*2%)</f>
        <v>1530000</v>
      </c>
      <c r="E4" s="76">
        <f t="shared" ref="E4:G4" si="0">D4+(D4*2%)</f>
        <v>1560600</v>
      </c>
      <c r="F4" s="76">
        <f t="shared" si="0"/>
        <v>1591812</v>
      </c>
      <c r="G4" s="76">
        <f t="shared" si="0"/>
        <v>1623648.24</v>
      </c>
    </row>
    <row r="5" spans="1:7">
      <c r="B5" s="43"/>
      <c r="C5" s="43"/>
      <c r="D5" s="43"/>
      <c r="E5" s="43"/>
      <c r="F5" s="43"/>
      <c r="G5" s="43"/>
    </row>
    <row r="6" spans="1:7" hidden="1">
      <c r="A6" t="s">
        <v>1325</v>
      </c>
      <c r="B6" s="43"/>
      <c r="C6" s="43"/>
      <c r="D6" s="43"/>
      <c r="E6" s="43"/>
      <c r="F6" s="43"/>
      <c r="G6" s="43"/>
    </row>
    <row r="7" spans="1:7" hidden="1">
      <c r="A7" t="s">
        <v>1326</v>
      </c>
      <c r="B7" s="43">
        <v>0</v>
      </c>
      <c r="C7" s="43">
        <f t="shared" ref="C7:G7" si="1">B9</f>
        <v>0</v>
      </c>
      <c r="D7" s="43">
        <f t="shared" si="1"/>
        <v>1500000</v>
      </c>
      <c r="E7" s="43">
        <f t="shared" si="1"/>
        <v>3030000</v>
      </c>
      <c r="F7" s="43">
        <f t="shared" si="1"/>
        <v>4590600</v>
      </c>
      <c r="G7" s="43">
        <f t="shared" si="1"/>
        <v>6182412</v>
      </c>
    </row>
    <row r="8" spans="1:7" hidden="1">
      <c r="A8" t="s">
        <v>1327</v>
      </c>
      <c r="B8" s="44">
        <f>B4</f>
        <v>0</v>
      </c>
      <c r="C8" s="44">
        <f>C4</f>
        <v>1500000</v>
      </c>
      <c r="D8" s="44">
        <f>D4</f>
        <v>1530000</v>
      </c>
      <c r="E8" s="44">
        <f t="shared" ref="E8:G8" si="2">E4</f>
        <v>1560600</v>
      </c>
      <c r="F8" s="44">
        <f t="shared" si="2"/>
        <v>1591812</v>
      </c>
      <c r="G8" s="44">
        <f t="shared" si="2"/>
        <v>1623648.24</v>
      </c>
    </row>
    <row r="9" spans="1:7" hidden="1">
      <c r="A9" t="s">
        <v>1328</v>
      </c>
      <c r="B9" s="43">
        <f>B7+B8</f>
        <v>0</v>
      </c>
      <c r="C9" s="43">
        <f t="shared" ref="C9:G9" si="3">C7+C8</f>
        <v>1500000</v>
      </c>
      <c r="D9" s="43">
        <f t="shared" si="3"/>
        <v>3030000</v>
      </c>
      <c r="E9" s="43">
        <f t="shared" si="3"/>
        <v>4590600</v>
      </c>
      <c r="F9" s="43">
        <f t="shared" si="3"/>
        <v>6182412</v>
      </c>
      <c r="G9" s="43">
        <f t="shared" si="3"/>
        <v>7806060.2400000002</v>
      </c>
    </row>
    <row r="10" spans="1:7" hidden="1">
      <c r="A10" t="s">
        <v>1329</v>
      </c>
      <c r="B10" s="44">
        <v>0</v>
      </c>
      <c r="C10" s="44"/>
      <c r="D10" s="44"/>
      <c r="E10" s="44"/>
      <c r="F10" s="44"/>
      <c r="G10" s="44"/>
    </row>
    <row r="11" spans="1:7" hidden="1">
      <c r="A11" t="s">
        <v>1330</v>
      </c>
      <c r="B11" s="43">
        <f>B9-B10</f>
        <v>0</v>
      </c>
      <c r="C11" s="43">
        <f t="shared" ref="C11:G11" si="4">C9-C10</f>
        <v>1500000</v>
      </c>
      <c r="D11" s="43">
        <f t="shared" si="4"/>
        <v>3030000</v>
      </c>
      <c r="E11" s="43">
        <f t="shared" si="4"/>
        <v>4590600</v>
      </c>
      <c r="F11" s="43">
        <f t="shared" si="4"/>
        <v>6182412</v>
      </c>
      <c r="G11" s="43">
        <f t="shared" si="4"/>
        <v>7806060.2400000002</v>
      </c>
    </row>
    <row r="12" spans="1:7" hidden="1">
      <c r="B12" s="43"/>
      <c r="C12" s="43"/>
      <c r="D12" s="43"/>
      <c r="E12" s="43"/>
      <c r="F12" s="43"/>
      <c r="G12" s="43"/>
    </row>
    <row r="13" spans="1:7">
      <c r="A13" t="s">
        <v>1331</v>
      </c>
      <c r="B13" s="43"/>
      <c r="C13" s="43"/>
      <c r="D13" s="43"/>
      <c r="E13" s="43"/>
      <c r="F13" s="43"/>
      <c r="G13" s="43"/>
    </row>
    <row r="14" spans="1:7">
      <c r="A14" t="s">
        <v>1332</v>
      </c>
      <c r="B14" s="43">
        <f>B11</f>
        <v>0</v>
      </c>
      <c r="C14" s="43">
        <f>C11</f>
        <v>1500000</v>
      </c>
      <c r="D14" s="43">
        <f t="shared" ref="D14:G14" si="5">D11</f>
        <v>3030000</v>
      </c>
      <c r="E14" s="43">
        <f t="shared" si="5"/>
        <v>4590600</v>
      </c>
      <c r="F14" s="43">
        <f t="shared" si="5"/>
        <v>6182412</v>
      </c>
      <c r="G14" s="43">
        <f t="shared" si="5"/>
        <v>7806060.2400000002</v>
      </c>
    </row>
    <row r="15" spans="1:7">
      <c r="A15" t="s">
        <v>1333</v>
      </c>
      <c r="B15" s="44">
        <v>0</v>
      </c>
      <c r="C15" s="44">
        <v>0</v>
      </c>
      <c r="D15" s="44">
        <v>0</v>
      </c>
      <c r="E15" s="44">
        <v>0</v>
      </c>
      <c r="F15" s="44">
        <v>0</v>
      </c>
      <c r="G15" s="44">
        <v>0</v>
      </c>
    </row>
    <row r="16" spans="1:7">
      <c r="A16" t="s">
        <v>1324</v>
      </c>
      <c r="B16" s="43">
        <f>B14-B15</f>
        <v>0</v>
      </c>
      <c r="C16" s="43">
        <f t="shared" ref="C16:G16" si="6">C14-C15</f>
        <v>1500000</v>
      </c>
      <c r="D16" s="43">
        <f t="shared" si="6"/>
        <v>3030000</v>
      </c>
      <c r="E16" s="43">
        <f t="shared" si="6"/>
        <v>4590600</v>
      </c>
      <c r="F16" s="43">
        <f t="shared" si="6"/>
        <v>6182412</v>
      </c>
      <c r="G16" s="43">
        <f t="shared" si="6"/>
        <v>7806060.2400000002</v>
      </c>
    </row>
    <row r="17" spans="1:8">
      <c r="A17" t="s">
        <v>1334</v>
      </c>
      <c r="B17" s="76">
        <v>0</v>
      </c>
      <c r="C17" s="76">
        <f>C4*0.17</f>
        <v>255000.00000000003</v>
      </c>
      <c r="D17" s="76">
        <f t="shared" ref="D17:G17" si="7">D4*0.17</f>
        <v>260100.00000000003</v>
      </c>
      <c r="E17" s="76">
        <f t="shared" si="7"/>
        <v>265302</v>
      </c>
      <c r="F17" s="76">
        <f t="shared" si="7"/>
        <v>270608.04000000004</v>
      </c>
      <c r="G17" s="76">
        <f t="shared" si="7"/>
        <v>276020.20079999999</v>
      </c>
    </row>
    <row r="18" spans="1:8">
      <c r="A18" t="s">
        <v>1335</v>
      </c>
      <c r="B18" s="76">
        <v>0</v>
      </c>
      <c r="C18" s="76">
        <v>150000</v>
      </c>
      <c r="D18" s="76">
        <v>150000</v>
      </c>
      <c r="E18" s="76">
        <v>200000</v>
      </c>
      <c r="F18" s="76">
        <v>250000</v>
      </c>
      <c r="G18" s="43">
        <v>300000</v>
      </c>
    </row>
    <row r="19" spans="1:8">
      <c r="A19" t="s">
        <v>1336</v>
      </c>
      <c r="B19" s="76">
        <f>'02_Normalization'!G30</f>
        <v>0</v>
      </c>
      <c r="C19" s="76">
        <v>350000</v>
      </c>
      <c r="D19" s="76">
        <v>350000</v>
      </c>
      <c r="E19" s="76">
        <v>400000</v>
      </c>
      <c r="F19" s="76">
        <v>400000</v>
      </c>
      <c r="G19" s="43">
        <v>500000</v>
      </c>
    </row>
    <row r="20" spans="1:8">
      <c r="A20" t="s">
        <v>1337</v>
      </c>
      <c r="B20" s="77">
        <f>'02_Normalization'!G42</f>
        <v>0</v>
      </c>
      <c r="C20" s="77">
        <v>0</v>
      </c>
      <c r="D20" s="77">
        <v>0</v>
      </c>
      <c r="E20" s="77">
        <v>0</v>
      </c>
      <c r="F20" s="77">
        <v>0</v>
      </c>
      <c r="G20" s="44">
        <v>0</v>
      </c>
    </row>
    <row r="21" spans="1:8">
      <c r="A21" t="s">
        <v>1338</v>
      </c>
      <c r="B21" s="43">
        <f>B16-B17-B18+B19-B20</f>
        <v>0</v>
      </c>
      <c r="C21" s="138">
        <f>C4-SUM(C18:C20)</f>
        <v>1000000</v>
      </c>
      <c r="D21" s="138">
        <f t="shared" ref="D21:G21" si="8">D4-SUM(D18:D20)</f>
        <v>1030000</v>
      </c>
      <c r="E21" s="138">
        <f t="shared" si="8"/>
        <v>960600</v>
      </c>
      <c r="F21" s="138">
        <f t="shared" si="8"/>
        <v>941812</v>
      </c>
      <c r="G21" s="138">
        <f t="shared" si="8"/>
        <v>823648.24</v>
      </c>
    </row>
    <row r="22" spans="1:8">
      <c r="B22" s="43"/>
      <c r="C22" s="43"/>
      <c r="D22" s="43"/>
      <c r="E22" s="43"/>
      <c r="F22" s="43"/>
      <c r="G22" s="43"/>
    </row>
    <row r="23" spans="1:8">
      <c r="A23" t="s">
        <v>1719</v>
      </c>
      <c r="B23" s="43">
        <f>B21/(1+$G$26%)^0</f>
        <v>0</v>
      </c>
      <c r="C23" s="43">
        <f>C21/(1+$G$26%)^1</f>
        <v>926227.93168194941</v>
      </c>
      <c r="D23" s="43">
        <f>D21/(1+$G$26%)^2</f>
        <v>883635.12687065662</v>
      </c>
      <c r="E23" s="43">
        <f>E21/(1+$G$26%)^3</f>
        <v>763301.65340539988</v>
      </c>
      <c r="F23" s="43">
        <f>F21/(1+$G$26%)^4</f>
        <v>693163.54490826547</v>
      </c>
      <c r="G23" s="43">
        <f>G21/(1+$G$26%)^5</f>
        <v>561475.92950559582</v>
      </c>
    </row>
    <row r="24" spans="1:8">
      <c r="A24" t="s">
        <v>1720</v>
      </c>
      <c r="B24" s="43"/>
      <c r="C24" s="43"/>
      <c r="D24" s="43"/>
      <c r="E24" s="43"/>
      <c r="F24" s="43"/>
      <c r="G24" s="43"/>
    </row>
    <row r="25" spans="1:8">
      <c r="B25" s="43"/>
      <c r="C25" s="43"/>
      <c r="D25" s="43"/>
      <c r="F25" s="47" t="s">
        <v>1350</v>
      </c>
      <c r="G25" s="18">
        <f>' 04_CAPM'!D18</f>
        <v>0.03</v>
      </c>
      <c r="H25" t="s">
        <v>1294</v>
      </c>
    </row>
    <row r="26" spans="1:8" ht="28.8">
      <c r="A26" s="40" t="s">
        <v>1341</v>
      </c>
      <c r="B26" s="40" t="s">
        <v>1347</v>
      </c>
      <c r="C26" s="40" t="s">
        <v>1349</v>
      </c>
      <c r="D26" s="43"/>
      <c r="F26" s="47" t="s">
        <v>1348</v>
      </c>
      <c r="G26" s="18">
        <f>'05_WACC'!E21</f>
        <v>7.9647855343864329</v>
      </c>
      <c r="H26" t="s">
        <v>1294</v>
      </c>
    </row>
    <row r="27" spans="1:8">
      <c r="A27" t="s">
        <v>1342</v>
      </c>
      <c r="B27" s="46">
        <f>C21</f>
        <v>1000000</v>
      </c>
      <c r="C27" s="48">
        <f>B27/(1+$G$26%)^1</f>
        <v>926227.93168194941</v>
      </c>
      <c r="D27" s="43"/>
      <c r="F27" s="47" t="s">
        <v>1352</v>
      </c>
      <c r="G27" s="20">
        <f>G26-G25</f>
        <v>7.9347855343864326</v>
      </c>
    </row>
    <row r="28" spans="1:8" ht="18" customHeight="1">
      <c r="A28" t="s">
        <v>1343</v>
      </c>
      <c r="B28" s="46">
        <f>D21</f>
        <v>1030000</v>
      </c>
      <c r="C28" s="48">
        <f>B28/(1+$G$26%)^2</f>
        <v>883635.12687065662</v>
      </c>
      <c r="D28" s="43"/>
      <c r="E28" s="43"/>
      <c r="F28" s="43"/>
      <c r="G28" s="43"/>
    </row>
    <row r="29" spans="1:8" ht="15.6" customHeight="1">
      <c r="A29" t="s">
        <v>1344</v>
      </c>
      <c r="B29" s="46">
        <f>E21</f>
        <v>960600</v>
      </c>
      <c r="C29" s="48">
        <f>B29/(1+$G$26%)^3</f>
        <v>763301.65340539988</v>
      </c>
      <c r="D29" s="43"/>
      <c r="E29" s="43"/>
      <c r="F29" s="43"/>
      <c r="G29" s="43"/>
    </row>
    <row r="30" spans="1:8">
      <c r="A30" t="s">
        <v>1345</v>
      </c>
      <c r="B30" s="46">
        <f>F21</f>
        <v>941812</v>
      </c>
      <c r="C30" s="48">
        <f>B30/(1+$G$26%)^4</f>
        <v>693163.54490826547</v>
      </c>
    </row>
    <row r="31" spans="1:8" s="40" customFormat="1">
      <c r="A31" t="s">
        <v>1346</v>
      </c>
      <c r="B31" s="46">
        <f>G21</f>
        <v>823648.24</v>
      </c>
      <c r="C31" s="149">
        <f>B31/(1+$G$26%)^5</f>
        <v>561475.92950559582</v>
      </c>
      <c r="D31" s="145"/>
    </row>
    <row r="32" spans="1:8" s="40" customFormat="1">
      <c r="A32" t="s">
        <v>1821</v>
      </c>
      <c r="B32" s="46"/>
      <c r="C32" s="48">
        <f>SUM(C27:C31)</f>
        <v>3827804.1863718675</v>
      </c>
      <c r="D32" s="145"/>
    </row>
    <row r="33" spans="1:5">
      <c r="A33" t="s">
        <v>1450</v>
      </c>
      <c r="B33" s="46">
        <f>(G21*(1+G25%))/(G26%-G25%)</f>
        <v>10383334.633324889</v>
      </c>
      <c r="C33" s="48">
        <f>B33/(1+$G$26%)^5</f>
        <v>7078255.2326145163</v>
      </c>
      <c r="D33" s="46"/>
      <c r="E33" s="48"/>
    </row>
    <row r="34" spans="1:5" ht="15" thickBot="1">
      <c r="A34" t="s">
        <v>1351</v>
      </c>
      <c r="C34" s="150">
        <f>C32+C33</f>
        <v>10906059.418986384</v>
      </c>
      <c r="D34" s="35"/>
    </row>
    <row r="35" spans="1:5" ht="15" thickTop="1">
      <c r="D35" s="35"/>
    </row>
    <row r="36" spans="1:5">
      <c r="D36" s="35"/>
    </row>
    <row r="37" spans="1:5">
      <c r="D37" s="35"/>
    </row>
    <row r="38" spans="1:5">
      <c r="D38" s="35"/>
    </row>
    <row r="39" spans="1:5">
      <c r="D39" s="48"/>
    </row>
  </sheetData>
  <mergeCells count="1">
    <mergeCell ref="C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60C2-0259-4CA5-8132-C26FD1ADD914}">
  <dimension ref="A1:S82"/>
  <sheetViews>
    <sheetView topLeftCell="A56" zoomScale="70" zoomScaleNormal="70" workbookViewId="0">
      <selection activeCell="B82" sqref="B82"/>
    </sheetView>
  </sheetViews>
  <sheetFormatPr defaultRowHeight="15.6"/>
  <cols>
    <col min="1" max="1" width="62.109375" style="266" customWidth="1"/>
    <col min="2" max="2" width="19" style="266" customWidth="1"/>
    <col min="3" max="4" width="12.6640625" style="266" bestFit="1" customWidth="1"/>
    <col min="5" max="5" width="13.44140625" style="266" bestFit="1" customWidth="1"/>
    <col min="6" max="6" width="14.33203125" style="266" bestFit="1" customWidth="1"/>
    <col min="7" max="8" width="9" style="266" bestFit="1" customWidth="1"/>
    <col min="9" max="16384" width="8.88671875" style="266"/>
  </cols>
  <sheetData>
    <row r="1" spans="1:19">
      <c r="A1" s="265" t="s">
        <v>2567</v>
      </c>
      <c r="I1" s="267"/>
      <c r="J1" s="268"/>
    </row>
    <row r="2" spans="1:19">
      <c r="I2" s="268"/>
      <c r="J2" s="268"/>
    </row>
    <row r="3" spans="1:19" ht="63.6" customHeight="1">
      <c r="A3" s="323" t="s">
        <v>2583</v>
      </c>
      <c r="B3" s="323"/>
      <c r="C3" s="323"/>
      <c r="D3" s="323"/>
      <c r="E3" s="323"/>
      <c r="F3" s="323"/>
      <c r="G3" s="323"/>
      <c r="H3" s="323"/>
      <c r="I3" s="323"/>
      <c r="J3" s="323"/>
      <c r="K3" s="323"/>
      <c r="L3" s="323"/>
      <c r="M3" s="323"/>
      <c r="N3" s="323"/>
      <c r="O3" s="323"/>
      <c r="P3" s="323"/>
      <c r="Q3" s="323"/>
      <c r="R3" s="323"/>
      <c r="S3" s="323"/>
    </row>
    <row r="5" spans="1:19">
      <c r="A5" s="265" t="s">
        <v>2568</v>
      </c>
    </row>
    <row r="7" spans="1:19">
      <c r="A7" s="266" t="s">
        <v>2569</v>
      </c>
    </row>
    <row r="9" spans="1:19">
      <c r="A9" s="266" t="s">
        <v>2570</v>
      </c>
    </row>
    <row r="11" spans="1:19">
      <c r="A11" s="266" t="s">
        <v>2238</v>
      </c>
    </row>
    <row r="12" spans="1:19">
      <c r="A12" s="269"/>
    </row>
    <row r="13" spans="1:19">
      <c r="A13" s="270" t="s">
        <v>2584</v>
      </c>
    </row>
    <row r="14" spans="1:19">
      <c r="A14" s="269"/>
    </row>
    <row r="15" spans="1:19">
      <c r="A15" s="270" t="s">
        <v>2585</v>
      </c>
    </row>
    <row r="16" spans="1:19">
      <c r="A16" s="269"/>
    </row>
    <row r="17" spans="1:1">
      <c r="A17" s="270" t="s">
        <v>2586</v>
      </c>
    </row>
    <row r="19" spans="1:1">
      <c r="A19" s="266" t="s">
        <v>2571</v>
      </c>
    </row>
    <row r="21" spans="1:1">
      <c r="A21" s="266" t="s">
        <v>2572</v>
      </c>
    </row>
    <row r="23" spans="1:1">
      <c r="A23" s="265" t="s">
        <v>2573</v>
      </c>
    </row>
    <row r="24" spans="1:1">
      <c r="A24" s="269"/>
    </row>
    <row r="25" spans="1:1">
      <c r="A25" s="270" t="s">
        <v>2587</v>
      </c>
    </row>
    <row r="26" spans="1:1">
      <c r="A26" s="269"/>
    </row>
    <row r="27" spans="1:1">
      <c r="A27" s="270" t="s">
        <v>2588</v>
      </c>
    </row>
    <row r="28" spans="1:1">
      <c r="A28" s="269"/>
    </row>
    <row r="29" spans="1:1">
      <c r="A29" s="270" t="s">
        <v>2589</v>
      </c>
    </row>
    <row r="30" spans="1:1">
      <c r="A30" s="269"/>
    </row>
    <row r="31" spans="1:1">
      <c r="A31" s="270" t="s">
        <v>2590</v>
      </c>
    </row>
    <row r="33" spans="1:19">
      <c r="A33" s="265" t="s">
        <v>2574</v>
      </c>
    </row>
    <row r="34" spans="1:19">
      <c r="A34" s="269"/>
    </row>
    <row r="35" spans="1:19">
      <c r="A35" s="270" t="s">
        <v>2591</v>
      </c>
    </row>
    <row r="36" spans="1:19">
      <c r="A36" s="269"/>
    </row>
    <row r="37" spans="1:19" ht="32.4" customHeight="1">
      <c r="A37" s="322" t="s">
        <v>2592</v>
      </c>
      <c r="B37" s="322"/>
      <c r="C37" s="322"/>
      <c r="D37" s="322"/>
      <c r="E37" s="322"/>
      <c r="F37" s="322"/>
      <c r="G37" s="322"/>
      <c r="H37" s="322"/>
      <c r="I37" s="322"/>
      <c r="J37" s="322"/>
      <c r="K37" s="322"/>
      <c r="L37" s="322"/>
      <c r="M37" s="322"/>
      <c r="N37" s="322"/>
      <c r="O37" s="322"/>
      <c r="P37" s="322"/>
      <c r="Q37" s="322"/>
      <c r="R37" s="322"/>
      <c r="S37" s="322"/>
    </row>
    <row r="38" spans="1:19">
      <c r="A38" s="269"/>
    </row>
    <row r="39" spans="1:19">
      <c r="A39" s="324" t="s">
        <v>2593</v>
      </c>
      <c r="B39" s="324"/>
      <c r="C39" s="324"/>
      <c r="D39" s="324"/>
      <c r="E39" s="324"/>
      <c r="F39" s="324"/>
      <c r="G39" s="324"/>
      <c r="H39" s="324"/>
      <c r="I39" s="324"/>
      <c r="J39" s="324"/>
      <c r="K39" s="324"/>
      <c r="L39" s="324"/>
      <c r="M39" s="324"/>
      <c r="N39" s="324"/>
      <c r="O39" s="324"/>
      <c r="P39" s="324"/>
      <c r="Q39" s="324"/>
      <c r="R39" s="324"/>
      <c r="S39" s="324"/>
    </row>
    <row r="41" spans="1:19">
      <c r="A41" s="265" t="s">
        <v>2575</v>
      </c>
    </row>
    <row r="43" spans="1:19">
      <c r="A43" s="266" t="s">
        <v>2576</v>
      </c>
    </row>
    <row r="44" spans="1:19">
      <c r="A44" s="269"/>
    </row>
    <row r="45" spans="1:19">
      <c r="A45" s="269" t="s">
        <v>2577</v>
      </c>
    </row>
    <row r="46" spans="1:19">
      <c r="A46" s="269"/>
    </row>
    <row r="47" spans="1:19">
      <c r="A47" s="269" t="s">
        <v>2578</v>
      </c>
    </row>
    <row r="48" spans="1:19">
      <c r="A48" s="269"/>
    </row>
    <row r="49" spans="1:7">
      <c r="A49" s="269" t="s">
        <v>2579</v>
      </c>
    </row>
    <row r="51" spans="1:7">
      <c r="A51" s="266" t="s">
        <v>2580</v>
      </c>
    </row>
    <row r="53" spans="1:7">
      <c r="A53" s="266" t="s">
        <v>2581</v>
      </c>
    </row>
    <row r="55" spans="1:7">
      <c r="A55" s="265" t="s">
        <v>2582</v>
      </c>
    </row>
    <row r="57" spans="1:7">
      <c r="A57" s="266" t="s">
        <v>2594</v>
      </c>
    </row>
    <row r="59" spans="1:7">
      <c r="A59" s="266" t="s">
        <v>1862</v>
      </c>
    </row>
    <row r="61" spans="1:7">
      <c r="A61" s="271">
        <f>B2 * (1 - B3)</f>
        <v>0</v>
      </c>
    </row>
    <row r="63" spans="1:7">
      <c r="A63" s="266" t="s">
        <v>2595</v>
      </c>
      <c r="E63" s="266" t="s">
        <v>2597</v>
      </c>
      <c r="F63" s="266">
        <v>0.05</v>
      </c>
      <c r="G63" s="273" t="s">
        <v>2598</v>
      </c>
    </row>
    <row r="65" spans="1:19" ht="49.8" customHeight="1">
      <c r="A65" s="323" t="s">
        <v>2596</v>
      </c>
      <c r="B65" s="323"/>
      <c r="C65" s="323"/>
      <c r="D65" s="323"/>
      <c r="E65" s="323"/>
      <c r="F65" s="323"/>
      <c r="G65" s="323"/>
      <c r="H65" s="323"/>
      <c r="I65" s="323"/>
      <c r="J65" s="323"/>
      <c r="K65" s="323"/>
      <c r="L65" s="323"/>
      <c r="M65" s="323"/>
      <c r="N65" s="323"/>
      <c r="O65" s="323"/>
      <c r="P65" s="323"/>
      <c r="Q65" s="323"/>
      <c r="R65" s="323"/>
      <c r="S65" s="323"/>
    </row>
    <row r="67" spans="1:19">
      <c r="A67" s="279" t="s">
        <v>2605</v>
      </c>
    </row>
    <row r="69" spans="1:19">
      <c r="A69" s="266" t="s">
        <v>1514</v>
      </c>
    </row>
    <row r="70" spans="1:19">
      <c r="A70" s="266" t="str">
        <f>'02_Normalization'!A72</f>
        <v>Net Income</v>
      </c>
      <c r="B70" s="280">
        <f>'02_Normalization'!B72</f>
        <v>631324</v>
      </c>
      <c r="C70" s="280">
        <f>'02_Normalization'!C72</f>
        <v>65163</v>
      </c>
      <c r="D70" s="280">
        <f>'02_Normalization'!D72</f>
        <v>84172</v>
      </c>
      <c r="E70" s="280">
        <f>'02_Normalization'!E72</f>
        <v>108873</v>
      </c>
      <c r="F70" s="280">
        <f>'02_Normalization'!F72</f>
        <v>791952</v>
      </c>
      <c r="G70" s="280"/>
      <c r="H70" s="280"/>
    </row>
    <row r="71" spans="1:19">
      <c r="A71" s="266" t="str">
        <f>'02_Normalization'!A73</f>
        <v>Dividend paid</v>
      </c>
      <c r="B71" s="280">
        <f>'02_Normalization'!B73</f>
        <v>-373500</v>
      </c>
      <c r="C71" s="280">
        <f>'02_Normalization'!C73</f>
        <v>0</v>
      </c>
      <c r="D71" s="280">
        <f>'02_Normalization'!D73</f>
        <v>0</v>
      </c>
      <c r="E71" s="280">
        <f>'02_Normalization'!E73</f>
        <v>-200000</v>
      </c>
      <c r="F71" s="280">
        <f>'02_Normalization'!F73</f>
        <v>-200000</v>
      </c>
      <c r="G71" s="280"/>
      <c r="H71" s="280"/>
    </row>
    <row r="72" spans="1:19">
      <c r="A72" s="266" t="str">
        <f>'02_Normalization'!A74</f>
        <v>Dividend Payout Ratio</v>
      </c>
      <c r="B72" s="280">
        <f>'02_Normalization'!B74</f>
        <v>0.59161381477656483</v>
      </c>
      <c r="C72" s="280">
        <f>'02_Normalization'!C74</f>
        <v>0</v>
      </c>
      <c r="D72" s="280">
        <f>'02_Normalization'!D74</f>
        <v>0</v>
      </c>
      <c r="E72" s="280">
        <f>'02_Normalization'!E74</f>
        <v>1.8370027463191057</v>
      </c>
      <c r="F72" s="280">
        <f>'02_Normalization'!F74</f>
        <v>0.25254055801361697</v>
      </c>
      <c r="G72" s="280"/>
      <c r="H72" s="280"/>
    </row>
    <row r="73" spans="1:19">
      <c r="A73" s="266" t="str">
        <f>'02_Normalization'!A75</f>
        <v>Retention Ratio = (1-Dividend Payout Ratio)</v>
      </c>
      <c r="B73" s="280">
        <f>'02_Normalization'!B75</f>
        <v>0.40838618522343517</v>
      </c>
      <c r="C73" s="280">
        <f>'02_Normalization'!C75</f>
        <v>1</v>
      </c>
      <c r="D73" s="280">
        <f>'02_Normalization'!D75</f>
        <v>1</v>
      </c>
      <c r="E73" s="280">
        <f>'02_Normalization'!E75</f>
        <v>-0.83700274631910565</v>
      </c>
      <c r="F73" s="280">
        <f>'02_Normalization'!F75</f>
        <v>0.74745944198638303</v>
      </c>
      <c r="G73" s="280"/>
      <c r="H73" s="280"/>
    </row>
    <row r="74" spans="1:19">
      <c r="A74" s="266" t="str">
        <f>'02_Normalization'!A76</f>
        <v>Return on Equity (ROE)=Net Income/Equity</v>
      </c>
      <c r="B74" s="280">
        <f>'02_Normalization'!B76</f>
        <v>1.5421654961832061</v>
      </c>
      <c r="C74" s="280">
        <f>'02_Normalization'!C76</f>
        <v>0.1373188237822893</v>
      </c>
      <c r="D74" s="280">
        <f>'02_Normalization'!D76</f>
        <v>0.15065418553453491</v>
      </c>
      <c r="E74" s="280">
        <f>'02_Normalization'!E76</f>
        <v>0.23284208365145867</v>
      </c>
      <c r="F74" s="280">
        <f>'02_Normalization'!F76</f>
        <v>0.62876537769891272</v>
      </c>
      <c r="G74" s="280"/>
      <c r="H74" s="280"/>
    </row>
    <row r="75" spans="1:19">
      <c r="A75" s="281" t="str">
        <f>'02_Normalization'!A77</f>
        <v>Sustainable Long term Growth Rate (ROE X Retention Ratio)</v>
      </c>
      <c r="B75" s="282">
        <f>'02_Normalization'!B77</f>
        <v>0.6297990839694656</v>
      </c>
      <c r="C75" s="282">
        <f>'02_Normalization'!C77</f>
        <v>0.1373188237822893</v>
      </c>
      <c r="D75" s="282">
        <f>'02_Normalization'!D77</f>
        <v>0.15065418553453491</v>
      </c>
      <c r="E75" s="282">
        <f>'02_Normalization'!E77</f>
        <v>-0.19488946347493383</v>
      </c>
      <c r="F75" s="282">
        <f>'02_Normalization'!F77</f>
        <v>0.46997661835518667</v>
      </c>
      <c r="G75" s="282">
        <f>'02_Normalization'!G77</f>
        <v>0.23857184963330855</v>
      </c>
      <c r="H75" s="282" t="str">
        <f>'02_Normalization'!H77</f>
        <v>average</v>
      </c>
    </row>
    <row r="76" spans="1:19">
      <c r="A76" s="266" t="str">
        <f>'02_Normalization'!A78</f>
        <v>Total Capital/Equity (net worth)</v>
      </c>
      <c r="B76" s="280">
        <f>'02_Normalization'!B78</f>
        <v>409375</v>
      </c>
      <c r="C76" s="280">
        <f>'02_Normalization'!C78</f>
        <v>474538</v>
      </c>
      <c r="D76" s="280">
        <f>'02_Normalization'!D78</f>
        <v>558710</v>
      </c>
      <c r="E76" s="280">
        <f>'02_Normalization'!E78</f>
        <v>467583</v>
      </c>
      <c r="F76" s="280">
        <f>'02_Normalization'!F78</f>
        <v>1259535</v>
      </c>
      <c r="G76" s="280"/>
      <c r="H76" s="280"/>
    </row>
    <row r="79" spans="1:19">
      <c r="A79" s="279" t="s">
        <v>2373</v>
      </c>
      <c r="B79" s="279"/>
      <c r="C79" s="279"/>
      <c r="D79" s="279"/>
      <c r="E79" s="279"/>
      <c r="F79" s="279"/>
      <c r="G79" s="279"/>
      <c r="H79" s="279"/>
      <c r="I79" s="279"/>
      <c r="J79" s="279"/>
      <c r="K79" s="279"/>
      <c r="L79" s="279"/>
    </row>
    <row r="80" spans="1:19">
      <c r="A80" s="279" t="s">
        <v>2604</v>
      </c>
      <c r="B80" s="279"/>
      <c r="C80" s="279"/>
      <c r="D80" s="279"/>
      <c r="E80" s="279"/>
      <c r="F80" s="279"/>
      <c r="G80" s="279"/>
      <c r="H80" s="279"/>
      <c r="I80" s="279"/>
      <c r="J80" s="279"/>
      <c r="K80" s="279"/>
      <c r="L80" s="279"/>
    </row>
    <row r="81" spans="1:12">
      <c r="A81" s="279"/>
      <c r="B81" s="279"/>
      <c r="C81" s="279"/>
      <c r="D81" s="279"/>
      <c r="E81" s="279"/>
      <c r="F81" s="279"/>
      <c r="G81" s="279"/>
      <c r="H81" s="279"/>
      <c r="I81" s="279"/>
      <c r="J81" s="279"/>
      <c r="K81" s="279"/>
      <c r="L81" s="279"/>
    </row>
    <row r="82" spans="1:12">
      <c r="A82" s="266" t="s">
        <v>2609</v>
      </c>
      <c r="B82" s="266">
        <f>3%</f>
        <v>0.03</v>
      </c>
    </row>
  </sheetData>
  <mergeCells count="4">
    <mergeCell ref="A37:S37"/>
    <mergeCell ref="A65:S65"/>
    <mergeCell ref="A39:S39"/>
    <mergeCell ref="A3:S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494B0-075D-4E68-95B6-DE8D2144D4E9}">
  <dimension ref="B3:E18"/>
  <sheetViews>
    <sheetView workbookViewId="0">
      <selection activeCell="A2" sqref="A2:F19"/>
    </sheetView>
  </sheetViews>
  <sheetFormatPr defaultRowHeight="14.4"/>
  <cols>
    <col min="2" max="2" width="37.88671875" customWidth="1"/>
    <col min="3" max="3" width="6.44140625" customWidth="1"/>
    <col min="4" max="4" width="17.77734375" customWidth="1"/>
    <col min="5" max="5" width="18" customWidth="1"/>
  </cols>
  <sheetData>
    <row r="3" spans="2:5">
      <c r="B3" s="24" t="s">
        <v>2619</v>
      </c>
    </row>
    <row r="5" spans="2:5">
      <c r="C5" s="134" t="s">
        <v>1707</v>
      </c>
      <c r="D5" s="134" t="s">
        <v>1710</v>
      </c>
      <c r="E5" s="134" t="s">
        <v>1710</v>
      </c>
    </row>
    <row r="7" spans="2:5" ht="41.4">
      <c r="B7" s="132" t="s">
        <v>1713</v>
      </c>
      <c r="E7" s="47">
        <f>'02_Normalization'!F41</f>
        <v>823257</v>
      </c>
    </row>
    <row r="8" spans="2:5">
      <c r="E8" s="47"/>
    </row>
    <row r="9" spans="2:5">
      <c r="B9" s="131" t="s">
        <v>1714</v>
      </c>
      <c r="D9" s="33">
        <f>' 04_CAPM'!D20</f>
        <v>18.880138819131357</v>
      </c>
      <c r="E9" s="47"/>
    </row>
    <row r="10" spans="2:5">
      <c r="E10" s="47"/>
    </row>
    <row r="11" spans="2:5">
      <c r="B11" s="131" t="s">
        <v>1715</v>
      </c>
      <c r="E11" s="136">
        <f>E7/D9%</f>
        <v>4360439.3372668894</v>
      </c>
    </row>
    <row r="12" spans="2:5" ht="15" thickBot="1">
      <c r="E12" s="47"/>
    </row>
    <row r="13" spans="2:5" ht="15" thickBot="1">
      <c r="B13" s="133" t="s">
        <v>1716</v>
      </c>
      <c r="E13" s="47">
        <f>'02_Normalization'!Q17</f>
        <v>1099123</v>
      </c>
    </row>
    <row r="14" spans="2:5">
      <c r="E14" s="47"/>
    </row>
    <row r="15" spans="2:5">
      <c r="B15" s="131" t="s">
        <v>1717</v>
      </c>
      <c r="E15" s="47">
        <v>0</v>
      </c>
    </row>
    <row r="16" spans="2:5">
      <c r="E16" s="47"/>
    </row>
    <row r="17" spans="2:5" ht="15" thickBot="1">
      <c r="B17" s="131" t="s">
        <v>1718</v>
      </c>
      <c r="E17" s="135">
        <f>E11+E13+E15</f>
        <v>5459562.3372668894</v>
      </c>
    </row>
    <row r="18" spans="2:5" ht="15" thickTop="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6988-E18E-4954-AD71-00B139E0AF72}">
  <dimension ref="A1:T34"/>
  <sheetViews>
    <sheetView zoomScale="70" zoomScaleNormal="70" workbookViewId="0">
      <selection activeCell="K34" sqref="K34"/>
    </sheetView>
  </sheetViews>
  <sheetFormatPr defaultRowHeight="14.4"/>
  <cols>
    <col min="1" max="1" width="4.5546875" customWidth="1"/>
    <col min="2" max="2" width="22.33203125" customWidth="1"/>
    <col min="3" max="4" width="10.88671875" customWidth="1"/>
    <col min="5" max="5" width="12" customWidth="1"/>
    <col min="6" max="7" width="10.88671875" customWidth="1"/>
    <col min="8" max="12" width="9" bestFit="1" customWidth="1"/>
    <col min="13" max="13" width="10.109375" bestFit="1" customWidth="1"/>
    <col min="14" max="14" width="9.109375" bestFit="1" customWidth="1"/>
    <col min="15" max="15" width="10.109375" bestFit="1" customWidth="1"/>
    <col min="16" max="16" width="9.109375" bestFit="1" customWidth="1"/>
    <col min="17" max="17" width="9.5546875" bestFit="1" customWidth="1"/>
    <col min="18" max="19" width="9" bestFit="1" customWidth="1"/>
    <col min="20" max="20" width="9.5546875" customWidth="1"/>
  </cols>
  <sheetData>
    <row r="1" spans="1:20">
      <c r="B1" t="s">
        <v>1694</v>
      </c>
    </row>
    <row r="3" spans="1:20" s="4" customFormat="1" ht="10.199999999999999">
      <c r="A3" s="3"/>
      <c r="B3" s="3"/>
      <c r="C3" s="3"/>
      <c r="D3" s="3"/>
      <c r="E3" s="3"/>
      <c r="F3" s="3"/>
      <c r="G3" s="3"/>
      <c r="H3" s="3"/>
      <c r="I3" s="3"/>
      <c r="J3" s="3"/>
      <c r="K3" s="3"/>
    </row>
    <row r="4" spans="1:20" s="37" customFormat="1" ht="57.6">
      <c r="C4" s="78" t="s">
        <v>1243</v>
      </c>
      <c r="D4" s="78" t="s">
        <v>1451</v>
      </c>
      <c r="E4" s="78" t="s">
        <v>1247</v>
      </c>
      <c r="F4" s="78" t="s">
        <v>1248</v>
      </c>
      <c r="G4" s="78" t="s">
        <v>1249</v>
      </c>
      <c r="H4" s="78" t="s">
        <v>1250</v>
      </c>
      <c r="I4" s="78" t="s">
        <v>1251</v>
      </c>
      <c r="J4" s="78" t="s">
        <v>1252</v>
      </c>
      <c r="K4" s="78" t="s">
        <v>1253</v>
      </c>
      <c r="L4" s="78" t="s">
        <v>1254</v>
      </c>
      <c r="M4" s="78" t="s">
        <v>1255</v>
      </c>
      <c r="N4" s="78" t="s">
        <v>1256</v>
      </c>
      <c r="O4" s="78" t="s">
        <v>1257</v>
      </c>
      <c r="P4" s="78" t="s">
        <v>1258</v>
      </c>
      <c r="Q4" s="78" t="s">
        <v>1259</v>
      </c>
      <c r="R4" s="78" t="s">
        <v>1260</v>
      </c>
      <c r="S4" s="78" t="s">
        <v>1261</v>
      </c>
      <c r="T4" s="78" t="s">
        <v>1262</v>
      </c>
    </row>
    <row r="5" spans="1:20">
      <c r="A5">
        <v>1</v>
      </c>
      <c r="B5" t="str">
        <f>'16_DB-SGX_Loading'!B22</f>
        <v>Audience</v>
      </c>
      <c r="C5" s="139">
        <f>'16_DB-SGX_Loading'!C22</f>
        <v>60.491999999999997</v>
      </c>
      <c r="D5" s="139">
        <f>'16_DB-SGX_Loading'!D22</f>
        <v>0.08</v>
      </c>
      <c r="E5" s="139">
        <f>'16_DB-SGX_Loading'!E22</f>
        <v>2.8000000000000001E-2</v>
      </c>
      <c r="F5" s="139">
        <f>'16_DB-SGX_Loading'!F22</f>
        <v>23.268999999999998</v>
      </c>
      <c r="G5" s="139">
        <f>'16_DB-SGX_Loading'!G22</f>
        <v>23.296999999999997</v>
      </c>
      <c r="H5" s="139">
        <f>'16_DB-SGX_Loading'!H22</f>
        <v>13</v>
      </c>
      <c r="I5" s="139">
        <f>'16_DB-SGX_Loading'!I22</f>
        <v>5.77</v>
      </c>
      <c r="J5" s="139">
        <f>'16_DB-SGX_Loading'!J22</f>
        <v>0.26</v>
      </c>
      <c r="K5" s="139">
        <f>'16_DB-SGX_Loading'!K22</f>
        <v>0.26</v>
      </c>
      <c r="L5" s="139">
        <f>'16_DB-SGX_Loading'!L22</f>
        <v>0</v>
      </c>
      <c r="M5" s="139">
        <f>'16_DB-SGX_Loading'!M22</f>
        <v>15.956</v>
      </c>
      <c r="N5" s="139">
        <f>'16_DB-SGX_Loading'!N22</f>
        <v>5.7880000000000003</v>
      </c>
      <c r="O5" s="139">
        <f>'16_DB-SGX_Loading'!O22</f>
        <v>26.015000000000001</v>
      </c>
      <c r="P5" s="139">
        <f>'16_DB-SGX_Loading'!P22</f>
        <v>4.4359999999999999</v>
      </c>
      <c r="Q5" s="139">
        <f>'16_DB-SGX_Loading'!Q22</f>
        <v>3.7911757332664826</v>
      </c>
      <c r="R5" s="139">
        <f>'16_DB-SGX_Loading'!R22</f>
        <v>10.451278507256392</v>
      </c>
      <c r="S5" s="139">
        <f>'16_DB-SGX_Loading'!S22</f>
        <v>2.3252738804535844</v>
      </c>
      <c r="T5" s="139">
        <f>'16_DB-SGX_Loading'!T22</f>
        <v>13.636609558160504</v>
      </c>
    </row>
    <row r="6" spans="1:20">
      <c r="A6">
        <v>2</v>
      </c>
      <c r="B6" t="str">
        <f>'16_DB-SGX_Loading'!B23</f>
        <v>Dezign Format</v>
      </c>
      <c r="C6" s="139">
        <f>'16_DB-SGX_Loading'!C23</f>
        <v>38</v>
      </c>
      <c r="D6" s="139">
        <f>'16_DB-SGX_Loading'!D23</f>
        <v>1</v>
      </c>
      <c r="E6" s="139">
        <f>'16_DB-SGX_Loading'!E23</f>
        <v>2.391</v>
      </c>
      <c r="F6" s="139">
        <f>'16_DB-SGX_Loading'!F23</f>
        <v>11.077999999999999</v>
      </c>
      <c r="G6" s="139">
        <f>'16_DB-SGX_Loading'!G23</f>
        <v>13.468999999999999</v>
      </c>
      <c r="H6" s="139">
        <f>'16_DB-SGX_Loading'!H23</f>
        <v>19</v>
      </c>
      <c r="I6" s="139">
        <f>'16_DB-SGX_Loading'!I23</f>
        <v>0</v>
      </c>
      <c r="J6" s="139">
        <f>'16_DB-SGX_Loading'!J23</f>
        <v>0.19</v>
      </c>
      <c r="K6" s="139">
        <f>'16_DB-SGX_Loading'!K23</f>
        <v>0.23</v>
      </c>
      <c r="L6" s="139">
        <f>'16_DB-SGX_Loading'!L23</f>
        <v>-17.39130434782609</v>
      </c>
      <c r="M6" s="139">
        <f>'16_DB-SGX_Loading'!M23</f>
        <v>33.103999999999999</v>
      </c>
      <c r="N6" s="139">
        <f>'16_DB-SGX_Loading'!N23</f>
        <v>3.03</v>
      </c>
      <c r="O6" s="139">
        <f>'16_DB-SGX_Loading'!O23</f>
        <v>24.951000000000001</v>
      </c>
      <c r="P6" s="139">
        <f>'16_DB-SGX_Loading'!P23</f>
        <v>-6.5110000000000001</v>
      </c>
      <c r="Q6" s="139">
        <f>'16_DB-SGX_Loading'!Q23</f>
        <v>1.1478975350410827</v>
      </c>
      <c r="R6" s="139">
        <f>'16_DB-SGX_Loading'!R23</f>
        <v>12.541254125412543</v>
      </c>
      <c r="S6" s="139">
        <f>'16_DB-SGX_Loading'!S23</f>
        <v>1.5229850506993707</v>
      </c>
      <c r="T6" s="139">
        <f>'16_DB-SGX_Loading'!T23</f>
        <v>-5.8362770695745656</v>
      </c>
    </row>
    <row r="7" spans="1:20">
      <c r="A7">
        <v>3</v>
      </c>
      <c r="B7" t="str">
        <f>'16_DB-SGX_Loading'!B24</f>
        <v>GKE</v>
      </c>
      <c r="C7" s="139">
        <f>'16_DB-SGX_Loading'!C24</f>
        <v>64.394999999999996</v>
      </c>
      <c r="D7" s="139">
        <f>'16_DB-SGX_Loading'!D24</f>
        <v>0.28000000000000003</v>
      </c>
      <c r="E7" s="139">
        <f>'16_DB-SGX_Loading'!E24</f>
        <v>53.122999999999998</v>
      </c>
      <c r="F7" s="139">
        <f>'16_DB-SGX_Loading'!F24</f>
        <v>100.13</v>
      </c>
      <c r="G7" s="139">
        <f>'16_DB-SGX_Loading'!G24</f>
        <v>153.25299999999999</v>
      </c>
      <c r="H7" s="139">
        <f>'16_DB-SGX_Loading'!H24</f>
        <v>7.5</v>
      </c>
      <c r="I7" s="139">
        <f>'16_DB-SGX_Loading'!I24</f>
        <v>5.33</v>
      </c>
      <c r="J7" s="139">
        <f>'16_DB-SGX_Loading'!J24</f>
        <v>7.4999999999999997E-2</v>
      </c>
      <c r="K7" s="139">
        <f>'16_DB-SGX_Loading'!K24</f>
        <v>9.5000000000000001E-2</v>
      </c>
      <c r="L7" s="139">
        <f>'16_DB-SGX_Loading'!L24</f>
        <v>-21.052631578947373</v>
      </c>
      <c r="M7" s="139">
        <f>'16_DB-SGX_Loading'!M24</f>
        <v>126.51900000000001</v>
      </c>
      <c r="N7" s="139">
        <f>'16_DB-SGX_Loading'!N24</f>
        <v>29.927</v>
      </c>
      <c r="O7" s="139">
        <f>'16_DB-SGX_Loading'!O24</f>
        <v>184.24</v>
      </c>
      <c r="P7" s="139">
        <f>'16_DB-SGX_Loading'!P24</f>
        <v>14.760999999999999</v>
      </c>
      <c r="Q7" s="139">
        <f>'16_DB-SGX_Loading'!Q24</f>
        <v>0.50897493657079174</v>
      </c>
      <c r="R7" s="139">
        <f>'16_DB-SGX_Loading'!R24</f>
        <v>2.1517358906672901</v>
      </c>
      <c r="S7" s="139">
        <f>'16_DB-SGX_Loading'!S24</f>
        <v>0.34951693443334775</v>
      </c>
      <c r="T7" s="139">
        <f>'16_DB-SGX_Loading'!T24</f>
        <v>4.3625093150870535</v>
      </c>
    </row>
    <row r="8" spans="1:20">
      <c r="A8">
        <v>4</v>
      </c>
      <c r="B8" t="str">
        <f>'16_DB-SGX_Loading'!B25</f>
        <v>Hiap Tong</v>
      </c>
      <c r="C8" s="139">
        <f>'16_DB-SGX_Loading'!C25</f>
        <v>35.545000000000002</v>
      </c>
      <c r="D8" s="139">
        <f>'16_DB-SGX_Loading'!D25</f>
        <v>-0.04</v>
      </c>
      <c r="E8" s="139">
        <f>'16_DB-SGX_Loading'!E25</f>
        <v>52.646000000000001</v>
      </c>
      <c r="F8" s="139">
        <f>'16_DB-SGX_Loading'!F25</f>
        <v>99.906999999999996</v>
      </c>
      <c r="G8" s="139">
        <f>'16_DB-SGX_Loading'!G25</f>
        <v>152.553</v>
      </c>
      <c r="H8" s="139">
        <f>'16_DB-SGX_Loading'!H25</f>
        <v>11.2</v>
      </c>
      <c r="I8" s="139">
        <f>'16_DB-SGX_Loading'!I25</f>
        <v>0.89</v>
      </c>
      <c r="J8" s="139">
        <f>'16_DB-SGX_Loading'!J25</f>
        <v>0.112</v>
      </c>
      <c r="K8" s="139">
        <f>'16_DB-SGX_Loading'!K25</f>
        <v>9.6000000000000002E-2</v>
      </c>
      <c r="L8" s="139">
        <f>'16_DB-SGX_Loading'!L25</f>
        <v>16.666666666666668</v>
      </c>
      <c r="M8" s="139">
        <f>'16_DB-SGX_Loading'!M25</f>
        <v>91.915999999999997</v>
      </c>
      <c r="N8" s="139">
        <f>'16_DB-SGX_Loading'!N25</f>
        <v>23.984999999999999</v>
      </c>
      <c r="O8" s="139">
        <f>'16_DB-SGX_Loading'!O25</f>
        <v>182.02600000000001</v>
      </c>
      <c r="P8" s="139">
        <f>'16_DB-SGX_Loading'!P25</f>
        <v>19.872</v>
      </c>
      <c r="Q8" s="139">
        <f>'16_DB-SGX_Loading'!Q25</f>
        <v>0.38671178032116282</v>
      </c>
      <c r="R8" s="139">
        <f>'16_DB-SGX_Loading'!R25</f>
        <v>1.4819678966020431</v>
      </c>
      <c r="S8" s="139">
        <f>'16_DB-SGX_Loading'!S25</f>
        <v>0.19527430147341587</v>
      </c>
      <c r="T8" s="139">
        <f>'16_DB-SGX_Loading'!T25</f>
        <v>1.7886976650563609</v>
      </c>
    </row>
    <row r="9" spans="1:20">
      <c r="A9">
        <v>5</v>
      </c>
      <c r="B9" t="str">
        <f>'16_DB-SGX_Loading'!B26</f>
        <v>LS 2 Holdings</v>
      </c>
      <c r="C9" s="139">
        <f>'16_DB-SGX_Loading'!C26</f>
        <v>14.8</v>
      </c>
      <c r="D9" s="139">
        <f>'16_DB-SGX_Loading'!D26</f>
        <v>4.1100000000000003</v>
      </c>
      <c r="E9" s="139">
        <f>'16_DB-SGX_Loading'!E26</f>
        <v>2.5619999999999998</v>
      </c>
      <c r="F9" s="139">
        <f>'16_DB-SGX_Loading'!F26</f>
        <v>23.806999999999999</v>
      </c>
      <c r="G9" s="139">
        <f>'16_DB-SGX_Loading'!G26</f>
        <v>26.369</v>
      </c>
      <c r="H9" s="139">
        <f>'16_DB-SGX_Loading'!H26</f>
        <v>4</v>
      </c>
      <c r="I9" s="139">
        <f>'16_DB-SGX_Loading'!I26</f>
        <v>0</v>
      </c>
      <c r="J9" s="139">
        <f>'16_DB-SGX_Loading'!J26</f>
        <v>0.08</v>
      </c>
      <c r="K9" s="139">
        <f>'16_DB-SGX_Loading'!K26</f>
        <v>7.3999999999999996E-2</v>
      </c>
      <c r="L9" s="139">
        <f>'16_DB-SGX_Loading'!L26</f>
        <v>8.1081081081081159</v>
      </c>
      <c r="M9" s="139">
        <f>'16_DB-SGX_Loading'!M26</f>
        <v>71.805000000000007</v>
      </c>
      <c r="N9" s="139">
        <f>'16_DB-SGX_Loading'!N26</f>
        <v>7.6139999999999999</v>
      </c>
      <c r="O9" s="139">
        <f>'16_DB-SGX_Loading'!O26</f>
        <v>37.841000000000001</v>
      </c>
      <c r="P9" s="139">
        <f>'16_DB-SGX_Loading'!P26</f>
        <v>6.1539999999999999</v>
      </c>
      <c r="Q9" s="139">
        <f>'16_DB-SGX_Loading'!Q26</f>
        <v>0.20611378037741104</v>
      </c>
      <c r="R9" s="139">
        <f>'16_DB-SGX_Loading'!R26</f>
        <v>1.9437877593905963</v>
      </c>
      <c r="S9" s="139">
        <f>'16_DB-SGX_Loading'!S26</f>
        <v>0.39111017150709548</v>
      </c>
      <c r="T9" s="139">
        <f>'16_DB-SGX_Loading'!T26</f>
        <v>2.4049398765030876</v>
      </c>
    </row>
    <row r="10" spans="1:20">
      <c r="A10">
        <v>6</v>
      </c>
      <c r="B10" t="str">
        <f>'16_DB-SGX_Loading'!B27</f>
        <v>VCPlus</v>
      </c>
      <c r="C10" s="139">
        <f>'16_DB-SGX_Loading'!C27</f>
        <v>17.012</v>
      </c>
      <c r="D10" s="139">
        <f>'16_DB-SGX_Loading'!D27</f>
        <v>0.69</v>
      </c>
      <c r="E10" s="139">
        <f>'16_DB-SGX_Loading'!E27</f>
        <v>0.17</v>
      </c>
      <c r="F10" s="139">
        <f>'16_DB-SGX_Loading'!F27</f>
        <v>0.626</v>
      </c>
      <c r="G10" s="139">
        <f>'16_DB-SGX_Loading'!G27</f>
        <v>0.79600000000000004</v>
      </c>
      <c r="H10" s="139">
        <f>'16_DB-SGX_Loading'!H27</f>
        <v>0</v>
      </c>
      <c r="I10" s="139">
        <f>'16_DB-SGX_Loading'!I27</f>
        <v>0</v>
      </c>
      <c r="J10" s="139">
        <f>'16_DB-SGX_Loading'!J27</f>
        <v>3.0000000000000001E-3</v>
      </c>
      <c r="K10" s="139">
        <f>'16_DB-SGX_Loading'!K27</f>
        <v>3.0000000000000001E-3</v>
      </c>
      <c r="L10" s="139">
        <f>'16_DB-SGX_Loading'!L27</f>
        <v>0</v>
      </c>
      <c r="M10" s="139">
        <f>'16_DB-SGX_Loading'!M27</f>
        <v>0.191</v>
      </c>
      <c r="N10" s="139">
        <f>'16_DB-SGX_Loading'!N27</f>
        <v>-2.2810000000000001</v>
      </c>
      <c r="O10" s="139">
        <f>'16_DB-SGX_Loading'!O27</f>
        <v>1.4710000000000001</v>
      </c>
      <c r="P10" s="139">
        <f>'16_DB-SGX_Loading'!P27</f>
        <v>-1.3879999999999999</v>
      </c>
      <c r="Q10" s="139">
        <f>'16_DB-SGX_Loading'!Q27</f>
        <v>89.068062827225134</v>
      </c>
      <c r="R10" s="139">
        <f>'16_DB-SGX_Loading'!R27</f>
        <v>-7.4581323980710215</v>
      </c>
      <c r="S10" s="139">
        <f>'16_DB-SGX_Loading'!S27</f>
        <v>11.56492182188987</v>
      </c>
      <c r="T10" s="139">
        <f>'16_DB-SGX_Loading'!T27</f>
        <v>-12.256484149855909</v>
      </c>
    </row>
    <row r="11" spans="1:20">
      <c r="A11">
        <v>7</v>
      </c>
      <c r="B11" t="str">
        <f>'16_DB-SGX_Loading'!B28</f>
        <v>ZICO Hldgs</v>
      </c>
      <c r="C11" s="139">
        <f>'16_DB-SGX_Loading'!C28</f>
        <v>19.707000000000001</v>
      </c>
      <c r="D11" s="139">
        <f>'16_DB-SGX_Loading'!D28</f>
        <v>0.18</v>
      </c>
      <c r="E11" s="139">
        <f>'16_DB-SGX_Loading'!E28</f>
        <v>8.9359999999999999</v>
      </c>
      <c r="F11" s="139">
        <f>'16_DB-SGX_Loading'!F28</f>
        <v>28.536000000000001</v>
      </c>
      <c r="G11" s="139">
        <f>'16_DB-SGX_Loading'!G28</f>
        <v>37.472000000000001</v>
      </c>
      <c r="H11" s="139">
        <f>'16_DB-SGX_Loading'!H28</f>
        <v>0</v>
      </c>
      <c r="I11" s="139">
        <f>'16_DB-SGX_Loading'!I28</f>
        <v>0</v>
      </c>
      <c r="J11" s="139">
        <f>'16_DB-SGX_Loading'!J28</f>
        <v>4.8000000000000001E-2</v>
      </c>
      <c r="K11" s="139">
        <f>'16_DB-SGX_Loading'!K28</f>
        <v>5.5E-2</v>
      </c>
      <c r="L11" s="139">
        <f>'16_DB-SGX_Loading'!L28</f>
        <v>-12.727272727272725</v>
      </c>
      <c r="M11" s="139">
        <f>'16_DB-SGX_Loading'!M28</f>
        <v>14.311999999999999</v>
      </c>
      <c r="N11" s="139">
        <f>'16_DB-SGX_Loading'!N28</f>
        <v>3.5489999999999999</v>
      </c>
      <c r="O11" s="139">
        <f>'16_DB-SGX_Loading'!O28</f>
        <v>42.195999999999998</v>
      </c>
      <c r="P11" s="139">
        <f>'16_DB-SGX_Loading'!P28</f>
        <v>-0.504</v>
      </c>
      <c r="Q11" s="139">
        <f>'16_DB-SGX_Loading'!Q28</f>
        <v>1.3769564002235888</v>
      </c>
      <c r="R11" s="139">
        <f>'16_DB-SGX_Loading'!R28</f>
        <v>5.5528317836010146</v>
      </c>
      <c r="S11" s="139">
        <f>'16_DB-SGX_Loading'!S28</f>
        <v>0.46703479002749082</v>
      </c>
      <c r="T11" s="139">
        <f>'16_DB-SGX_Loading'!T28</f>
        <v>-39.101190476190474</v>
      </c>
    </row>
    <row r="12" spans="1:20">
      <c r="A12">
        <v>8</v>
      </c>
      <c r="B12" t="str">
        <f>'16_DB-SGX_Loading'!B29</f>
        <v>UnUsUaL</v>
      </c>
      <c r="C12" s="139">
        <f>'16_DB-SGX_Loading'!C29</f>
        <v>25.553000000000001</v>
      </c>
      <c r="D12" s="139">
        <f>'16_DB-SGX_Loading'!D29</f>
        <v>-0.38</v>
      </c>
      <c r="E12" s="139">
        <f>'16_DB-SGX_Loading'!E29</f>
        <v>1.8260000000000001</v>
      </c>
      <c r="F12" s="139">
        <f>'16_DB-SGX_Loading'!F29</f>
        <v>27.989000000000001</v>
      </c>
      <c r="G12" s="139">
        <f>'16_DB-SGX_Loading'!G29</f>
        <v>29.815000000000001</v>
      </c>
      <c r="H12" s="139">
        <f>'16_DB-SGX_Loading'!H29</f>
        <v>0</v>
      </c>
      <c r="I12" s="139">
        <f>'16_DB-SGX_Loading'!I29</f>
        <v>0</v>
      </c>
      <c r="J12" s="139">
        <f>'16_DB-SGX_Loading'!J29</f>
        <v>2.5000000000000001E-2</v>
      </c>
      <c r="K12" s="139">
        <f>'16_DB-SGX_Loading'!K29</f>
        <v>3.5999999999999997E-2</v>
      </c>
      <c r="L12" s="139">
        <f>'16_DB-SGX_Loading'!L29</f>
        <v>-30.555555555555546</v>
      </c>
      <c r="M12" s="139">
        <f>'16_DB-SGX_Loading'!M29</f>
        <v>53.219000000000001</v>
      </c>
      <c r="N12" s="139">
        <f>'16_DB-SGX_Loading'!N29</f>
        <v>-18.574999999999999</v>
      </c>
      <c r="O12" s="139">
        <f>'16_DB-SGX_Loading'!O29</f>
        <v>37.47</v>
      </c>
      <c r="P12" s="139">
        <f>'16_DB-SGX_Loading'!P29</f>
        <v>4.3730000000000002</v>
      </c>
      <c r="Q12" s="139">
        <f>'16_DB-SGX_Loading'!Q29</f>
        <v>0.48014806741953064</v>
      </c>
      <c r="R12" s="139">
        <f>'16_DB-SGX_Loading'!R29</f>
        <v>-1.3756662180349934</v>
      </c>
      <c r="S12" s="139">
        <f>'16_DB-SGX_Loading'!S29</f>
        <v>0.68195890045369634</v>
      </c>
      <c r="T12" s="139">
        <f>'16_DB-SGX_Loading'!T29</f>
        <v>5.8433569631831697</v>
      </c>
    </row>
    <row r="13" spans="1:20">
      <c r="A13">
        <v>9</v>
      </c>
      <c r="B13" t="str">
        <f>'16_DB-SGX_Loading'!B30</f>
        <v>Abundante</v>
      </c>
      <c r="C13" s="139">
        <f>'16_DB-SGX_Loading'!C30</f>
        <v>15.26</v>
      </c>
      <c r="D13" s="139">
        <f>'16_DB-SGX_Loading'!D30</f>
        <v>0.3</v>
      </c>
      <c r="E13" s="139">
        <f>'16_DB-SGX_Loading'!E30</f>
        <v>0</v>
      </c>
      <c r="F13" s="139">
        <f>'16_DB-SGX_Loading'!F30</f>
        <v>18.64</v>
      </c>
      <c r="G13" s="139">
        <f>'16_DB-SGX_Loading'!G30</f>
        <v>18.64</v>
      </c>
      <c r="H13" s="139">
        <f>'16_DB-SGX_Loading'!H30</f>
        <v>0</v>
      </c>
      <c r="I13" s="139">
        <f>'16_DB-SGX_Loading'!I30</f>
        <v>0</v>
      </c>
      <c r="J13" s="139">
        <f>'16_DB-SGX_Loading'!J30</f>
        <v>0.15</v>
      </c>
      <c r="K13" s="139">
        <f>'16_DB-SGX_Loading'!K30</f>
        <v>0.16</v>
      </c>
      <c r="L13" s="139">
        <f>'16_DB-SGX_Loading'!L30</f>
        <v>-6.2500000000000053</v>
      </c>
      <c r="M13" s="139">
        <f>'16_DB-SGX_Loading'!M30</f>
        <v>7.3259999999999996</v>
      </c>
      <c r="N13" s="139">
        <f>'16_DB-SGX_Loading'!N30</f>
        <v>0.78100000000000003</v>
      </c>
      <c r="O13" s="139">
        <f>'16_DB-SGX_Loading'!O30</f>
        <v>19.591999999999999</v>
      </c>
      <c r="P13" s="139">
        <f>'16_DB-SGX_Loading'!P30</f>
        <v>0.25109999999999999</v>
      </c>
      <c r="Q13" s="139">
        <f>'16_DB-SGX_Loading'!Q30</f>
        <v>2.0829920829920829</v>
      </c>
      <c r="R13" s="139">
        <f>'16_DB-SGX_Loading'!R30</f>
        <v>19.539052496798973</v>
      </c>
      <c r="S13" s="139">
        <f>'16_DB-SGX_Loading'!S30</f>
        <v>0.77888934258881182</v>
      </c>
      <c r="T13" s="139">
        <f>'16_DB-SGX_Loading'!T30</f>
        <v>60.772600557546795</v>
      </c>
    </row>
    <row r="14" spans="1:20">
      <c r="A14">
        <v>11</v>
      </c>
      <c r="B14" t="str">
        <f>'16_DB-SGX_Loading'!B32</f>
        <v>Chasen</v>
      </c>
      <c r="C14" s="139">
        <f>'16_DB-SGX_Loading'!C32</f>
        <v>29.45</v>
      </c>
      <c r="D14" s="139">
        <f>'16_DB-SGX_Loading'!D32</f>
        <v>0.28000000000000003</v>
      </c>
      <c r="E14" s="139">
        <f>'16_DB-SGX_Loading'!E32</f>
        <v>100.70399999999999</v>
      </c>
      <c r="F14" s="139">
        <f>'16_DB-SGX_Loading'!F32</f>
        <v>82.204999999999998</v>
      </c>
      <c r="G14" s="139">
        <f>'16_DB-SGX_Loading'!G32</f>
        <v>182.90899999999999</v>
      </c>
      <c r="H14" s="139">
        <f>'16_DB-SGX_Loading'!H32</f>
        <v>0</v>
      </c>
      <c r="I14" s="139">
        <f>'16_DB-SGX_Loading'!I32</f>
        <v>0</v>
      </c>
      <c r="J14" s="139">
        <f>'16_DB-SGX_Loading'!J32</f>
        <v>7.6999999999999999E-2</v>
      </c>
      <c r="K14" s="139">
        <f>'16_DB-SGX_Loading'!K32</f>
        <v>8.6999999999999994E-2</v>
      </c>
      <c r="L14" s="139">
        <f>'16_DB-SGX_Loading'!L32</f>
        <v>-11.494252873563214</v>
      </c>
      <c r="M14" s="139">
        <f>'16_DB-SGX_Loading'!M32</f>
        <v>116.322</v>
      </c>
      <c r="N14" s="139">
        <f>'16_DB-SGX_Loading'!N32</f>
        <v>5.1509999999999998</v>
      </c>
      <c r="O14" s="139">
        <f>'16_DB-SGX_Loading'!O32</f>
        <v>205.471</v>
      </c>
      <c r="P14" s="139">
        <f>'16_DB-SGX_Loading'!P32</f>
        <v>-53.247</v>
      </c>
      <c r="Q14" s="139">
        <f>'16_DB-SGX_Loading'!Q32</f>
        <v>0.25317652722614808</v>
      </c>
      <c r="R14" s="139">
        <f>'16_DB-SGX_Loading'!R32</f>
        <v>5.7173364395263055</v>
      </c>
      <c r="S14" s="139">
        <f>'16_DB-SGX_Loading'!S32</f>
        <v>0.14332922894228381</v>
      </c>
      <c r="T14" s="139">
        <f>'16_DB-SGX_Loading'!T32</f>
        <v>-0.5530828027870115</v>
      </c>
    </row>
    <row r="16" spans="1:20">
      <c r="B16" s="79" t="s">
        <v>1471</v>
      </c>
      <c r="P16" t="s">
        <v>2418</v>
      </c>
      <c r="Q16" s="139">
        <f>ABS(MIN(Q5:Q14))</f>
        <v>0.20611378037741104</v>
      </c>
      <c r="R16" s="139">
        <f>ABS(MIN(R5:R14))</f>
        <v>7.4581323980710215</v>
      </c>
      <c r="S16" s="139">
        <f>ABS(MIN(S5:S14))</f>
        <v>0.14332922894228381</v>
      </c>
      <c r="T16" s="139">
        <f>ABS(MIN(T5:T14))</f>
        <v>39.101190476190474</v>
      </c>
    </row>
    <row r="17" spans="2:20">
      <c r="P17" t="s">
        <v>1454</v>
      </c>
      <c r="Q17" s="142">
        <f>ABS(MEDIAN(Q5:Q14))</f>
        <v>0.82843623580593717</v>
      </c>
      <c r="R17" s="142">
        <f>ABS(MEDIAN(R5:R14))</f>
        <v>3.8522838371341521</v>
      </c>
      <c r="S17" s="142">
        <f>ABS(MEDIAN(S5:S14))</f>
        <v>0.57449684524059363</v>
      </c>
      <c r="T17" s="142">
        <f>ABS(MEDIAN(T5:T14))</f>
        <v>2.0968187707797243</v>
      </c>
    </row>
    <row r="18" spans="2:20">
      <c r="P18" t="str">
        <f>'03_Beta_Calculation'!S59</f>
        <v>average</v>
      </c>
      <c r="Q18" s="139">
        <f>ABS(AVERAGE(Q5:Q14))</f>
        <v>9.9302209670663419</v>
      </c>
      <c r="R18" s="139">
        <f>ABS(AVERAGE(R5:R14))</f>
        <v>5.0545446283149138</v>
      </c>
      <c r="S18" s="139">
        <f>ABS(AVERAGE(S5:S14))</f>
        <v>1.8420294422468966</v>
      </c>
      <c r="T18" s="139">
        <f>ABS(AVERAGE(T5:T14))</f>
        <v>3.1061679437129017</v>
      </c>
    </row>
    <row r="19" spans="2:20">
      <c r="P19" t="s">
        <v>2417</v>
      </c>
      <c r="Q19" s="142">
        <f>ABS(MAX(Q5:Q14))</f>
        <v>89.068062827225134</v>
      </c>
      <c r="R19" s="142">
        <f>ABS(MAX(R5:R14))</f>
        <v>19.539052496798973</v>
      </c>
      <c r="S19" s="142">
        <f>ABS(MAX(S5:S14))</f>
        <v>11.56492182188987</v>
      </c>
      <c r="T19" s="142">
        <f>ABS(MAX(T5:T14))</f>
        <v>60.772600557546795</v>
      </c>
    </row>
    <row r="20" spans="2:20" ht="28.8">
      <c r="B20" s="40" t="s">
        <v>1452</v>
      </c>
      <c r="C20" s="40" t="s">
        <v>1453</v>
      </c>
      <c r="D20" s="40" t="s">
        <v>1454</v>
      </c>
      <c r="E20" s="40" t="s">
        <v>1455</v>
      </c>
      <c r="F20" s="40" t="s">
        <v>1456</v>
      </c>
      <c r="G20" s="40" t="s">
        <v>2419</v>
      </c>
    </row>
    <row r="21" spans="2:20">
      <c r="B21" t="s">
        <v>1457</v>
      </c>
      <c r="C21" s="60">
        <f>Q16</f>
        <v>0.20611378037741104</v>
      </c>
      <c r="D21" s="60">
        <f>Q17</f>
        <v>0.82843623580593717</v>
      </c>
      <c r="E21" s="60">
        <f>Q18</f>
        <v>9.9302209670663419</v>
      </c>
      <c r="F21" s="60">
        <f>Q19</f>
        <v>89.068062827225134</v>
      </c>
      <c r="G21" s="60">
        <f>D21</f>
        <v>0.82843623580593717</v>
      </c>
    </row>
    <row r="22" spans="2:20">
      <c r="B22" t="s">
        <v>1458</v>
      </c>
      <c r="C22" s="60">
        <f>R16</f>
        <v>7.4581323980710215</v>
      </c>
      <c r="D22" s="60">
        <f>R17</f>
        <v>3.8522838371341521</v>
      </c>
      <c r="E22" s="60">
        <f>R18</f>
        <v>5.0545446283149138</v>
      </c>
      <c r="F22" s="60">
        <f>R19</f>
        <v>19.539052496798973</v>
      </c>
      <c r="G22" s="60">
        <f t="shared" ref="G22:G24" si="0">D22</f>
        <v>3.8522838371341521</v>
      </c>
    </row>
    <row r="23" spans="2:20">
      <c r="B23" t="s">
        <v>1459</v>
      </c>
      <c r="C23" s="60">
        <f>S16</f>
        <v>0.14332922894228381</v>
      </c>
      <c r="D23" s="60">
        <f>S17</f>
        <v>0.57449684524059363</v>
      </c>
      <c r="E23" s="60">
        <f>S18</f>
        <v>1.8420294422468966</v>
      </c>
      <c r="F23" s="60">
        <f>S19</f>
        <v>11.56492182188987</v>
      </c>
      <c r="G23" s="60">
        <f t="shared" si="0"/>
        <v>0.57449684524059363</v>
      </c>
    </row>
    <row r="24" spans="2:20">
      <c r="B24" t="s">
        <v>1460</v>
      </c>
      <c r="C24" s="60">
        <f>T16</f>
        <v>39.101190476190474</v>
      </c>
      <c r="D24" s="60">
        <f>T17</f>
        <v>2.0968187707797243</v>
      </c>
      <c r="E24" s="60">
        <f>T18</f>
        <v>3.1061679437129017</v>
      </c>
      <c r="F24" s="60">
        <f>T19</f>
        <v>60.772600557546795</v>
      </c>
      <c r="G24" s="60">
        <f t="shared" si="0"/>
        <v>2.0968187707797243</v>
      </c>
    </row>
    <row r="27" spans="2:20" ht="57.6">
      <c r="B27" s="40" t="s">
        <v>1461</v>
      </c>
      <c r="C27" s="40" t="s">
        <v>1462</v>
      </c>
      <c r="D27" s="40" t="s">
        <v>1813</v>
      </c>
      <c r="E27" s="40" t="s">
        <v>1463</v>
      </c>
    </row>
    <row r="28" spans="2:20">
      <c r="B28" t="s">
        <v>1457</v>
      </c>
      <c r="C28" s="43">
        <f>('02_Normalization'!G9)</f>
        <v>0</v>
      </c>
      <c r="D28" s="60">
        <f>G21</f>
        <v>0.82843623580593717</v>
      </c>
      <c r="E28" s="43">
        <f>C28*D28</f>
        <v>0</v>
      </c>
    </row>
    <row r="29" spans="2:20">
      <c r="B29" t="s">
        <v>1460</v>
      </c>
      <c r="C29" s="43">
        <f>'02_Normalization'!G65</f>
        <v>0</v>
      </c>
      <c r="D29" s="60">
        <f t="shared" ref="D29:D31" si="1">G22</f>
        <v>3.8522838371341521</v>
      </c>
      <c r="E29" s="43">
        <f>C29*D29</f>
        <v>0</v>
      </c>
    </row>
    <row r="30" spans="2:20">
      <c r="B30" t="s">
        <v>1458</v>
      </c>
      <c r="C30" s="43">
        <f>'02_Normalization'!G40</f>
        <v>0</v>
      </c>
      <c r="D30" s="60">
        <f t="shared" si="1"/>
        <v>0.57449684524059363</v>
      </c>
      <c r="E30" s="43">
        <f>C30*D30</f>
        <v>0</v>
      </c>
    </row>
    <row r="31" spans="2:20">
      <c r="B31" t="s">
        <v>1459</v>
      </c>
      <c r="C31" s="43">
        <f>'02_Normalization'!Q40</f>
        <v>6537967</v>
      </c>
      <c r="D31" s="60">
        <f t="shared" si="1"/>
        <v>2.0968187707797243</v>
      </c>
      <c r="E31" s="43">
        <f>C31*D31</f>
        <v>13708931.928338403</v>
      </c>
    </row>
    <row r="32" spans="2:20">
      <c r="C32" s="43"/>
      <c r="D32" s="60"/>
      <c r="E32" s="43"/>
    </row>
    <row r="33" spans="2:5" ht="15" thickBot="1">
      <c r="B33" t="s">
        <v>1455</v>
      </c>
      <c r="E33" s="137">
        <f>SUM(E28:E31)/4</f>
        <v>3427232.9820846007</v>
      </c>
    </row>
    <row r="34" spans="2:5" ht="15" thickTop="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F2D11-709D-40E1-9A48-313058C7F3AA}">
  <dimension ref="B3:F22"/>
  <sheetViews>
    <sheetView topLeftCell="A4" workbookViewId="0">
      <selection activeCell="F13" sqref="F13"/>
    </sheetView>
  </sheetViews>
  <sheetFormatPr defaultRowHeight="14.4"/>
  <cols>
    <col min="2" max="2" width="43.6640625" customWidth="1"/>
    <col min="3" max="3" width="6.5546875" customWidth="1"/>
    <col min="4" max="4" width="17.77734375" customWidth="1"/>
    <col min="5" max="5" width="18" customWidth="1"/>
  </cols>
  <sheetData>
    <row r="3" spans="2:6">
      <c r="B3" s="24" t="s">
        <v>2620</v>
      </c>
    </row>
    <row r="5" spans="2:6">
      <c r="C5" s="122" t="s">
        <v>1707</v>
      </c>
      <c r="D5" s="122" t="s">
        <v>1710</v>
      </c>
    </row>
    <row r="6" spans="2:6" ht="15.6" customHeight="1">
      <c r="B6" s="124" t="s">
        <v>1696</v>
      </c>
      <c r="C6" s="122" t="s">
        <v>560</v>
      </c>
      <c r="D6" s="59"/>
      <c r="E6" s="59">
        <v>416254</v>
      </c>
    </row>
    <row r="7" spans="2:6">
      <c r="B7" s="125" t="s">
        <v>1697</v>
      </c>
      <c r="C7" s="122"/>
      <c r="D7" s="59">
        <v>2557459</v>
      </c>
      <c r="E7" s="59"/>
    </row>
    <row r="8" spans="2:6">
      <c r="B8" s="125" t="s">
        <v>1698</v>
      </c>
      <c r="C8" s="122"/>
      <c r="D8" s="59"/>
      <c r="E8" s="59"/>
    </row>
    <row r="9" spans="2:6">
      <c r="B9" s="125" t="s">
        <v>1711</v>
      </c>
      <c r="C9" s="122"/>
      <c r="D9" s="129">
        <f>'05_WACC'!E21</f>
        <v>7.9647855343864329</v>
      </c>
      <c r="E9" s="59"/>
    </row>
    <row r="10" spans="2:6">
      <c r="B10" s="125" t="s">
        <v>1699</v>
      </c>
      <c r="C10" s="122" t="s">
        <v>1708</v>
      </c>
      <c r="D10" s="59"/>
      <c r="E10" s="59">
        <f>D7*D9%</f>
        <v>203696.12447986394</v>
      </c>
    </row>
    <row r="11" spans="2:6">
      <c r="B11" s="126"/>
      <c r="C11" s="122"/>
      <c r="D11" s="59"/>
      <c r="E11" s="59"/>
    </row>
    <row r="12" spans="2:6">
      <c r="B12" s="125" t="s">
        <v>1700</v>
      </c>
      <c r="C12" s="122"/>
      <c r="D12" s="59"/>
      <c r="E12" s="128">
        <f>E6-E10</f>
        <v>212557.87552013606</v>
      </c>
      <c r="F12" t="s">
        <v>2623</v>
      </c>
    </row>
    <row r="13" spans="2:6">
      <c r="B13" s="125" t="s">
        <v>1701</v>
      </c>
      <c r="C13" s="122"/>
      <c r="D13" s="59"/>
      <c r="E13" s="59"/>
    </row>
    <row r="14" spans="2:6">
      <c r="B14" s="125" t="s">
        <v>1712</v>
      </c>
      <c r="C14" s="122"/>
      <c r="D14" s="59">
        <f>' 04_CAPM'!D20</f>
        <v>18.880138819131357</v>
      </c>
      <c r="E14" s="59"/>
    </row>
    <row r="15" spans="2:6">
      <c r="B15" s="126"/>
      <c r="C15" s="122"/>
      <c r="D15" s="59"/>
      <c r="E15" s="59"/>
    </row>
    <row r="16" spans="2:6">
      <c r="B16" s="127" t="s">
        <v>1702</v>
      </c>
      <c r="C16" s="122" t="s">
        <v>1241</v>
      </c>
      <c r="D16" s="59"/>
      <c r="E16" s="59">
        <f>E12/D14%</f>
        <v>1125827.9272012021</v>
      </c>
    </row>
    <row r="17" spans="2:5">
      <c r="B17" s="127" t="s">
        <v>1703</v>
      </c>
      <c r="C17" s="122" t="s">
        <v>1709</v>
      </c>
      <c r="D17" s="59"/>
      <c r="E17" s="59">
        <f>'02_Normalization'!Q65</f>
        <v>2557459</v>
      </c>
    </row>
    <row r="18" spans="2:5">
      <c r="B18" s="127" t="s">
        <v>1704</v>
      </c>
      <c r="C18" s="122"/>
      <c r="D18" s="59"/>
      <c r="E18" s="59">
        <v>0</v>
      </c>
    </row>
    <row r="19" spans="2:5">
      <c r="B19" s="127" t="s">
        <v>1705</v>
      </c>
      <c r="C19" s="122"/>
      <c r="D19" s="59"/>
      <c r="E19" s="59">
        <v>0</v>
      </c>
    </row>
    <row r="20" spans="2:5">
      <c r="D20" s="59"/>
      <c r="E20" s="59"/>
    </row>
    <row r="21" spans="2:5" ht="15" thickBot="1">
      <c r="B21" s="123" t="s">
        <v>1706</v>
      </c>
      <c r="D21" s="59"/>
      <c r="E21" s="130">
        <f>E16+E17+E18+E19</f>
        <v>3683286.9272012021</v>
      </c>
    </row>
    <row r="22" spans="2:5" ht="15" thickTop="1"/>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D4492-8CBF-47D7-BA4D-18BE613C78AE}">
  <dimension ref="A1:F52"/>
  <sheetViews>
    <sheetView zoomScale="80" zoomScaleNormal="80" workbookViewId="0">
      <selection sqref="A1:G30"/>
    </sheetView>
  </sheetViews>
  <sheetFormatPr defaultRowHeight="14.4"/>
  <cols>
    <col min="1" max="1" width="26.44140625" customWidth="1"/>
    <col min="2" max="2" width="17" customWidth="1"/>
    <col min="3" max="3" width="15.44140625" customWidth="1"/>
    <col min="4" max="4" width="11.5546875" customWidth="1"/>
    <col min="5" max="5" width="16.44140625" customWidth="1"/>
    <col min="6" max="6" width="18" customWidth="1"/>
  </cols>
  <sheetData>
    <row r="1" spans="1:6">
      <c r="A1" t="s">
        <v>1353</v>
      </c>
    </row>
    <row r="4" spans="1:6" ht="15.6">
      <c r="A4" s="266" t="s">
        <v>1354</v>
      </c>
    </row>
    <row r="6" spans="1:6" s="17" customFormat="1" ht="28.8">
      <c r="A6" s="300" t="s">
        <v>1284</v>
      </c>
      <c r="B6" s="300" t="s">
        <v>1285</v>
      </c>
      <c r="C6" s="300" t="s">
        <v>1355</v>
      </c>
      <c r="D6" s="300" t="s">
        <v>1356</v>
      </c>
      <c r="E6" s="300" t="s">
        <v>1357</v>
      </c>
      <c r="F6" s="300" t="s">
        <v>1358</v>
      </c>
    </row>
    <row r="7" spans="1:6" s="37" customFormat="1" ht="28.8">
      <c r="A7" s="37" t="s">
        <v>1286</v>
      </c>
      <c r="B7" s="37" t="s">
        <v>1359</v>
      </c>
      <c r="C7" s="245" t="s">
        <v>1389</v>
      </c>
      <c r="D7" s="37" t="s">
        <v>1360</v>
      </c>
      <c r="E7" s="199"/>
      <c r="F7" s="37" t="s">
        <v>1361</v>
      </c>
    </row>
    <row r="8" spans="1:6" s="37" customFormat="1" ht="28.8">
      <c r="A8" s="37" t="s">
        <v>1287</v>
      </c>
      <c r="B8" s="37" t="s">
        <v>1362</v>
      </c>
      <c r="C8" s="245" t="s">
        <v>1075</v>
      </c>
      <c r="D8" s="37" t="s">
        <v>1363</v>
      </c>
      <c r="E8" s="199">
        <f t="shared" ref="E8:E10" si="0">IF(C8="Low",0.005,IF(C8="Moderate",0.015,IF(C8="High",0.025,0)))</f>
        <v>0</v>
      </c>
      <c r="F8" s="37" t="s">
        <v>1364</v>
      </c>
    </row>
    <row r="9" spans="1:6" s="37" customFormat="1" ht="28.8">
      <c r="A9" s="37" t="s">
        <v>1288</v>
      </c>
      <c r="B9" s="37" t="s">
        <v>1365</v>
      </c>
      <c r="C9" s="245" t="s">
        <v>1075</v>
      </c>
      <c r="D9" s="37" t="s">
        <v>1363</v>
      </c>
      <c r="E9" s="199">
        <v>1</v>
      </c>
      <c r="F9" s="37" t="s">
        <v>1364</v>
      </c>
    </row>
    <row r="10" spans="1:6" s="37" customFormat="1" ht="28.8">
      <c r="A10" s="37" t="s">
        <v>1289</v>
      </c>
      <c r="B10" s="37" t="s">
        <v>1366</v>
      </c>
      <c r="C10" s="245" t="s">
        <v>1075</v>
      </c>
      <c r="D10" s="37" t="s">
        <v>1363</v>
      </c>
      <c r="E10" s="199">
        <f t="shared" si="0"/>
        <v>0</v>
      </c>
      <c r="F10" s="37" t="s">
        <v>1364</v>
      </c>
    </row>
    <row r="11" spans="1:6" s="37" customFormat="1" ht="28.8">
      <c r="A11" s="37" t="s">
        <v>1367</v>
      </c>
      <c r="B11" s="37" t="s">
        <v>1368</v>
      </c>
      <c r="C11" s="245" t="s">
        <v>1389</v>
      </c>
      <c r="D11" s="37" t="s">
        <v>1363</v>
      </c>
      <c r="E11" s="199">
        <v>0.4</v>
      </c>
      <c r="F11" s="37" t="s">
        <v>1369</v>
      </c>
    </row>
    <row r="12" spans="1:6" s="37" customFormat="1" ht="28.8">
      <c r="A12" s="37" t="s">
        <v>1370</v>
      </c>
      <c r="B12" s="37" t="s">
        <v>1371</v>
      </c>
      <c r="C12" s="245" t="s">
        <v>1389</v>
      </c>
      <c r="D12" s="37" t="s">
        <v>1363</v>
      </c>
      <c r="E12" s="199"/>
      <c r="F12" s="37" t="s">
        <v>1372</v>
      </c>
    </row>
    <row r="13" spans="1:6" s="37" customFormat="1" ht="28.8">
      <c r="A13" s="37" t="s">
        <v>1373</v>
      </c>
      <c r="B13" s="37" t="s">
        <v>1374</v>
      </c>
      <c r="C13" s="245" t="s">
        <v>1075</v>
      </c>
      <c r="D13" s="37" t="s">
        <v>1363</v>
      </c>
      <c r="E13" s="199">
        <v>1.5</v>
      </c>
      <c r="F13" s="37" t="s">
        <v>2198</v>
      </c>
    </row>
    <row r="14" spans="1:6" s="37" customFormat="1" ht="57.6">
      <c r="A14" s="37" t="s">
        <v>1375</v>
      </c>
      <c r="B14" s="37" t="s">
        <v>1376</v>
      </c>
      <c r="C14" s="245" t="s">
        <v>1075</v>
      </c>
      <c r="D14" s="37" t="s">
        <v>1363</v>
      </c>
      <c r="E14" s="199">
        <v>1.5</v>
      </c>
      <c r="F14" s="37" t="s">
        <v>2415</v>
      </c>
    </row>
    <row r="15" spans="1:6" ht="21" customHeight="1" thickBot="1">
      <c r="E15" s="198">
        <f>SUM(E7:E14)</f>
        <v>4.4000000000000004</v>
      </c>
    </row>
    <row r="16" spans="1:6">
      <c r="A16" t="s">
        <v>1377</v>
      </c>
    </row>
    <row r="18" spans="1:3">
      <c r="A18" s="52" t="s">
        <v>1378</v>
      </c>
      <c r="B18" s="52" t="s">
        <v>1379</v>
      </c>
      <c r="C18" s="52" t="s">
        <v>1380</v>
      </c>
    </row>
    <row r="19" spans="1:3" s="37" customFormat="1" ht="28.8">
      <c r="A19" s="53" t="s">
        <v>1381</v>
      </c>
      <c r="B19" s="37">
        <f>SUM(E8:E14)</f>
        <v>4.4000000000000004</v>
      </c>
      <c r="C19" s="37" t="s">
        <v>1382</v>
      </c>
    </row>
    <row r="20" spans="1:3" s="37" customFormat="1" ht="28.8">
      <c r="A20" s="53" t="s">
        <v>1383</v>
      </c>
      <c r="B20" s="37">
        <f>B19</f>
        <v>4.4000000000000004</v>
      </c>
      <c r="C20" s="37" t="s">
        <v>1384</v>
      </c>
    </row>
    <row r="21" spans="1:3" s="37" customFormat="1">
      <c r="A21" s="53" t="s">
        <v>1385</v>
      </c>
      <c r="B21" s="37">
        <f>MIN(B19, B20)</f>
        <v>4.4000000000000004</v>
      </c>
      <c r="C21" s="37" t="s">
        <v>1386</v>
      </c>
    </row>
    <row r="23" spans="1:3">
      <c r="A23" t="s">
        <v>1387</v>
      </c>
    </row>
    <row r="24" spans="1:3">
      <c r="A24" t="s">
        <v>1388</v>
      </c>
    </row>
    <row r="26" spans="1:3">
      <c r="A26" t="s">
        <v>1390</v>
      </c>
    </row>
    <row r="27" spans="1:3">
      <c r="A27" t="s">
        <v>1389</v>
      </c>
    </row>
    <row r="28" spans="1:3">
      <c r="A28" t="s">
        <v>1391</v>
      </c>
    </row>
    <row r="29" spans="1:3">
      <c r="A29" t="s">
        <v>1075</v>
      </c>
    </row>
    <row r="52" ht="30" customHeight="1"/>
  </sheetData>
  <dataValidations count="1">
    <dataValidation type="list" allowBlank="1" showInputMessage="1" showErrorMessage="1" sqref="C7:C14" xr:uid="{BBCAE616-3BB0-4BBD-9F9C-BA794F81559B}">
      <formula1>$A$26:$A$29</formula1>
    </dataValidation>
  </dataValidation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17B9-1EC5-4C3F-ADD2-3971D7264186}">
  <dimension ref="A1:I35"/>
  <sheetViews>
    <sheetView workbookViewId="0">
      <selection sqref="A1:J37"/>
    </sheetView>
  </sheetViews>
  <sheetFormatPr defaultRowHeight="14.4"/>
  <sheetData>
    <row r="1" spans="1:9" ht="23.4">
      <c r="A1" s="115" t="s">
        <v>2513</v>
      </c>
    </row>
    <row r="3" spans="1:9" ht="18">
      <c r="A3" s="54" t="s">
        <v>2514</v>
      </c>
    </row>
    <row r="5" spans="1:9" ht="45" customHeight="1">
      <c r="A5" s="302" t="s">
        <v>2515</v>
      </c>
      <c r="B5" s="302"/>
      <c r="C5" s="302"/>
      <c r="D5" s="302"/>
      <c r="E5" s="302"/>
      <c r="F5" s="302"/>
      <c r="G5" s="302"/>
      <c r="H5" s="302"/>
      <c r="I5" s="302"/>
    </row>
    <row r="7" spans="1:9" ht="18">
      <c r="A7" s="54" t="s">
        <v>2516</v>
      </c>
    </row>
    <row r="8" spans="1:9">
      <c r="A8" s="55"/>
    </row>
    <row r="9" spans="1:9">
      <c r="A9" s="55" t="s">
        <v>2517</v>
      </c>
    </row>
    <row r="10" spans="1:9">
      <c r="A10" s="55"/>
    </row>
    <row r="11" spans="1:9">
      <c r="A11" s="55" t="s">
        <v>2518</v>
      </c>
      <c r="F11" s="153">
        <v>0.39500000000000002</v>
      </c>
    </row>
    <row r="12" spans="1:9">
      <c r="A12" s="55"/>
    </row>
    <row r="13" spans="1:9">
      <c r="A13" s="55" t="s">
        <v>2519</v>
      </c>
      <c r="F13" s="153">
        <v>0.40799999999999997</v>
      </c>
    </row>
    <row r="14" spans="1:9">
      <c r="A14" s="55"/>
    </row>
    <row r="15" spans="1:9">
      <c r="A15" s="55" t="s">
        <v>2520</v>
      </c>
      <c r="F15" s="153">
        <v>0.37</v>
      </c>
    </row>
    <row r="16" spans="1:9">
      <c r="A16" s="55"/>
    </row>
    <row r="17" spans="1:6">
      <c r="A17" s="55" t="s">
        <v>2521</v>
      </c>
      <c r="F17" s="153">
        <v>0.33300000000000002</v>
      </c>
    </row>
    <row r="18" spans="1:6">
      <c r="A18" s="55"/>
    </row>
    <row r="19" spans="1:6">
      <c r="A19" s="55" t="s">
        <v>2522</v>
      </c>
      <c r="F19" s="153">
        <v>0.28199999999999997</v>
      </c>
    </row>
    <row r="21" spans="1:6">
      <c r="A21" s="24" t="s">
        <v>2523</v>
      </c>
      <c r="F21" s="153">
        <f>AVERAGE(F11:F19)</f>
        <v>0.35760000000000003</v>
      </c>
    </row>
    <row r="23" spans="1:6" ht="18">
      <c r="A23" s="54" t="s">
        <v>1408</v>
      </c>
    </row>
    <row r="27" spans="1:6" ht="18">
      <c r="A27" s="54" t="s">
        <v>2524</v>
      </c>
    </row>
    <row r="29" spans="1:6">
      <c r="A29" t="s">
        <v>2526</v>
      </c>
    </row>
    <row r="32" spans="1:6">
      <c r="B32" s="191" t="s">
        <v>2527</v>
      </c>
      <c r="D32">
        <f>1 - (1 / (1 + F21))</f>
        <v>0.26340601060695357</v>
      </c>
    </row>
    <row r="33" spans="1:1">
      <c r="A33" s="156"/>
    </row>
    <row r="35" spans="1:1">
      <c r="A35" t="s">
        <v>2525</v>
      </c>
    </row>
  </sheetData>
  <mergeCells count="1">
    <mergeCell ref="A5:I5"/>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679B-E5B5-48CD-A1EC-387A594D3AA8}">
  <dimension ref="A1:J59"/>
  <sheetViews>
    <sheetView workbookViewId="0">
      <selection sqref="A1:J61"/>
    </sheetView>
  </sheetViews>
  <sheetFormatPr defaultRowHeight="14.4"/>
  <cols>
    <col min="1" max="1" width="18" customWidth="1"/>
    <col min="2" max="6" width="9.77734375" customWidth="1"/>
  </cols>
  <sheetData>
    <row r="1" spans="1:10" ht="23.4">
      <c r="A1" s="115" t="s">
        <v>2528</v>
      </c>
    </row>
    <row r="3" spans="1:10" ht="18">
      <c r="A3" s="54" t="s">
        <v>2514</v>
      </c>
    </row>
    <row r="5" spans="1:10" ht="46.2" customHeight="1">
      <c r="A5" s="302" t="s">
        <v>2529</v>
      </c>
      <c r="B5" s="302"/>
      <c r="C5" s="302"/>
      <c r="D5" s="302"/>
      <c r="E5" s="302"/>
      <c r="F5" s="302"/>
      <c r="G5" s="302"/>
      <c r="H5" s="302"/>
      <c r="I5" s="302"/>
      <c r="J5" s="302"/>
    </row>
    <row r="7" spans="1:10" ht="18">
      <c r="A7" s="54" t="s">
        <v>2530</v>
      </c>
    </row>
    <row r="8" spans="1:10">
      <c r="A8" s="55"/>
    </row>
    <row r="9" spans="1:10">
      <c r="A9" s="55" t="s">
        <v>2531</v>
      </c>
      <c r="D9" s="258">
        <v>2.35</v>
      </c>
    </row>
    <row r="10" spans="1:10">
      <c r="A10" s="55"/>
    </row>
    <row r="11" spans="1:10">
      <c r="A11" s="55" t="s">
        <v>2532</v>
      </c>
      <c r="D11" s="258">
        <v>2.5125999999999999</v>
      </c>
    </row>
    <row r="12" spans="1:10">
      <c r="A12" s="55"/>
    </row>
    <row r="13" spans="1:10">
      <c r="A13" s="55" t="s">
        <v>2533</v>
      </c>
    </row>
    <row r="15" spans="1:10" ht="18">
      <c r="A15" s="54" t="s">
        <v>1408</v>
      </c>
    </row>
    <row r="16" spans="1:10" ht="18">
      <c r="A16" s="54"/>
    </row>
    <row r="17" spans="1:3" ht="18">
      <c r="A17" s="54"/>
    </row>
    <row r="18" spans="1:3" ht="18">
      <c r="A18" s="54"/>
    </row>
    <row r="19" spans="1:3" ht="18">
      <c r="A19" s="54"/>
    </row>
    <row r="21" spans="1:3">
      <c r="A21" t="s">
        <v>2534</v>
      </c>
    </row>
    <row r="23" spans="1:3" ht="18">
      <c r="A23" s="54" t="s">
        <v>2524</v>
      </c>
    </row>
    <row r="25" spans="1:3">
      <c r="A25" t="s">
        <v>2535</v>
      </c>
    </row>
    <row r="27" spans="1:3">
      <c r="A27" t="s">
        <v>1862</v>
      </c>
      <c r="B27" s="259" t="s">
        <v>2558</v>
      </c>
    </row>
    <row r="29" spans="1:3">
      <c r="B29" s="21" t="s">
        <v>2559</v>
      </c>
      <c r="C29" s="156">
        <f>ABS((D9 - D11) / D11)</f>
        <v>6.4713842235134864E-2</v>
      </c>
    </row>
    <row r="31" spans="1:3">
      <c r="A31" t="s">
        <v>2536</v>
      </c>
    </row>
    <row r="33" spans="1:2" ht="23.4">
      <c r="A33" s="115" t="s">
        <v>2537</v>
      </c>
    </row>
    <row r="35" spans="1:2" ht="18">
      <c r="A35" s="54" t="s">
        <v>2514</v>
      </c>
    </row>
    <row r="37" spans="1:2">
      <c r="A37" t="s">
        <v>2538</v>
      </c>
    </row>
    <row r="38" spans="1:2">
      <c r="A38" s="55"/>
    </row>
    <row r="39" spans="1:2">
      <c r="A39" s="116" t="s">
        <v>2539</v>
      </c>
    </row>
    <row r="40" spans="1:2">
      <c r="A40" s="55"/>
    </row>
    <row r="41" spans="1:2">
      <c r="A41" s="116" t="s">
        <v>2540</v>
      </c>
    </row>
    <row r="43" spans="1:2" ht="18">
      <c r="A43" s="54" t="s">
        <v>2524</v>
      </c>
    </row>
    <row r="45" spans="1:2">
      <c r="A45" t="s">
        <v>2541</v>
      </c>
    </row>
    <row r="47" spans="1:2">
      <c r="A47" t="s">
        <v>1862</v>
      </c>
      <c r="B47" s="259" t="s">
        <v>2560</v>
      </c>
    </row>
    <row r="49" spans="1:6">
      <c r="C49" s="21" t="s">
        <v>2559</v>
      </c>
      <c r="D49" s="156">
        <f>MIN(MAX(C29, 0.15), 0.35)</f>
        <v>0.15</v>
      </c>
    </row>
    <row r="51" spans="1:6">
      <c r="A51" t="s">
        <v>2542</v>
      </c>
    </row>
    <row r="53" spans="1:6" ht="23.4">
      <c r="A53" s="115" t="s">
        <v>2543</v>
      </c>
    </row>
    <row r="55" spans="1:6" ht="43.2">
      <c r="A55" s="185" t="s">
        <v>2544</v>
      </c>
      <c r="B55" s="185" t="s">
        <v>2545</v>
      </c>
      <c r="C55" s="185" t="s">
        <v>2546</v>
      </c>
      <c r="D55" s="185" t="s">
        <v>2547</v>
      </c>
      <c r="E55" s="185" t="s">
        <v>2548</v>
      </c>
      <c r="F55" s="185" t="s">
        <v>2549</v>
      </c>
    </row>
    <row r="56" spans="1:6" ht="30.6" customHeight="1">
      <c r="A56" s="49" t="s">
        <v>2550</v>
      </c>
      <c r="B56" s="49">
        <v>2.1800000000000002</v>
      </c>
      <c r="C56" s="49">
        <v>2.2446000000000002</v>
      </c>
      <c r="D56" s="49">
        <f>(B56-C56)/C56</f>
        <v>-2.878018355163503E-2</v>
      </c>
      <c r="E56" s="49" t="s">
        <v>2551</v>
      </c>
      <c r="F56" s="201">
        <v>0.15</v>
      </c>
    </row>
    <row r="57" spans="1:6" ht="30.6" customHeight="1">
      <c r="A57" s="49" t="s">
        <v>2552</v>
      </c>
      <c r="B57" s="49">
        <v>8.0100000000000005E-2</v>
      </c>
      <c r="C57" s="49">
        <v>8.7620000000000003E-2</v>
      </c>
      <c r="D57" s="49">
        <f t="shared" ref="D57:D59" si="0">(B57-C57)/C57</f>
        <v>-8.5825154074412213E-2</v>
      </c>
      <c r="E57" s="49" t="s">
        <v>2553</v>
      </c>
      <c r="F57" s="201">
        <v>0.15</v>
      </c>
    </row>
    <row r="58" spans="1:6" ht="30.6" customHeight="1">
      <c r="A58" s="49" t="s">
        <v>2554</v>
      </c>
      <c r="B58" s="49">
        <v>0.7</v>
      </c>
      <c r="C58" s="49">
        <v>0.87</v>
      </c>
      <c r="D58" s="49">
        <f t="shared" si="0"/>
        <v>-0.19540229885057475</v>
      </c>
      <c r="E58" s="49" t="s">
        <v>2555</v>
      </c>
      <c r="F58" s="202">
        <v>0.19500000000000001</v>
      </c>
    </row>
    <row r="59" spans="1:6" ht="30.6" customHeight="1">
      <c r="A59" s="49" t="s">
        <v>2556</v>
      </c>
      <c r="B59" s="49">
        <v>2.35</v>
      </c>
      <c r="C59" s="49">
        <v>2.5125999999999999</v>
      </c>
      <c r="D59" s="49">
        <f t="shared" si="0"/>
        <v>-6.4713842235134864E-2</v>
      </c>
      <c r="E59" s="49" t="s">
        <v>2557</v>
      </c>
      <c r="F59" s="201">
        <v>0.15</v>
      </c>
    </row>
  </sheetData>
  <mergeCells count="1">
    <mergeCell ref="A5:J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163C2-970B-48C7-A03A-395B8A25CF2E}">
  <dimension ref="A2:C41"/>
  <sheetViews>
    <sheetView workbookViewId="0">
      <selection sqref="A1:D42"/>
    </sheetView>
  </sheetViews>
  <sheetFormatPr defaultRowHeight="14.4"/>
  <cols>
    <col min="1" max="1" width="56.5546875" customWidth="1"/>
    <col min="2" max="3" width="26.88671875" customWidth="1"/>
  </cols>
  <sheetData>
    <row r="2" spans="1:3" ht="18">
      <c r="A2" s="155" t="s">
        <v>1792</v>
      </c>
    </row>
    <row r="4" spans="1:3" ht="18">
      <c r="A4" s="54" t="s">
        <v>1814</v>
      </c>
    </row>
    <row r="6" spans="1:3">
      <c r="A6" t="s">
        <v>1687</v>
      </c>
      <c r="B6" t="s">
        <v>1440</v>
      </c>
    </row>
    <row r="7" spans="1:3">
      <c r="A7" t="s">
        <v>1689</v>
      </c>
      <c r="B7" t="str">
        <f>'14_Case Study_Gamma'!B3</f>
        <v>Gamma Spore Pte Ltd</v>
      </c>
    </row>
    <row r="8" spans="1:3">
      <c r="A8" t="s">
        <v>1793</v>
      </c>
      <c r="B8" s="141">
        <f ca="1">TODAY()</f>
        <v>46154</v>
      </c>
    </row>
    <row r="9" spans="1:3">
      <c r="A9" t="s">
        <v>1794</v>
      </c>
      <c r="B9" t="str">
        <f>"Isaac PC Wong, FCA (Singapore)"</f>
        <v>Isaac PC Wong, FCA (Singapore)</v>
      </c>
    </row>
    <row r="11" spans="1:3">
      <c r="A11" s="40" t="s">
        <v>1439</v>
      </c>
      <c r="B11" s="40" t="s">
        <v>1815</v>
      </c>
    </row>
    <row r="12" spans="1:3">
      <c r="A12" s="49" t="s">
        <v>1447</v>
      </c>
      <c r="B12" s="148">
        <f>'01_Inputs'!E21</f>
        <v>500000</v>
      </c>
    </row>
    <row r="13" spans="1:3">
      <c r="A13" t="s">
        <v>1441</v>
      </c>
      <c r="B13" s="59">
        <f>'01_Inputs'!E11</f>
        <v>2.2200000000000002</v>
      </c>
      <c r="C13" t="s">
        <v>1742</v>
      </c>
    </row>
    <row r="14" spans="1:3">
      <c r="A14" t="s">
        <v>1290</v>
      </c>
      <c r="B14" s="59">
        <f>'01_Inputs'!E12</f>
        <v>4.6500000000000004</v>
      </c>
      <c r="C14" t="s">
        <v>1742</v>
      </c>
    </row>
    <row r="15" spans="1:3">
      <c r="A15" t="s">
        <v>1795</v>
      </c>
      <c r="B15" s="59">
        <f>'01_Inputs'!E14</f>
        <v>1.346211488724866</v>
      </c>
      <c r="C15" t="s">
        <v>1796</v>
      </c>
    </row>
    <row r="16" spans="1:3">
      <c r="A16" t="s">
        <v>1644</v>
      </c>
      <c r="B16" s="59">
        <f>'01_Inputs'!E15</f>
        <v>1.6098834225706264</v>
      </c>
      <c r="C16" t="s">
        <v>1796</v>
      </c>
    </row>
    <row r="17" spans="1:3">
      <c r="A17" t="s">
        <v>1443</v>
      </c>
      <c r="B17" s="59">
        <f>'01_Inputs'!E16</f>
        <v>6.0302553965607313</v>
      </c>
      <c r="C17" t="s">
        <v>1797</v>
      </c>
    </row>
    <row r="18" spans="1:3">
      <c r="A18" t="s">
        <v>1442</v>
      </c>
      <c r="B18" s="59">
        <f>'01_Inputs'!E17</f>
        <v>4.4000000000000004</v>
      </c>
      <c r="C18" t="s">
        <v>1798</v>
      </c>
    </row>
    <row r="19" spans="1:3">
      <c r="A19" t="s">
        <v>1348</v>
      </c>
      <c r="B19" s="59">
        <f>'01_Inputs'!E18</f>
        <v>7.9647855343864329</v>
      </c>
      <c r="C19" t="s">
        <v>1799</v>
      </c>
    </row>
    <row r="20" spans="1:3">
      <c r="A20" s="49" t="s">
        <v>1800</v>
      </c>
      <c r="B20" s="147">
        <f>'01_Inputs'!E20</f>
        <v>0.26340601060695357</v>
      </c>
    </row>
    <row r="21" spans="1:3">
      <c r="A21" s="49" t="s">
        <v>1801</v>
      </c>
      <c r="B21" s="147">
        <f>'01_Inputs'!E19</f>
        <v>0.15</v>
      </c>
    </row>
    <row r="22" spans="1:3">
      <c r="A22" s="49" t="s">
        <v>1816</v>
      </c>
      <c r="B22" s="147">
        <f>' 04_CAPM'!D16</f>
        <v>18.910138819131358</v>
      </c>
    </row>
    <row r="24" spans="1:3" ht="18">
      <c r="A24" s="54" t="s">
        <v>1817</v>
      </c>
    </row>
    <row r="26" spans="1:3">
      <c r="A26" s="40" t="s">
        <v>1759</v>
      </c>
      <c r="B26" s="40" t="s">
        <v>1818</v>
      </c>
      <c r="C26" s="40" t="s">
        <v>1819</v>
      </c>
    </row>
    <row r="27" spans="1:3">
      <c r="A27" s="49" t="s">
        <v>1762</v>
      </c>
      <c r="B27" s="147">
        <f>'09_Asset_Based'!E21</f>
        <v>3683286.9272012021</v>
      </c>
      <c r="C27" s="147">
        <f>'09_Asset_Based'!E21</f>
        <v>3683286.9272012021</v>
      </c>
    </row>
    <row r="28" spans="1:3">
      <c r="A28" s="49" t="s">
        <v>1765</v>
      </c>
      <c r="B28" s="147">
        <f>'06_Income_Based DCF'!C32</f>
        <v>3827804.1863718675</v>
      </c>
      <c r="C28" s="147">
        <f>'06_Income_Based DCF'!C34</f>
        <v>10906059.418986384</v>
      </c>
    </row>
    <row r="29" spans="1:3">
      <c r="A29" s="49" t="s">
        <v>1768</v>
      </c>
      <c r="B29" s="147">
        <f>'07_Income_Based_Capitalization'!E17</f>
        <v>5459562.3372668894</v>
      </c>
      <c r="C29" s="147">
        <f>'07_Income_Based_Capitalization'!E17</f>
        <v>5459562.3372668894</v>
      </c>
    </row>
    <row r="30" spans="1:3">
      <c r="A30" s="49" t="s">
        <v>1770</v>
      </c>
      <c r="B30" s="147">
        <f>'08_Market_Multiple'!E33</f>
        <v>3427232.9820846007</v>
      </c>
      <c r="C30" s="147">
        <f>'08_Market_Multiple'!E33</f>
        <v>3427232.9820846007</v>
      </c>
    </row>
    <row r="32" spans="1:3" ht="18">
      <c r="A32" s="54" t="s">
        <v>1820</v>
      </c>
    </row>
    <row r="34" spans="1:3">
      <c r="A34" s="40" t="s">
        <v>1802</v>
      </c>
      <c r="B34" s="40" t="s">
        <v>1818</v>
      </c>
      <c r="C34" s="40" t="s">
        <v>1819</v>
      </c>
    </row>
    <row r="35" spans="1:3">
      <c r="A35" s="49" t="s">
        <v>1445</v>
      </c>
      <c r="B35" s="151">
        <f>AVERAGE(B27:B30)</f>
        <v>4099471.6082311398</v>
      </c>
      <c r="C35" s="151">
        <f>AVERAGE(C27:C30)</f>
        <v>5869035.4163847696</v>
      </c>
    </row>
    <row r="36" spans="1:3">
      <c r="A36" s="49" t="s">
        <v>1939</v>
      </c>
      <c r="B36" s="148">
        <f>('02_Normalization'!P59+'02_Normalization'!P48+'02_Normalization'!P46-'02_Normalization'!P17)</f>
        <v>3475040</v>
      </c>
      <c r="C36" s="148">
        <f>('02_Normalization'!P59+'02_Normalization'!P48+'02_Normalization'!P46-'02_Normalization'!P17)</f>
        <v>3475040</v>
      </c>
    </row>
    <row r="37" spans="1:3">
      <c r="A37" s="49" t="s">
        <v>1779</v>
      </c>
      <c r="B37" s="151">
        <f>B35-B36</f>
        <v>624431.60823113983</v>
      </c>
      <c r="C37" s="151">
        <f>C35-C36</f>
        <v>2393995.4163847696</v>
      </c>
    </row>
    <row r="38" spans="1:3">
      <c r="A38" s="49" t="s">
        <v>1782</v>
      </c>
      <c r="B38" s="147">
        <f>B37/B12</f>
        <v>1.2488632164622797</v>
      </c>
      <c r="C38" s="147">
        <f>C37/B12</f>
        <v>4.7879908327695393</v>
      </c>
    </row>
    <row r="39" spans="1:3">
      <c r="A39" s="49" t="s">
        <v>1803</v>
      </c>
      <c r="B39" s="146">
        <f>B38*(1-B20)</f>
        <v>0.91990513882018232</v>
      </c>
      <c r="C39" s="49" t="s">
        <v>1804</v>
      </c>
    </row>
    <row r="40" spans="1:3">
      <c r="A40" s="49" t="s">
        <v>1805</v>
      </c>
      <c r="B40" s="146">
        <f>B39*(1-B21)</f>
        <v>0.781919367997155</v>
      </c>
      <c r="C40" s="49" t="s">
        <v>1804</v>
      </c>
    </row>
    <row r="41" spans="1:3">
      <c r="A41" s="49" t="s">
        <v>1787</v>
      </c>
      <c r="B41" s="146">
        <f>B40</f>
        <v>0.781919367997155</v>
      </c>
      <c r="C41" s="147">
        <f>C38</f>
        <v>4.7879908327695393</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EBB57-F4E7-4842-8DB1-705784149244}">
  <dimension ref="A1:D64"/>
  <sheetViews>
    <sheetView workbookViewId="0">
      <selection sqref="A1:E65"/>
    </sheetView>
  </sheetViews>
  <sheetFormatPr defaultRowHeight="14.4"/>
  <cols>
    <col min="1" max="1" width="53.33203125" customWidth="1"/>
    <col min="2" max="4" width="17.88671875" customWidth="1"/>
  </cols>
  <sheetData>
    <row r="1" spans="1:4" ht="23.4">
      <c r="A1" s="115" t="s">
        <v>1822</v>
      </c>
    </row>
    <row r="3" spans="1:4" ht="18">
      <c r="A3" s="54" t="s">
        <v>1823</v>
      </c>
    </row>
    <row r="5" spans="1:4" ht="40.200000000000003" customHeight="1">
      <c r="A5" s="302" t="s">
        <v>1824</v>
      </c>
      <c r="B5" s="302"/>
      <c r="C5" s="302"/>
      <c r="D5" s="302"/>
    </row>
    <row r="7" spans="1:4" ht="18">
      <c r="A7" s="54" t="s">
        <v>1825</v>
      </c>
    </row>
    <row r="8" spans="1:4">
      <c r="A8" s="55"/>
    </row>
    <row r="9" spans="1:4">
      <c r="A9" s="116" t="s">
        <v>1826</v>
      </c>
      <c r="B9" s="33">
        <f>'01_Inputs'!E11</f>
        <v>2.2200000000000002</v>
      </c>
    </row>
    <row r="10" spans="1:4">
      <c r="A10" s="55"/>
      <c r="B10" s="33"/>
    </row>
    <row r="11" spans="1:4">
      <c r="A11" s="116" t="s">
        <v>1827</v>
      </c>
      <c r="B11" s="33">
        <f>'01_Inputs'!E12</f>
        <v>4.6500000000000004</v>
      </c>
    </row>
    <row r="12" spans="1:4">
      <c r="A12" s="55"/>
      <c r="B12" s="33"/>
    </row>
    <row r="13" spans="1:4">
      <c r="A13" s="116" t="s">
        <v>1828</v>
      </c>
      <c r="B13" s="33">
        <f>'01_Inputs'!E14</f>
        <v>1.346211488724866</v>
      </c>
    </row>
    <row r="14" spans="1:4">
      <c r="A14" s="55"/>
      <c r="B14" s="33"/>
    </row>
    <row r="15" spans="1:4">
      <c r="A15" s="116" t="s">
        <v>1829</v>
      </c>
      <c r="B15" s="33">
        <f>'12_Valuation Summary'!B22</f>
        <v>18.910138819131358</v>
      </c>
    </row>
    <row r="16" spans="1:4">
      <c r="A16" s="55"/>
      <c r="B16" s="33"/>
    </row>
    <row r="17" spans="1:2">
      <c r="A17" s="116" t="s">
        <v>1830</v>
      </c>
      <c r="B17" s="33">
        <f>'01_Inputs'!E18</f>
        <v>7.9647855343864329</v>
      </c>
    </row>
    <row r="18" spans="1:2">
      <c r="A18" s="55"/>
      <c r="B18" s="33"/>
    </row>
    <row r="19" spans="1:2">
      <c r="A19" s="116" t="s">
        <v>1831</v>
      </c>
      <c r="B19" s="33">
        <f>'06_Income_Based DCF'!G25</f>
        <v>0.03</v>
      </c>
    </row>
    <row r="20" spans="1:2">
      <c r="A20" s="55"/>
      <c r="B20" s="33"/>
    </row>
    <row r="21" spans="1:2">
      <c r="A21" s="116" t="s">
        <v>1832</v>
      </c>
      <c r="B21" s="153">
        <f>'01_Inputs'!E13</f>
        <v>0.17</v>
      </c>
    </row>
    <row r="22" spans="1:2">
      <c r="A22" s="55"/>
    </row>
    <row r="23" spans="1:2">
      <c r="A23" s="116" t="s">
        <v>1833</v>
      </c>
      <c r="B23" s="47">
        <f>'12_Valuation Summary'!B12</f>
        <v>500000</v>
      </c>
    </row>
    <row r="24" spans="1:2">
      <c r="A24" s="55"/>
    </row>
    <row r="25" spans="1:2">
      <c r="A25" s="116" t="s">
        <v>1834</v>
      </c>
    </row>
    <row r="26" spans="1:2">
      <c r="A26" s="120"/>
    </row>
    <row r="27" spans="1:2">
      <c r="A27" s="152" t="s">
        <v>1835</v>
      </c>
      <c r="B27">
        <f>'01_Inputs'!E20</f>
        <v>0.26340601060695357</v>
      </c>
    </row>
    <row r="28" spans="1:2">
      <c r="A28" s="120"/>
    </row>
    <row r="29" spans="1:2">
      <c r="A29" s="152" t="s">
        <v>1836</v>
      </c>
      <c r="B29">
        <f>'01_Inputs'!E19</f>
        <v>0.15</v>
      </c>
    </row>
    <row r="31" spans="1:2" ht="18">
      <c r="A31" s="54" t="s">
        <v>1837</v>
      </c>
    </row>
    <row r="33" spans="1:4">
      <c r="A33" s="40" t="s">
        <v>1759</v>
      </c>
      <c r="B33" s="40" t="s">
        <v>1838</v>
      </c>
      <c r="C33" s="40" t="s">
        <v>1839</v>
      </c>
      <c r="D33" s="40" t="s">
        <v>1380</v>
      </c>
    </row>
    <row r="34" spans="1:4">
      <c r="A34" s="49" t="s">
        <v>1762</v>
      </c>
      <c r="B34" s="154">
        <f>'12_Valuation Summary'!B27</f>
        <v>3683286.9272012021</v>
      </c>
      <c r="C34" s="154">
        <f>'12_Valuation Summary'!C27</f>
        <v>3683286.9272012021</v>
      </c>
      <c r="D34" s="49" t="s">
        <v>1840</v>
      </c>
    </row>
    <row r="35" spans="1:4" ht="28.8">
      <c r="A35" s="49" t="s">
        <v>1765</v>
      </c>
      <c r="B35" s="154">
        <f>'12_Valuation Summary'!B28</f>
        <v>3827804.1863718675</v>
      </c>
      <c r="C35" s="154">
        <f>'12_Valuation Summary'!C28</f>
        <v>10906059.418986384</v>
      </c>
      <c r="D35" s="49" t="s">
        <v>1841</v>
      </c>
    </row>
    <row r="36" spans="1:4" ht="28.8">
      <c r="A36" s="49" t="s">
        <v>1768</v>
      </c>
      <c r="B36" s="154">
        <f>'12_Valuation Summary'!B29</f>
        <v>5459562.3372668894</v>
      </c>
      <c r="C36" s="154">
        <f>'12_Valuation Summary'!C29</f>
        <v>5459562.3372668894</v>
      </c>
      <c r="D36" s="49" t="s">
        <v>1842</v>
      </c>
    </row>
    <row r="37" spans="1:4" ht="28.8">
      <c r="A37" s="49" t="s">
        <v>1770</v>
      </c>
      <c r="B37" s="154">
        <f>'12_Valuation Summary'!B30</f>
        <v>3427232.9820846007</v>
      </c>
      <c r="C37" s="154">
        <f>'12_Valuation Summary'!C30</f>
        <v>3427232.9820846007</v>
      </c>
      <c r="D37" s="49" t="s">
        <v>1843</v>
      </c>
    </row>
    <row r="38" spans="1:4">
      <c r="A38" s="49"/>
      <c r="B38" s="154"/>
      <c r="C38" s="154"/>
      <c r="D38" s="49"/>
    </row>
    <row r="39" spans="1:4">
      <c r="A39" s="49" t="s">
        <v>1938</v>
      </c>
      <c r="B39">
        <f>AVERAGE(B34:B37)/B23</f>
        <v>8.1989432164622791</v>
      </c>
      <c r="C39">
        <f>AVERAGE(C34:C37)/B23</f>
        <v>11.738070832769539</v>
      </c>
    </row>
    <row r="40" spans="1:4" ht="18">
      <c r="A40" s="54" t="s">
        <v>1844</v>
      </c>
    </row>
    <row r="41" spans="1:4">
      <c r="A41" s="55"/>
    </row>
    <row r="42" spans="1:4">
      <c r="A42" s="116" t="s">
        <v>1845</v>
      </c>
    </row>
    <row r="43" spans="1:4">
      <c r="A43" s="120"/>
    </row>
    <row r="44" spans="1:4">
      <c r="A44" s="120" t="s">
        <v>1846</v>
      </c>
      <c r="B44" s="35">
        <f>'12_Valuation Summary'!B39</f>
        <v>0.91990513882018232</v>
      </c>
    </row>
    <row r="45" spans="1:4">
      <c r="A45" s="120"/>
    </row>
    <row r="46" spans="1:4">
      <c r="A46" s="120" t="s">
        <v>1847</v>
      </c>
      <c r="B46" s="35">
        <f>'12_Valuation Summary'!B40</f>
        <v>0.781919367997155</v>
      </c>
    </row>
    <row r="47" spans="1:4">
      <c r="A47" s="120"/>
    </row>
    <row r="48" spans="1:4">
      <c r="A48" s="120" t="s">
        <v>1848</v>
      </c>
      <c r="B48" s="144">
        <f>B46</f>
        <v>0.781919367997155</v>
      </c>
    </row>
    <row r="49" spans="1:4">
      <c r="A49" s="55"/>
    </row>
    <row r="50" spans="1:4">
      <c r="A50" s="116" t="s">
        <v>1849</v>
      </c>
    </row>
    <row r="51" spans="1:4">
      <c r="A51" s="55"/>
    </row>
    <row r="52" spans="1:4">
      <c r="A52" s="120" t="s">
        <v>1850</v>
      </c>
      <c r="B52">
        <v>0</v>
      </c>
    </row>
    <row r="53" spans="1:4">
      <c r="A53" s="120"/>
    </row>
    <row r="54" spans="1:4">
      <c r="A54" s="120" t="s">
        <v>1851</v>
      </c>
      <c r="B54" s="144">
        <f>'12_Valuation Summary'!C41</f>
        <v>4.7879908327695393</v>
      </c>
    </row>
    <row r="56" spans="1:4" ht="18">
      <c r="A56" s="54" t="s">
        <v>1852</v>
      </c>
    </row>
    <row r="57" spans="1:4">
      <c r="A57" s="55"/>
    </row>
    <row r="58" spans="1:4">
      <c r="A58" s="116" t="s">
        <v>1853</v>
      </c>
    </row>
    <row r="59" spans="1:4">
      <c r="A59" s="55"/>
    </row>
    <row r="60" spans="1:4">
      <c r="A60" s="116" t="s">
        <v>1854</v>
      </c>
    </row>
    <row r="62" spans="1:4" ht="18">
      <c r="A62" s="54" t="s">
        <v>1855</v>
      </c>
    </row>
    <row r="63" spans="1:4">
      <c r="A63" s="55"/>
    </row>
    <row r="64" spans="1:4" ht="62.4" customHeight="1">
      <c r="A64" s="302" t="s">
        <v>1856</v>
      </c>
      <c r="B64" s="302"/>
      <c r="C64" s="302"/>
      <c r="D64" s="302"/>
    </row>
  </sheetData>
  <mergeCells count="2">
    <mergeCell ref="A5:D5"/>
    <mergeCell ref="A64:D6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618BD-AB3E-4B05-818C-923531245744}">
  <dimension ref="A3:B24"/>
  <sheetViews>
    <sheetView workbookViewId="0">
      <selection activeCell="E21" sqref="E21"/>
    </sheetView>
  </sheetViews>
  <sheetFormatPr defaultRowHeight="14.4"/>
  <cols>
    <col min="1" max="1" width="24.33203125" customWidth="1"/>
    <col min="2" max="2" width="56.77734375" customWidth="1"/>
  </cols>
  <sheetData>
    <row r="3" spans="1:2">
      <c r="A3" t="s">
        <v>1206</v>
      </c>
      <c r="B3" t="s">
        <v>1207</v>
      </c>
    </row>
    <row r="4" spans="1:2">
      <c r="A4" t="s">
        <v>1208</v>
      </c>
      <c r="B4" t="s">
        <v>1209</v>
      </c>
    </row>
    <row r="5" spans="1:2">
      <c r="A5" t="s">
        <v>1722</v>
      </c>
      <c r="B5" s="140">
        <v>500000</v>
      </c>
    </row>
    <row r="6" spans="1:2">
      <c r="A6" t="s">
        <v>1210</v>
      </c>
      <c r="B6" t="s">
        <v>1723</v>
      </c>
    </row>
    <row r="7" spans="1:2">
      <c r="B7" t="s">
        <v>1724</v>
      </c>
    </row>
    <row r="8" spans="1:2">
      <c r="A8" t="s">
        <v>1212</v>
      </c>
      <c r="B8" t="s">
        <v>1211</v>
      </c>
    </row>
    <row r="9" spans="1:2">
      <c r="B9" t="s">
        <v>1224</v>
      </c>
    </row>
    <row r="10" spans="1:2">
      <c r="A10" t="s">
        <v>1213</v>
      </c>
      <c r="B10" t="s">
        <v>1214</v>
      </c>
    </row>
    <row r="11" spans="1:2">
      <c r="A11" t="s">
        <v>1215</v>
      </c>
      <c r="B11" t="s">
        <v>1216</v>
      </c>
    </row>
    <row r="12" spans="1:2" s="12" customFormat="1" ht="28.8">
      <c r="A12" s="12" t="s">
        <v>1217</v>
      </c>
      <c r="B12" s="12" t="s">
        <v>1218</v>
      </c>
    </row>
    <row r="13" spans="1:2" s="12" customFormat="1" ht="57.6">
      <c r="A13" s="12" t="s">
        <v>1223</v>
      </c>
      <c r="B13" s="12" t="s">
        <v>1229</v>
      </c>
    </row>
    <row r="14" spans="1:2" s="12" customFormat="1" ht="28.8">
      <c r="A14" s="12" t="s">
        <v>1225</v>
      </c>
      <c r="B14" s="12" t="s">
        <v>1226</v>
      </c>
    </row>
    <row r="15" spans="1:2" s="12" customFormat="1"/>
    <row r="16" spans="1:2">
      <c r="A16" t="s">
        <v>1219</v>
      </c>
    </row>
    <row r="17" spans="1:2">
      <c r="A17" t="s">
        <v>1220</v>
      </c>
    </row>
    <row r="18" spans="1:2">
      <c r="A18" t="s">
        <v>1221</v>
      </c>
    </row>
    <row r="19" spans="1:2">
      <c r="A19" t="s">
        <v>1222</v>
      </c>
    </row>
    <row r="21" spans="1:2" s="12" customFormat="1" ht="72">
      <c r="A21" s="12" t="s">
        <v>1227</v>
      </c>
      <c r="B21" s="12" t="s">
        <v>1228</v>
      </c>
    </row>
    <row r="23" spans="1:2" s="12" customFormat="1"/>
    <row r="24" spans="1:2" s="12" customFormat="1"/>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72E2-7DCF-4DA8-AB21-C2583F93CCD9}">
  <dimension ref="A1:K568"/>
  <sheetViews>
    <sheetView workbookViewId="0">
      <selection sqref="A1:H30"/>
    </sheetView>
  </sheetViews>
  <sheetFormatPr defaultRowHeight="14.4"/>
  <cols>
    <col min="1" max="1" width="44.77734375" customWidth="1"/>
    <col min="2" max="2" width="9.44140625" customWidth="1"/>
    <col min="3" max="3" width="19.44140625" customWidth="1"/>
    <col min="4" max="4" width="21.33203125" customWidth="1"/>
    <col min="5" max="5" width="24.88671875" customWidth="1"/>
    <col min="6" max="6" width="44.5546875" customWidth="1"/>
    <col min="7" max="7" width="9.5546875" customWidth="1"/>
    <col min="8" max="8" width="8.88671875" style="7" customWidth="1"/>
    <col min="9" max="9" width="11.109375" style="139" bestFit="1" customWidth="1"/>
  </cols>
  <sheetData>
    <row r="1" spans="1:11" s="288" customFormat="1" ht="69">
      <c r="A1" s="286" t="s">
        <v>1464</v>
      </c>
      <c r="B1" s="286" t="s">
        <v>2107</v>
      </c>
      <c r="C1" s="286" t="s">
        <v>1465</v>
      </c>
      <c r="D1" s="286" t="s">
        <v>561</v>
      </c>
      <c r="E1" s="286" t="s">
        <v>2489</v>
      </c>
      <c r="F1" s="286" t="s">
        <v>2490</v>
      </c>
      <c r="G1" s="286" t="s">
        <v>623</v>
      </c>
      <c r="H1" s="286" t="s">
        <v>637</v>
      </c>
      <c r="I1" s="287" t="s">
        <v>2444</v>
      </c>
      <c r="J1" s="286"/>
      <c r="K1" s="286" t="s">
        <v>2094</v>
      </c>
    </row>
    <row r="2" spans="1:11">
      <c r="A2" s="1" t="s">
        <v>164</v>
      </c>
      <c r="B2" t="s">
        <v>560</v>
      </c>
      <c r="C2" t="s">
        <v>562</v>
      </c>
      <c r="D2" t="s">
        <v>569</v>
      </c>
      <c r="E2" t="s">
        <v>570</v>
      </c>
      <c r="F2" t="s">
        <v>2089</v>
      </c>
      <c r="G2" t="s">
        <v>620</v>
      </c>
      <c r="H2" s="7" t="s">
        <v>638</v>
      </c>
      <c r="I2"/>
    </row>
    <row r="3" spans="1:11">
      <c r="A3" s="1" t="s">
        <v>381</v>
      </c>
      <c r="B3" s="8" t="s">
        <v>568</v>
      </c>
      <c r="C3" t="s">
        <v>566</v>
      </c>
      <c r="D3" s="8" t="s">
        <v>567</v>
      </c>
      <c r="E3" s="8" t="s">
        <v>567</v>
      </c>
      <c r="F3" s="8" t="s">
        <v>2092</v>
      </c>
      <c r="G3" s="8" t="s">
        <v>654</v>
      </c>
      <c r="H3" s="9" t="s">
        <v>2090</v>
      </c>
      <c r="I3"/>
    </row>
    <row r="4" spans="1:11">
      <c r="A4" s="1" t="s">
        <v>336</v>
      </c>
      <c r="B4" t="s">
        <v>560</v>
      </c>
      <c r="C4" t="s">
        <v>566</v>
      </c>
      <c r="D4" t="s">
        <v>569</v>
      </c>
      <c r="E4" t="s">
        <v>572</v>
      </c>
      <c r="F4" t="s">
        <v>2091</v>
      </c>
      <c r="G4" t="s">
        <v>618</v>
      </c>
      <c r="H4" s="7" t="s">
        <v>639</v>
      </c>
      <c r="I4"/>
    </row>
    <row r="5" spans="1:11">
      <c r="A5" s="1" t="s">
        <v>372</v>
      </c>
      <c r="B5" t="s">
        <v>560</v>
      </c>
      <c r="C5" t="s">
        <v>562</v>
      </c>
      <c r="D5" t="s">
        <v>573</v>
      </c>
      <c r="E5" t="s">
        <v>574</v>
      </c>
      <c r="F5" t="s">
        <v>2093</v>
      </c>
      <c r="G5" t="s">
        <v>618</v>
      </c>
      <c r="H5" s="7">
        <v>533</v>
      </c>
      <c r="I5"/>
      <c r="K5" t="s">
        <v>2095</v>
      </c>
    </row>
    <row r="6" spans="1:11">
      <c r="A6" s="1" t="s">
        <v>374</v>
      </c>
      <c r="B6" t="s">
        <v>560</v>
      </c>
      <c r="C6" t="s">
        <v>566</v>
      </c>
      <c r="D6" t="s">
        <v>575</v>
      </c>
      <c r="E6" t="s">
        <v>576</v>
      </c>
      <c r="F6" t="s">
        <v>2096</v>
      </c>
      <c r="G6" t="s">
        <v>618</v>
      </c>
      <c r="H6" s="7">
        <v>541</v>
      </c>
      <c r="I6"/>
    </row>
    <row r="7" spans="1:11">
      <c r="A7" s="1" t="s">
        <v>376</v>
      </c>
      <c r="B7" t="s">
        <v>560</v>
      </c>
      <c r="C7" t="s">
        <v>562</v>
      </c>
      <c r="D7" t="s">
        <v>577</v>
      </c>
      <c r="E7" t="s">
        <v>578</v>
      </c>
      <c r="F7" t="s">
        <v>2420</v>
      </c>
      <c r="G7" t="s">
        <v>618</v>
      </c>
      <c r="H7" s="7">
        <v>570</v>
      </c>
      <c r="I7">
        <v>17.3</v>
      </c>
      <c r="J7">
        <v>1</v>
      </c>
    </row>
    <row r="8" spans="1:11">
      <c r="A8" s="1" t="s">
        <v>382</v>
      </c>
      <c r="B8" t="s">
        <v>560</v>
      </c>
      <c r="C8" t="s">
        <v>566</v>
      </c>
      <c r="D8" t="s">
        <v>579</v>
      </c>
      <c r="E8" t="s">
        <v>580</v>
      </c>
      <c r="F8" t="s">
        <v>2091</v>
      </c>
      <c r="G8" t="s">
        <v>618</v>
      </c>
      <c r="H8" s="7" t="s">
        <v>640</v>
      </c>
      <c r="I8"/>
    </row>
    <row r="9" spans="1:11">
      <c r="A9" s="1" t="s">
        <v>269</v>
      </c>
      <c r="B9" t="s">
        <v>560</v>
      </c>
      <c r="C9" t="s">
        <v>566</v>
      </c>
      <c r="D9" t="s">
        <v>577</v>
      </c>
      <c r="E9" t="s">
        <v>581</v>
      </c>
      <c r="F9" t="s">
        <v>2097</v>
      </c>
      <c r="G9" t="s">
        <v>618</v>
      </c>
      <c r="H9" s="7" t="s">
        <v>641</v>
      </c>
      <c r="I9"/>
      <c r="K9" t="s">
        <v>2098</v>
      </c>
    </row>
    <row r="10" spans="1:11">
      <c r="A10" s="1" t="s">
        <v>383</v>
      </c>
      <c r="B10" t="s">
        <v>560</v>
      </c>
      <c r="C10" t="s">
        <v>562</v>
      </c>
      <c r="D10" t="s">
        <v>573</v>
      </c>
      <c r="E10" t="s">
        <v>584</v>
      </c>
      <c r="F10" t="s">
        <v>2099</v>
      </c>
      <c r="G10" t="s">
        <v>618</v>
      </c>
      <c r="H10" s="7" t="s">
        <v>642</v>
      </c>
      <c r="I10"/>
    </row>
    <row r="11" spans="1:11">
      <c r="A11" s="1" t="s">
        <v>207</v>
      </c>
      <c r="B11" t="s">
        <v>560</v>
      </c>
      <c r="C11" t="s">
        <v>566</v>
      </c>
      <c r="D11" t="s">
        <v>577</v>
      </c>
      <c r="E11" t="s">
        <v>582</v>
      </c>
      <c r="F11" t="s">
        <v>2097</v>
      </c>
      <c r="G11" t="s">
        <v>618</v>
      </c>
      <c r="H11" s="7" t="s">
        <v>643</v>
      </c>
      <c r="I11"/>
    </row>
    <row r="12" spans="1:11">
      <c r="A12" s="1" t="s">
        <v>139</v>
      </c>
      <c r="B12" t="s">
        <v>560</v>
      </c>
      <c r="C12" t="s">
        <v>562</v>
      </c>
      <c r="D12" t="s">
        <v>569</v>
      </c>
      <c r="E12" t="s">
        <v>583</v>
      </c>
      <c r="F12" t="s">
        <v>2100</v>
      </c>
      <c r="G12" t="s">
        <v>620</v>
      </c>
      <c r="H12" s="7" t="s">
        <v>644</v>
      </c>
      <c r="I12"/>
    </row>
    <row r="13" spans="1:11">
      <c r="A13" s="1" t="s">
        <v>384</v>
      </c>
      <c r="B13" t="s">
        <v>560</v>
      </c>
      <c r="C13" t="s">
        <v>566</v>
      </c>
      <c r="D13" t="s">
        <v>585</v>
      </c>
      <c r="E13" t="s">
        <v>586</v>
      </c>
      <c r="F13" t="s">
        <v>2101</v>
      </c>
      <c r="G13" t="s">
        <v>618</v>
      </c>
      <c r="H13" s="7" t="s">
        <v>645</v>
      </c>
      <c r="I13"/>
    </row>
    <row r="14" spans="1:11">
      <c r="A14" s="1" t="s">
        <v>128</v>
      </c>
      <c r="B14" t="s">
        <v>560</v>
      </c>
      <c r="C14" t="s">
        <v>566</v>
      </c>
      <c r="D14" t="s">
        <v>569</v>
      </c>
      <c r="E14" t="s">
        <v>587</v>
      </c>
      <c r="F14" t="s">
        <v>2102</v>
      </c>
      <c r="G14" t="s">
        <v>618</v>
      </c>
      <c r="H14" s="7" t="s">
        <v>646</v>
      </c>
      <c r="I14"/>
    </row>
    <row r="15" spans="1:11">
      <c r="A15" s="1" t="s">
        <v>341</v>
      </c>
      <c r="B15" t="s">
        <v>560</v>
      </c>
      <c r="C15" t="s">
        <v>566</v>
      </c>
      <c r="D15" t="s">
        <v>577</v>
      </c>
      <c r="E15" t="s">
        <v>588</v>
      </c>
      <c r="F15" t="s">
        <v>2103</v>
      </c>
      <c r="G15" t="s">
        <v>618</v>
      </c>
      <c r="H15" s="7" t="s">
        <v>647</v>
      </c>
      <c r="I15"/>
    </row>
    <row r="16" spans="1:11">
      <c r="A16" s="1" t="s">
        <v>105</v>
      </c>
      <c r="B16" t="s">
        <v>560</v>
      </c>
      <c r="C16" t="s">
        <v>566</v>
      </c>
      <c r="D16" t="s">
        <v>577</v>
      </c>
      <c r="E16" t="s">
        <v>589</v>
      </c>
      <c r="F16" t="s">
        <v>2104</v>
      </c>
      <c r="G16" t="s">
        <v>618</v>
      </c>
      <c r="H16" s="7" t="s">
        <v>648</v>
      </c>
      <c r="I16"/>
    </row>
    <row r="17" spans="1:10">
      <c r="A17" s="1" t="s">
        <v>385</v>
      </c>
      <c r="B17" t="s">
        <v>560</v>
      </c>
      <c r="C17" t="s">
        <v>566</v>
      </c>
      <c r="D17" t="s">
        <v>577</v>
      </c>
      <c r="E17" t="s">
        <v>590</v>
      </c>
      <c r="F17" t="s">
        <v>590</v>
      </c>
      <c r="G17" t="s">
        <v>618</v>
      </c>
      <c r="H17" s="7" t="s">
        <v>649</v>
      </c>
      <c r="I17"/>
    </row>
    <row r="18" spans="1:10">
      <c r="A18" s="1" t="s">
        <v>49</v>
      </c>
      <c r="B18" t="s">
        <v>560</v>
      </c>
      <c r="C18" t="s">
        <v>562</v>
      </c>
      <c r="D18" t="s">
        <v>569</v>
      </c>
      <c r="E18" t="s">
        <v>587</v>
      </c>
      <c r="F18" t="s">
        <v>2102</v>
      </c>
      <c r="G18" t="s">
        <v>618</v>
      </c>
      <c r="H18" s="7" t="s">
        <v>1205</v>
      </c>
      <c r="I18"/>
    </row>
    <row r="19" spans="1:10">
      <c r="A19" s="1" t="s">
        <v>386</v>
      </c>
      <c r="B19" t="s">
        <v>560</v>
      </c>
      <c r="C19" t="s">
        <v>562</v>
      </c>
      <c r="D19" t="s">
        <v>569</v>
      </c>
      <c r="E19" t="s">
        <v>587</v>
      </c>
      <c r="F19" t="s">
        <v>2102</v>
      </c>
      <c r="G19" t="s">
        <v>618</v>
      </c>
      <c r="H19" s="7" t="s">
        <v>650</v>
      </c>
      <c r="I19"/>
    </row>
    <row r="20" spans="1:10">
      <c r="A20" s="1" t="s">
        <v>218</v>
      </c>
      <c r="B20" t="s">
        <v>560</v>
      </c>
      <c r="C20" t="s">
        <v>562</v>
      </c>
      <c r="D20" t="s">
        <v>573</v>
      </c>
      <c r="E20" t="s">
        <v>591</v>
      </c>
      <c r="F20" t="s">
        <v>2463</v>
      </c>
      <c r="G20" t="s">
        <v>618</v>
      </c>
      <c r="H20" s="7" t="s">
        <v>651</v>
      </c>
      <c r="I20"/>
    </row>
    <row r="21" spans="1:10">
      <c r="A21" s="1" t="s">
        <v>90</v>
      </c>
      <c r="B21" t="s">
        <v>560</v>
      </c>
      <c r="C21" t="s">
        <v>566</v>
      </c>
      <c r="D21" t="s">
        <v>579</v>
      </c>
      <c r="E21" t="s">
        <v>592</v>
      </c>
      <c r="F21" t="s">
        <v>579</v>
      </c>
      <c r="G21" t="s">
        <v>618</v>
      </c>
      <c r="H21" s="7">
        <v>584</v>
      </c>
      <c r="I21"/>
    </row>
    <row r="22" spans="1:10">
      <c r="A22" s="1" t="s">
        <v>387</v>
      </c>
      <c r="B22" s="8" t="s">
        <v>568</v>
      </c>
      <c r="C22" t="s">
        <v>566</v>
      </c>
      <c r="D22" s="8" t="s">
        <v>567</v>
      </c>
      <c r="E22" s="8" t="s">
        <v>567</v>
      </c>
      <c r="F22" s="8" t="s">
        <v>567</v>
      </c>
      <c r="G22" t="s">
        <v>618</v>
      </c>
      <c r="H22" s="9" t="s">
        <v>652</v>
      </c>
      <c r="I22"/>
    </row>
    <row r="23" spans="1:10">
      <c r="A23" s="1" t="s">
        <v>235</v>
      </c>
      <c r="B23" t="s">
        <v>560</v>
      </c>
      <c r="C23" t="s">
        <v>566</v>
      </c>
      <c r="D23" t="s">
        <v>579</v>
      </c>
      <c r="E23" t="s">
        <v>580</v>
      </c>
      <c r="F23" t="s">
        <v>579</v>
      </c>
      <c r="G23" t="s">
        <v>618</v>
      </c>
      <c r="H23" s="7" t="s">
        <v>653</v>
      </c>
      <c r="I23"/>
    </row>
    <row r="24" spans="1:10">
      <c r="A24" s="1" t="s">
        <v>388</v>
      </c>
      <c r="B24" s="8" t="s">
        <v>568</v>
      </c>
      <c r="C24" t="s">
        <v>566</v>
      </c>
      <c r="D24" s="8" t="s">
        <v>567</v>
      </c>
      <c r="E24" s="8" t="s">
        <v>567</v>
      </c>
      <c r="F24" s="8" t="s">
        <v>567</v>
      </c>
      <c r="G24" t="s">
        <v>618</v>
      </c>
      <c r="H24" s="9" t="s">
        <v>654</v>
      </c>
      <c r="I24"/>
    </row>
    <row r="25" spans="1:10">
      <c r="A25" s="1" t="s">
        <v>129</v>
      </c>
      <c r="B25" t="s">
        <v>560</v>
      </c>
      <c r="C25" t="s">
        <v>566</v>
      </c>
      <c r="D25" t="s">
        <v>577</v>
      </c>
      <c r="E25" t="s">
        <v>593</v>
      </c>
      <c r="F25" t="s">
        <v>593</v>
      </c>
      <c r="G25" t="s">
        <v>618</v>
      </c>
      <c r="H25" s="7" t="s">
        <v>655</v>
      </c>
      <c r="I25"/>
    </row>
    <row r="26" spans="1:10">
      <c r="A26" s="1" t="s">
        <v>366</v>
      </c>
      <c r="B26" t="s">
        <v>2106</v>
      </c>
      <c r="C26" t="s">
        <v>566</v>
      </c>
      <c r="D26" t="s">
        <v>2108</v>
      </c>
      <c r="E26" t="s">
        <v>595</v>
      </c>
      <c r="F26" s="173" t="s">
        <v>2109</v>
      </c>
      <c r="G26" t="s">
        <v>618</v>
      </c>
      <c r="H26" s="10" t="s">
        <v>656</v>
      </c>
      <c r="I26"/>
    </row>
    <row r="27" spans="1:10">
      <c r="A27" s="1" t="s">
        <v>389</v>
      </c>
      <c r="B27" t="s">
        <v>560</v>
      </c>
      <c r="C27" t="s">
        <v>562</v>
      </c>
      <c r="D27" t="s">
        <v>594</v>
      </c>
      <c r="E27" t="s">
        <v>595</v>
      </c>
      <c r="F27" t="s">
        <v>2105</v>
      </c>
      <c r="G27" t="s">
        <v>618</v>
      </c>
      <c r="H27" s="7" t="s">
        <v>657</v>
      </c>
      <c r="I27" s="59">
        <v>44.29</v>
      </c>
      <c r="J27">
        <v>1</v>
      </c>
    </row>
    <row r="28" spans="1:10">
      <c r="A28" t="s">
        <v>563</v>
      </c>
      <c r="B28" t="s">
        <v>2106</v>
      </c>
      <c r="C28" t="s">
        <v>562</v>
      </c>
      <c r="D28" s="8" t="s">
        <v>1198</v>
      </c>
      <c r="E28" s="8" t="s">
        <v>1198</v>
      </c>
      <c r="F28" s="8" t="s">
        <v>2468</v>
      </c>
      <c r="G28" s="8" t="s">
        <v>654</v>
      </c>
      <c r="H28" s="9" t="s">
        <v>654</v>
      </c>
      <c r="I28" s="139">
        <v>0</v>
      </c>
    </row>
    <row r="29" spans="1:10">
      <c r="A29" s="1" t="s">
        <v>390</v>
      </c>
      <c r="B29" t="s">
        <v>560</v>
      </c>
      <c r="C29" t="s">
        <v>562</v>
      </c>
      <c r="D29" t="s">
        <v>585</v>
      </c>
      <c r="E29" t="s">
        <v>586</v>
      </c>
      <c r="F29" t="s">
        <v>2101</v>
      </c>
      <c r="G29" t="s">
        <v>618</v>
      </c>
      <c r="H29" s="7" t="s">
        <v>658</v>
      </c>
      <c r="I29"/>
    </row>
    <row r="30" spans="1:10">
      <c r="A30" s="1" t="s">
        <v>391</v>
      </c>
      <c r="B30" t="s">
        <v>560</v>
      </c>
      <c r="C30" t="s">
        <v>566</v>
      </c>
      <c r="D30" t="s">
        <v>594</v>
      </c>
      <c r="E30" t="s">
        <v>596</v>
      </c>
      <c r="F30" s="173" t="s">
        <v>2110</v>
      </c>
      <c r="G30" t="s">
        <v>618</v>
      </c>
      <c r="H30" s="7" t="s">
        <v>659</v>
      </c>
      <c r="I30"/>
    </row>
    <row r="31" spans="1:10">
      <c r="A31" s="1" t="s">
        <v>564</v>
      </c>
      <c r="B31" t="s">
        <v>560</v>
      </c>
      <c r="C31" t="s">
        <v>562</v>
      </c>
      <c r="D31" t="s">
        <v>625</v>
      </c>
      <c r="E31" t="s">
        <v>811</v>
      </c>
      <c r="F31" t="s">
        <v>811</v>
      </c>
      <c r="G31" t="s">
        <v>618</v>
      </c>
      <c r="H31" s="7" t="s">
        <v>1204</v>
      </c>
      <c r="I31"/>
    </row>
    <row r="32" spans="1:10">
      <c r="A32" s="1" t="s">
        <v>392</v>
      </c>
      <c r="B32" t="s">
        <v>560</v>
      </c>
      <c r="C32" t="s">
        <v>562</v>
      </c>
      <c r="D32" t="s">
        <v>597</v>
      </c>
      <c r="E32" t="s">
        <v>598</v>
      </c>
      <c r="F32" t="s">
        <v>598</v>
      </c>
      <c r="G32" t="s">
        <v>620</v>
      </c>
      <c r="H32" s="7" t="s">
        <v>660</v>
      </c>
      <c r="I32"/>
    </row>
    <row r="33" spans="1:9">
      <c r="A33" s="1" t="s">
        <v>65</v>
      </c>
      <c r="B33" t="s">
        <v>560</v>
      </c>
      <c r="C33" t="s">
        <v>562</v>
      </c>
      <c r="D33" t="s">
        <v>585</v>
      </c>
      <c r="E33" t="s">
        <v>599</v>
      </c>
      <c r="F33" t="s">
        <v>2101</v>
      </c>
      <c r="G33" t="s">
        <v>620</v>
      </c>
      <c r="H33" s="7" t="s">
        <v>661</v>
      </c>
      <c r="I33"/>
    </row>
    <row r="34" spans="1:9">
      <c r="A34" s="1" t="s">
        <v>277</v>
      </c>
      <c r="B34" t="s">
        <v>560</v>
      </c>
      <c r="C34" t="s">
        <v>562</v>
      </c>
      <c r="D34" t="s">
        <v>575</v>
      </c>
      <c r="E34" t="s">
        <v>718</v>
      </c>
      <c r="G34" t="s">
        <v>622</v>
      </c>
      <c r="H34" s="7" t="s">
        <v>662</v>
      </c>
      <c r="I34"/>
    </row>
    <row r="35" spans="1:9">
      <c r="A35" s="1" t="s">
        <v>252</v>
      </c>
      <c r="B35" t="s">
        <v>560</v>
      </c>
      <c r="C35" t="s">
        <v>566</v>
      </c>
      <c r="D35" t="s">
        <v>575</v>
      </c>
      <c r="E35" t="s">
        <v>600</v>
      </c>
      <c r="G35" t="s">
        <v>618</v>
      </c>
      <c r="H35" s="7" t="s">
        <v>663</v>
      </c>
      <c r="I35"/>
    </row>
    <row r="36" spans="1:9">
      <c r="A36" s="1" t="s">
        <v>343</v>
      </c>
      <c r="B36" t="s">
        <v>560</v>
      </c>
      <c r="C36" t="s">
        <v>566</v>
      </c>
      <c r="D36" t="s">
        <v>585</v>
      </c>
      <c r="E36" t="s">
        <v>586</v>
      </c>
      <c r="G36" t="s">
        <v>618</v>
      </c>
      <c r="H36" s="7" t="s">
        <v>664</v>
      </c>
      <c r="I36"/>
    </row>
    <row r="37" spans="1:9">
      <c r="A37" s="1" t="s">
        <v>393</v>
      </c>
      <c r="B37" t="s">
        <v>560</v>
      </c>
      <c r="C37" t="s">
        <v>566</v>
      </c>
      <c r="D37" t="s">
        <v>579</v>
      </c>
      <c r="E37" t="s">
        <v>580</v>
      </c>
      <c r="G37" t="s">
        <v>622</v>
      </c>
      <c r="H37" s="7" t="s">
        <v>665</v>
      </c>
      <c r="I37"/>
    </row>
    <row r="38" spans="1:9">
      <c r="A38" s="1" t="s">
        <v>394</v>
      </c>
      <c r="B38" t="s">
        <v>560</v>
      </c>
      <c r="C38" t="s">
        <v>562</v>
      </c>
      <c r="D38" t="s">
        <v>585</v>
      </c>
      <c r="E38" t="s">
        <v>599</v>
      </c>
      <c r="G38" t="s">
        <v>618</v>
      </c>
      <c r="H38" s="7" t="s">
        <v>666</v>
      </c>
      <c r="I38"/>
    </row>
    <row r="39" spans="1:9">
      <c r="A39" s="1" t="s">
        <v>364</v>
      </c>
      <c r="B39" t="s">
        <v>560</v>
      </c>
      <c r="C39" t="s">
        <v>562</v>
      </c>
      <c r="D39" t="s">
        <v>573</v>
      </c>
      <c r="E39" t="s">
        <v>591</v>
      </c>
      <c r="F39" t="s">
        <v>2463</v>
      </c>
      <c r="G39" t="s">
        <v>618</v>
      </c>
      <c r="H39" s="7" t="s">
        <v>667</v>
      </c>
      <c r="I39"/>
    </row>
    <row r="40" spans="1:9">
      <c r="A40" s="1" t="s">
        <v>74</v>
      </c>
      <c r="B40" t="s">
        <v>560</v>
      </c>
      <c r="C40" t="s">
        <v>566</v>
      </c>
      <c r="D40" t="s">
        <v>594</v>
      </c>
      <c r="E40" t="s">
        <v>601</v>
      </c>
      <c r="F40" t="s">
        <v>2111</v>
      </c>
      <c r="G40" t="s">
        <v>618</v>
      </c>
      <c r="H40" s="7" t="s">
        <v>668</v>
      </c>
      <c r="I40">
        <v>1</v>
      </c>
    </row>
    <row r="41" spans="1:9">
      <c r="A41" s="1" t="s">
        <v>238</v>
      </c>
      <c r="B41" t="s">
        <v>560</v>
      </c>
      <c r="C41" t="s">
        <v>562</v>
      </c>
      <c r="D41" t="s">
        <v>575</v>
      </c>
      <c r="E41" t="s">
        <v>602</v>
      </c>
      <c r="G41" t="s">
        <v>618</v>
      </c>
      <c r="H41" s="7" t="s">
        <v>669</v>
      </c>
      <c r="I41"/>
    </row>
    <row r="42" spans="1:9">
      <c r="A42" s="1" t="s">
        <v>271</v>
      </c>
      <c r="B42" t="s">
        <v>560</v>
      </c>
      <c r="C42" t="s">
        <v>562</v>
      </c>
      <c r="D42" t="s">
        <v>575</v>
      </c>
      <c r="E42" t="s">
        <v>600</v>
      </c>
      <c r="G42" t="s">
        <v>618</v>
      </c>
      <c r="H42" s="7" t="s">
        <v>670</v>
      </c>
      <c r="I42"/>
    </row>
    <row r="43" spans="1:9">
      <c r="A43" s="1" t="s">
        <v>395</v>
      </c>
      <c r="B43" t="s">
        <v>560</v>
      </c>
      <c r="C43" t="s">
        <v>566</v>
      </c>
      <c r="D43" t="s">
        <v>579</v>
      </c>
      <c r="E43" t="s">
        <v>580</v>
      </c>
      <c r="G43" t="s">
        <v>618</v>
      </c>
      <c r="H43" s="7" t="s">
        <v>671</v>
      </c>
      <c r="I43"/>
    </row>
    <row r="44" spans="1:9">
      <c r="A44" s="1" t="s">
        <v>260</v>
      </c>
      <c r="B44" t="s">
        <v>560</v>
      </c>
      <c r="C44" t="s">
        <v>566</v>
      </c>
      <c r="D44" t="s">
        <v>579</v>
      </c>
      <c r="E44" t="s">
        <v>603</v>
      </c>
      <c r="G44" t="s">
        <v>618</v>
      </c>
      <c r="H44" s="7">
        <v>505</v>
      </c>
      <c r="I44"/>
    </row>
    <row r="45" spans="1:9">
      <c r="A45" s="1" t="s">
        <v>310</v>
      </c>
      <c r="B45" t="s">
        <v>560</v>
      </c>
      <c r="C45" t="s">
        <v>566</v>
      </c>
      <c r="D45" t="s">
        <v>585</v>
      </c>
      <c r="E45" t="s">
        <v>604</v>
      </c>
      <c r="G45" t="s">
        <v>618</v>
      </c>
      <c r="H45" s="7">
        <v>585</v>
      </c>
      <c r="I45"/>
    </row>
    <row r="46" spans="1:9">
      <c r="A46" s="1" t="s">
        <v>77</v>
      </c>
      <c r="B46" t="s">
        <v>560</v>
      </c>
      <c r="C46" t="s">
        <v>566</v>
      </c>
      <c r="D46" t="s">
        <v>575</v>
      </c>
      <c r="E46" t="s">
        <v>605</v>
      </c>
      <c r="G46" t="s">
        <v>618</v>
      </c>
      <c r="H46" s="7" t="s">
        <v>672</v>
      </c>
      <c r="I46"/>
    </row>
    <row r="47" spans="1:9">
      <c r="A47" s="1" t="s">
        <v>396</v>
      </c>
      <c r="B47" t="s">
        <v>560</v>
      </c>
      <c r="C47" t="s">
        <v>566</v>
      </c>
      <c r="D47" t="s">
        <v>607</v>
      </c>
      <c r="E47" t="s">
        <v>606</v>
      </c>
      <c r="G47" t="s">
        <v>618</v>
      </c>
      <c r="H47" s="7" t="s">
        <v>673</v>
      </c>
      <c r="I47"/>
    </row>
    <row r="48" spans="1:9">
      <c r="A48" s="1" t="s">
        <v>54</v>
      </c>
      <c r="B48" t="s">
        <v>560</v>
      </c>
      <c r="C48" t="s">
        <v>562</v>
      </c>
      <c r="D48" t="s">
        <v>577</v>
      </c>
      <c r="E48" t="s">
        <v>608</v>
      </c>
      <c r="G48" t="s">
        <v>618</v>
      </c>
      <c r="H48" s="7" t="s">
        <v>674</v>
      </c>
      <c r="I48"/>
    </row>
    <row r="49" spans="1:10">
      <c r="A49" s="1" t="s">
        <v>365</v>
      </c>
      <c r="B49" t="s">
        <v>560</v>
      </c>
      <c r="C49" t="s">
        <v>562</v>
      </c>
      <c r="D49" t="s">
        <v>577</v>
      </c>
      <c r="E49" t="s">
        <v>609</v>
      </c>
      <c r="F49" t="s">
        <v>2421</v>
      </c>
      <c r="G49" t="s">
        <v>618</v>
      </c>
      <c r="H49" s="7" t="s">
        <v>675</v>
      </c>
      <c r="I49">
        <v>29.78</v>
      </c>
      <c r="J49">
        <v>1</v>
      </c>
    </row>
    <row r="50" spans="1:10">
      <c r="A50" s="1" t="s">
        <v>328</v>
      </c>
      <c r="B50" t="s">
        <v>560</v>
      </c>
      <c r="C50" t="s">
        <v>562</v>
      </c>
      <c r="D50" t="s">
        <v>577</v>
      </c>
      <c r="E50" t="s">
        <v>610</v>
      </c>
      <c r="F50" t="s">
        <v>2422</v>
      </c>
      <c r="G50" t="s">
        <v>620</v>
      </c>
      <c r="H50" s="7" t="s">
        <v>676</v>
      </c>
      <c r="I50"/>
      <c r="J50">
        <v>1</v>
      </c>
    </row>
    <row r="51" spans="1:10">
      <c r="A51" s="1" t="s">
        <v>337</v>
      </c>
      <c r="B51" t="s">
        <v>560</v>
      </c>
      <c r="C51" t="s">
        <v>562</v>
      </c>
      <c r="D51" t="s">
        <v>594</v>
      </c>
      <c r="E51" t="s">
        <v>595</v>
      </c>
      <c r="F51" t="s">
        <v>2105</v>
      </c>
      <c r="G51" t="s">
        <v>621</v>
      </c>
      <c r="H51" s="7" t="s">
        <v>677</v>
      </c>
      <c r="I51" s="59">
        <v>39</v>
      </c>
      <c r="J51">
        <v>1</v>
      </c>
    </row>
    <row r="52" spans="1:10">
      <c r="A52" s="1" t="s">
        <v>124</v>
      </c>
      <c r="B52" t="s">
        <v>560</v>
      </c>
      <c r="C52" t="s">
        <v>562</v>
      </c>
      <c r="D52" t="s">
        <v>573</v>
      </c>
      <c r="E52" t="s">
        <v>611</v>
      </c>
      <c r="G52" t="s">
        <v>618</v>
      </c>
      <c r="H52" s="7" t="s">
        <v>678</v>
      </c>
      <c r="I52"/>
    </row>
    <row r="53" spans="1:10">
      <c r="A53" s="1" t="s">
        <v>60</v>
      </c>
      <c r="B53" t="s">
        <v>560</v>
      </c>
      <c r="C53" t="s">
        <v>566</v>
      </c>
      <c r="D53" t="s">
        <v>573</v>
      </c>
      <c r="E53" t="s">
        <v>611</v>
      </c>
      <c r="G53" t="s">
        <v>618</v>
      </c>
      <c r="H53" s="7" t="s">
        <v>679</v>
      </c>
      <c r="I53"/>
    </row>
    <row r="54" spans="1:10">
      <c r="A54" s="1" t="s">
        <v>397</v>
      </c>
      <c r="B54" t="s">
        <v>560</v>
      </c>
      <c r="C54" t="s">
        <v>566</v>
      </c>
      <c r="D54" t="s">
        <v>569</v>
      </c>
      <c r="E54" t="s">
        <v>612</v>
      </c>
      <c r="G54" t="s">
        <v>618</v>
      </c>
      <c r="H54" s="7" t="s">
        <v>680</v>
      </c>
      <c r="I54"/>
    </row>
    <row r="55" spans="1:10">
      <c r="A55" s="1" t="s">
        <v>398</v>
      </c>
      <c r="B55" t="s">
        <v>560</v>
      </c>
      <c r="C55" t="s">
        <v>566</v>
      </c>
      <c r="D55" t="s">
        <v>594</v>
      </c>
      <c r="E55" t="s">
        <v>595</v>
      </c>
      <c r="F55" t="s">
        <v>2105</v>
      </c>
      <c r="G55" t="s">
        <v>621</v>
      </c>
      <c r="H55" s="7" t="s">
        <v>681</v>
      </c>
      <c r="I55" s="59">
        <v>82.26</v>
      </c>
      <c r="J55">
        <v>1</v>
      </c>
    </row>
    <row r="56" spans="1:10">
      <c r="A56" s="1" t="s">
        <v>377</v>
      </c>
      <c r="B56" t="s">
        <v>568</v>
      </c>
      <c r="C56" t="s">
        <v>566</v>
      </c>
      <c r="D56" t="s">
        <v>569</v>
      </c>
      <c r="E56" t="s">
        <v>587</v>
      </c>
      <c r="G56" t="s">
        <v>618</v>
      </c>
      <c r="H56" s="7">
        <v>575</v>
      </c>
      <c r="I56"/>
    </row>
    <row r="57" spans="1:10">
      <c r="A57" s="1" t="s">
        <v>191</v>
      </c>
      <c r="B57" t="s">
        <v>560</v>
      </c>
      <c r="C57" t="s">
        <v>566</v>
      </c>
      <c r="D57" t="s">
        <v>577</v>
      </c>
      <c r="E57" t="s">
        <v>613</v>
      </c>
      <c r="G57" t="s">
        <v>620</v>
      </c>
      <c r="H57" s="7" t="s">
        <v>682</v>
      </c>
      <c r="I57"/>
    </row>
    <row r="58" spans="1:10">
      <c r="A58" s="1" t="s">
        <v>276</v>
      </c>
      <c r="B58" t="s">
        <v>560</v>
      </c>
      <c r="C58" t="s">
        <v>566</v>
      </c>
      <c r="D58" t="s">
        <v>577</v>
      </c>
      <c r="E58" t="s">
        <v>593</v>
      </c>
      <c r="G58" t="s">
        <v>618</v>
      </c>
      <c r="H58" s="7" t="s">
        <v>683</v>
      </c>
      <c r="I58"/>
    </row>
    <row r="59" spans="1:10">
      <c r="A59" s="1" t="s">
        <v>349</v>
      </c>
      <c r="B59" t="s">
        <v>560</v>
      </c>
      <c r="C59" t="s">
        <v>566</v>
      </c>
      <c r="D59" t="s">
        <v>577</v>
      </c>
      <c r="E59" t="s">
        <v>614</v>
      </c>
      <c r="F59" t="s">
        <v>2423</v>
      </c>
      <c r="G59" t="s">
        <v>618</v>
      </c>
      <c r="H59" s="7" t="s">
        <v>684</v>
      </c>
      <c r="I59">
        <v>58.17</v>
      </c>
      <c r="J59">
        <v>1</v>
      </c>
    </row>
    <row r="60" spans="1:10">
      <c r="A60" s="1" t="s">
        <v>399</v>
      </c>
      <c r="B60" t="s">
        <v>568</v>
      </c>
      <c r="C60" t="s">
        <v>566</v>
      </c>
      <c r="D60" t="s">
        <v>577</v>
      </c>
      <c r="E60" t="s">
        <v>593</v>
      </c>
      <c r="G60" t="s">
        <v>619</v>
      </c>
      <c r="H60" s="7" t="s">
        <v>685</v>
      </c>
      <c r="I60"/>
    </row>
    <row r="61" spans="1:10">
      <c r="A61" s="1" t="s">
        <v>183</v>
      </c>
      <c r="B61" t="s">
        <v>560</v>
      </c>
      <c r="C61" t="s">
        <v>562</v>
      </c>
      <c r="D61" t="s">
        <v>577</v>
      </c>
      <c r="E61" t="s">
        <v>615</v>
      </c>
      <c r="G61" t="s">
        <v>618</v>
      </c>
      <c r="H61" s="7" t="s">
        <v>686</v>
      </c>
      <c r="I61"/>
    </row>
    <row r="62" spans="1:10">
      <c r="A62" s="1" t="s">
        <v>188</v>
      </c>
      <c r="B62" t="s">
        <v>560</v>
      </c>
      <c r="C62" t="s">
        <v>562</v>
      </c>
      <c r="D62" t="s">
        <v>569</v>
      </c>
      <c r="E62" t="s">
        <v>587</v>
      </c>
      <c r="G62" t="s">
        <v>618</v>
      </c>
      <c r="H62" s="7" t="s">
        <v>687</v>
      </c>
      <c r="I62"/>
    </row>
    <row r="63" spans="1:10">
      <c r="A63" s="1" t="s">
        <v>256</v>
      </c>
      <c r="B63" t="s">
        <v>560</v>
      </c>
      <c r="C63" t="s">
        <v>562</v>
      </c>
      <c r="D63" t="s">
        <v>569</v>
      </c>
      <c r="E63" t="s">
        <v>612</v>
      </c>
      <c r="G63" t="s">
        <v>616</v>
      </c>
      <c r="H63" s="7" t="s">
        <v>688</v>
      </c>
      <c r="I63"/>
    </row>
    <row r="64" spans="1:10">
      <c r="A64" s="1" t="s">
        <v>104</v>
      </c>
      <c r="B64" t="s">
        <v>560</v>
      </c>
      <c r="C64" t="s">
        <v>562</v>
      </c>
      <c r="D64" t="s">
        <v>569</v>
      </c>
      <c r="E64" t="s">
        <v>617</v>
      </c>
      <c r="G64" t="s">
        <v>618</v>
      </c>
      <c r="H64" s="7" t="s">
        <v>689</v>
      </c>
      <c r="I64"/>
    </row>
    <row r="65" spans="1:8" customFormat="1">
      <c r="A65" s="1" t="s">
        <v>400</v>
      </c>
      <c r="B65" t="s">
        <v>560</v>
      </c>
      <c r="C65" t="s">
        <v>566</v>
      </c>
      <c r="D65" t="s">
        <v>573</v>
      </c>
      <c r="E65" t="s">
        <v>574</v>
      </c>
      <c r="G65" t="s">
        <v>618</v>
      </c>
      <c r="H65" s="7" t="s">
        <v>690</v>
      </c>
    </row>
    <row r="66" spans="1:8" customFormat="1">
      <c r="A66" s="1" t="s">
        <v>401</v>
      </c>
      <c r="B66" t="s">
        <v>560</v>
      </c>
      <c r="C66" t="s">
        <v>562</v>
      </c>
      <c r="D66" t="s">
        <v>597</v>
      </c>
      <c r="E66" t="s">
        <v>598</v>
      </c>
      <c r="G66" t="s">
        <v>618</v>
      </c>
      <c r="H66" s="7" t="s">
        <v>691</v>
      </c>
    </row>
    <row r="67" spans="1:8" customFormat="1">
      <c r="A67" s="1" t="s">
        <v>330</v>
      </c>
      <c r="B67" t="s">
        <v>560</v>
      </c>
      <c r="C67" t="s">
        <v>566</v>
      </c>
      <c r="D67" t="s">
        <v>625</v>
      </c>
      <c r="E67" t="s">
        <v>624</v>
      </c>
      <c r="G67" t="s">
        <v>618</v>
      </c>
      <c r="H67" s="7" t="s">
        <v>692</v>
      </c>
    </row>
    <row r="68" spans="1:8" customFormat="1">
      <c r="A68" s="1" t="s">
        <v>228</v>
      </c>
      <c r="B68" t="s">
        <v>560</v>
      </c>
      <c r="C68" t="s">
        <v>562</v>
      </c>
      <c r="D68" t="s">
        <v>585</v>
      </c>
      <c r="E68" t="s">
        <v>586</v>
      </c>
      <c r="G68" t="s">
        <v>618</v>
      </c>
      <c r="H68" s="7" t="s">
        <v>693</v>
      </c>
    </row>
    <row r="69" spans="1:8" customFormat="1">
      <c r="A69" s="1" t="s">
        <v>133</v>
      </c>
      <c r="B69" t="s">
        <v>560</v>
      </c>
      <c r="C69" t="s">
        <v>562</v>
      </c>
      <c r="D69" t="s">
        <v>573</v>
      </c>
      <c r="E69" t="s">
        <v>626</v>
      </c>
      <c r="G69" t="s">
        <v>618</v>
      </c>
      <c r="H69" s="7" t="s">
        <v>694</v>
      </c>
    </row>
    <row r="70" spans="1:8" customFormat="1">
      <c r="A70" s="1" t="s">
        <v>168</v>
      </c>
      <c r="B70" t="s">
        <v>560</v>
      </c>
      <c r="C70" t="s">
        <v>562</v>
      </c>
      <c r="D70" t="s">
        <v>577</v>
      </c>
      <c r="E70" t="s">
        <v>593</v>
      </c>
      <c r="G70" t="s">
        <v>618</v>
      </c>
      <c r="H70" s="7" t="s">
        <v>695</v>
      </c>
    </row>
    <row r="71" spans="1:8" customFormat="1">
      <c r="A71" s="1" t="s">
        <v>38</v>
      </c>
      <c r="B71" t="s">
        <v>560</v>
      </c>
      <c r="C71" t="s">
        <v>562</v>
      </c>
      <c r="D71" t="s">
        <v>585</v>
      </c>
      <c r="E71" t="s">
        <v>586</v>
      </c>
      <c r="G71" t="s">
        <v>618</v>
      </c>
      <c r="H71" s="7" t="s">
        <v>696</v>
      </c>
    </row>
    <row r="72" spans="1:8" customFormat="1">
      <c r="A72" s="1" t="s">
        <v>144</v>
      </c>
      <c r="B72" t="s">
        <v>560</v>
      </c>
      <c r="C72" t="s">
        <v>566</v>
      </c>
      <c r="D72" t="s">
        <v>579</v>
      </c>
      <c r="E72" t="s">
        <v>580</v>
      </c>
      <c r="G72" t="s">
        <v>618</v>
      </c>
      <c r="H72" s="7" t="s">
        <v>627</v>
      </c>
    </row>
    <row r="73" spans="1:8" customFormat="1">
      <c r="A73" s="1" t="s">
        <v>402</v>
      </c>
      <c r="B73" t="s">
        <v>560</v>
      </c>
      <c r="C73" t="s">
        <v>562</v>
      </c>
      <c r="D73" t="s">
        <v>577</v>
      </c>
      <c r="E73" t="s">
        <v>615</v>
      </c>
      <c r="G73" t="s">
        <v>618</v>
      </c>
      <c r="H73" s="7" t="s">
        <v>628</v>
      </c>
    </row>
    <row r="74" spans="1:8" customFormat="1">
      <c r="A74" s="1" t="s">
        <v>403</v>
      </c>
      <c r="B74" s="8" t="s">
        <v>568</v>
      </c>
      <c r="C74" t="s">
        <v>566</v>
      </c>
      <c r="D74" s="8" t="s">
        <v>567</v>
      </c>
      <c r="E74" s="8" t="s">
        <v>567</v>
      </c>
      <c r="F74" s="8"/>
      <c r="G74" s="8" t="s">
        <v>654</v>
      </c>
      <c r="H74" s="9" t="s">
        <v>654</v>
      </c>
    </row>
    <row r="75" spans="1:8" customFormat="1">
      <c r="A75" s="1" t="s">
        <v>404</v>
      </c>
      <c r="B75" s="8" t="s">
        <v>568</v>
      </c>
      <c r="C75" t="s">
        <v>566</v>
      </c>
      <c r="D75" s="8" t="s">
        <v>567</v>
      </c>
      <c r="E75" s="8" t="s">
        <v>567</v>
      </c>
      <c r="F75" s="8"/>
      <c r="G75" s="8" t="s">
        <v>654</v>
      </c>
      <c r="H75" s="9" t="s">
        <v>654</v>
      </c>
    </row>
    <row r="76" spans="1:8" customFormat="1">
      <c r="A76" s="1" t="s">
        <v>405</v>
      </c>
      <c r="B76" t="s">
        <v>560</v>
      </c>
      <c r="C76" t="s">
        <v>562</v>
      </c>
      <c r="D76" t="s">
        <v>573</v>
      </c>
      <c r="E76" t="s">
        <v>591</v>
      </c>
      <c r="F76" t="s">
        <v>2463</v>
      </c>
      <c r="G76" t="s">
        <v>618</v>
      </c>
      <c r="H76" s="7" t="s">
        <v>629</v>
      </c>
    </row>
    <row r="77" spans="1:8" customFormat="1">
      <c r="A77" s="1" t="s">
        <v>56</v>
      </c>
      <c r="B77" t="s">
        <v>560</v>
      </c>
      <c r="C77" t="s">
        <v>562</v>
      </c>
      <c r="D77" t="s">
        <v>577</v>
      </c>
      <c r="E77" t="s">
        <v>589</v>
      </c>
      <c r="G77" t="s">
        <v>618</v>
      </c>
      <c r="H77" s="7" t="s">
        <v>630</v>
      </c>
    </row>
    <row r="78" spans="1:8" customFormat="1">
      <c r="A78" s="1" t="s">
        <v>71</v>
      </c>
      <c r="B78" t="s">
        <v>560</v>
      </c>
      <c r="C78" t="s">
        <v>562</v>
      </c>
      <c r="D78" t="s">
        <v>575</v>
      </c>
      <c r="E78" t="s">
        <v>600</v>
      </c>
      <c r="G78" t="s">
        <v>618</v>
      </c>
      <c r="H78" s="7" t="s">
        <v>631</v>
      </c>
    </row>
    <row r="79" spans="1:8" customFormat="1">
      <c r="A79" s="1" t="s">
        <v>406</v>
      </c>
      <c r="B79" t="s">
        <v>560</v>
      </c>
      <c r="C79" t="s">
        <v>562</v>
      </c>
      <c r="D79" t="s">
        <v>569</v>
      </c>
      <c r="E79" t="s">
        <v>572</v>
      </c>
      <c r="G79" t="s">
        <v>618</v>
      </c>
      <c r="H79" s="7" t="s">
        <v>632</v>
      </c>
    </row>
    <row r="80" spans="1:8" customFormat="1">
      <c r="A80" s="1" t="s">
        <v>407</v>
      </c>
      <c r="B80" t="s">
        <v>560</v>
      </c>
      <c r="C80" t="s">
        <v>566</v>
      </c>
      <c r="D80" t="s">
        <v>573</v>
      </c>
      <c r="E80" t="s">
        <v>574</v>
      </c>
      <c r="G80" t="s">
        <v>618</v>
      </c>
      <c r="H80" s="7" t="s">
        <v>633</v>
      </c>
    </row>
    <row r="81" spans="1:10">
      <c r="A81" s="1" t="s">
        <v>232</v>
      </c>
      <c r="B81" t="s">
        <v>560</v>
      </c>
      <c r="C81" t="s">
        <v>562</v>
      </c>
      <c r="D81" t="s">
        <v>577</v>
      </c>
      <c r="E81" t="s">
        <v>635</v>
      </c>
      <c r="G81" t="s">
        <v>618</v>
      </c>
      <c r="H81" s="7" t="s">
        <v>634</v>
      </c>
      <c r="I81"/>
    </row>
    <row r="82" spans="1:10">
      <c r="A82" s="1" t="s">
        <v>97</v>
      </c>
      <c r="B82" t="s">
        <v>560</v>
      </c>
      <c r="C82" t="s">
        <v>562</v>
      </c>
      <c r="D82" t="s">
        <v>594</v>
      </c>
      <c r="E82" t="s">
        <v>595</v>
      </c>
      <c r="F82" t="s">
        <v>2112</v>
      </c>
      <c r="G82" t="s">
        <v>618</v>
      </c>
      <c r="H82" s="7" t="s">
        <v>636</v>
      </c>
      <c r="I82" s="59">
        <v>1260</v>
      </c>
      <c r="J82">
        <v>1</v>
      </c>
    </row>
    <row r="83" spans="1:10">
      <c r="A83" s="1" t="s">
        <v>68</v>
      </c>
      <c r="B83" t="s">
        <v>560</v>
      </c>
      <c r="C83" t="s">
        <v>562</v>
      </c>
      <c r="D83" t="s">
        <v>699</v>
      </c>
      <c r="E83" t="s">
        <v>698</v>
      </c>
      <c r="G83" t="s">
        <v>700</v>
      </c>
      <c r="H83" s="7" t="s">
        <v>697</v>
      </c>
      <c r="I83"/>
    </row>
    <row r="84" spans="1:10">
      <c r="A84" s="1" t="s">
        <v>227</v>
      </c>
      <c r="B84" t="s">
        <v>560</v>
      </c>
      <c r="C84" t="s">
        <v>562</v>
      </c>
      <c r="D84" t="s">
        <v>594</v>
      </c>
      <c r="E84" t="s">
        <v>702</v>
      </c>
      <c r="F84" t="s">
        <v>2110</v>
      </c>
      <c r="G84" t="s">
        <v>618</v>
      </c>
      <c r="H84" s="7" t="s">
        <v>701</v>
      </c>
      <c r="I84" s="59">
        <v>314.89</v>
      </c>
      <c r="J84">
        <v>1</v>
      </c>
    </row>
    <row r="85" spans="1:10">
      <c r="A85" s="1" t="s">
        <v>408</v>
      </c>
      <c r="B85" t="s">
        <v>560</v>
      </c>
      <c r="C85" t="s">
        <v>562</v>
      </c>
      <c r="D85" t="s">
        <v>699</v>
      </c>
      <c r="E85" t="s">
        <v>704</v>
      </c>
      <c r="G85" t="s">
        <v>618</v>
      </c>
      <c r="H85" s="7" t="s">
        <v>703</v>
      </c>
      <c r="I85"/>
    </row>
    <row r="86" spans="1:10">
      <c r="A86" s="1" t="s">
        <v>284</v>
      </c>
      <c r="B86" t="s">
        <v>560</v>
      </c>
      <c r="C86" t="s">
        <v>566</v>
      </c>
      <c r="D86" t="s">
        <v>585</v>
      </c>
      <c r="E86" t="s">
        <v>705</v>
      </c>
      <c r="G86" t="s">
        <v>620</v>
      </c>
      <c r="H86" s="7">
        <v>594</v>
      </c>
      <c r="I86"/>
    </row>
    <row r="87" spans="1:10">
      <c r="A87" s="1" t="s">
        <v>321</v>
      </c>
      <c r="B87" t="s">
        <v>560</v>
      </c>
      <c r="C87" t="s">
        <v>566</v>
      </c>
      <c r="D87" t="s">
        <v>594</v>
      </c>
      <c r="E87" t="s">
        <v>595</v>
      </c>
      <c r="F87" t="s">
        <v>2135</v>
      </c>
      <c r="G87" t="s">
        <v>621</v>
      </c>
      <c r="H87" s="7" t="s">
        <v>706</v>
      </c>
      <c r="I87" s="59">
        <v>16.100000000000001</v>
      </c>
      <c r="J87">
        <v>1</v>
      </c>
    </row>
    <row r="88" spans="1:10">
      <c r="A88" s="1"/>
      <c r="B88" t="s">
        <v>560</v>
      </c>
      <c r="C88" t="s">
        <v>562</v>
      </c>
      <c r="D88" t="s">
        <v>2496</v>
      </c>
      <c r="E88" t="s">
        <v>2497</v>
      </c>
      <c r="F88" t="s">
        <v>2471</v>
      </c>
      <c r="G88" t="s">
        <v>618</v>
      </c>
      <c r="H88" s="7" t="s">
        <v>707</v>
      </c>
      <c r="I88" s="139">
        <v>15010</v>
      </c>
    </row>
    <row r="89" spans="1:10">
      <c r="A89" s="1" t="s">
        <v>409</v>
      </c>
      <c r="B89" t="s">
        <v>560</v>
      </c>
      <c r="C89" t="s">
        <v>562</v>
      </c>
      <c r="D89" t="s">
        <v>625</v>
      </c>
      <c r="E89" t="s">
        <v>709</v>
      </c>
      <c r="G89" t="s">
        <v>618</v>
      </c>
      <c r="H89" s="7" t="s">
        <v>708</v>
      </c>
      <c r="I89"/>
    </row>
    <row r="90" spans="1:10">
      <c r="A90" s="1" t="s">
        <v>338</v>
      </c>
      <c r="B90" t="s">
        <v>560</v>
      </c>
      <c r="C90" t="s">
        <v>562</v>
      </c>
      <c r="D90" t="s">
        <v>573</v>
      </c>
      <c r="E90" t="s">
        <v>711</v>
      </c>
      <c r="G90" t="s">
        <v>618</v>
      </c>
      <c r="H90" s="7" t="s">
        <v>710</v>
      </c>
      <c r="I90"/>
    </row>
    <row r="91" spans="1:10">
      <c r="A91" s="1" t="s">
        <v>273</v>
      </c>
      <c r="B91" t="s">
        <v>560</v>
      </c>
      <c r="C91" t="s">
        <v>562</v>
      </c>
      <c r="D91" t="s">
        <v>569</v>
      </c>
      <c r="E91" t="s">
        <v>587</v>
      </c>
      <c r="G91" t="s">
        <v>618</v>
      </c>
      <c r="H91" s="7" t="s">
        <v>712</v>
      </c>
      <c r="I91"/>
    </row>
    <row r="92" spans="1:10">
      <c r="A92" s="1" t="s">
        <v>51</v>
      </c>
      <c r="B92" t="s">
        <v>560</v>
      </c>
      <c r="C92" t="s">
        <v>562</v>
      </c>
      <c r="D92" t="s">
        <v>573</v>
      </c>
      <c r="E92" t="s">
        <v>591</v>
      </c>
      <c r="F92" t="s">
        <v>2463</v>
      </c>
      <c r="G92" t="s">
        <v>618</v>
      </c>
      <c r="H92" s="7" t="s">
        <v>1203</v>
      </c>
      <c r="I92"/>
    </row>
    <row r="93" spans="1:10">
      <c r="A93" s="1" t="s">
        <v>410</v>
      </c>
      <c r="B93" t="s">
        <v>560</v>
      </c>
      <c r="C93" t="s">
        <v>566</v>
      </c>
      <c r="D93" t="s">
        <v>577</v>
      </c>
      <c r="E93" t="s">
        <v>714</v>
      </c>
      <c r="G93" t="s">
        <v>618</v>
      </c>
      <c r="H93" s="7" t="s">
        <v>713</v>
      </c>
      <c r="I93"/>
    </row>
    <row r="94" spans="1:10">
      <c r="A94" s="1" t="s">
        <v>165</v>
      </c>
      <c r="B94" t="s">
        <v>560</v>
      </c>
      <c r="C94" t="s">
        <v>562</v>
      </c>
      <c r="D94" t="s">
        <v>585</v>
      </c>
      <c r="E94" t="s">
        <v>586</v>
      </c>
      <c r="G94" t="s">
        <v>620</v>
      </c>
      <c r="H94" s="7" t="s">
        <v>715</v>
      </c>
      <c r="I94"/>
    </row>
    <row r="95" spans="1:10">
      <c r="A95" s="1" t="s">
        <v>316</v>
      </c>
      <c r="B95" t="s">
        <v>568</v>
      </c>
      <c r="C95" t="s">
        <v>566</v>
      </c>
      <c r="D95" s="8" t="s">
        <v>567</v>
      </c>
      <c r="E95" s="8" t="s">
        <v>567</v>
      </c>
      <c r="F95" s="8"/>
      <c r="G95" s="8" t="s">
        <v>654</v>
      </c>
      <c r="H95" s="9" t="s">
        <v>654</v>
      </c>
      <c r="I95"/>
    </row>
    <row r="96" spans="1:10">
      <c r="A96" s="1" t="s">
        <v>334</v>
      </c>
      <c r="B96" t="s">
        <v>560</v>
      </c>
      <c r="C96" t="s">
        <v>562</v>
      </c>
      <c r="D96" t="s">
        <v>577</v>
      </c>
      <c r="E96" t="s">
        <v>610</v>
      </c>
      <c r="F96" t="s">
        <v>2424</v>
      </c>
      <c r="G96" t="s">
        <v>618</v>
      </c>
      <c r="H96" s="7" t="s">
        <v>716</v>
      </c>
      <c r="I96">
        <v>31.36</v>
      </c>
      <c r="J96">
        <v>1</v>
      </c>
    </row>
    <row r="97" spans="1:10">
      <c r="A97" s="1" t="s">
        <v>411</v>
      </c>
      <c r="B97" t="s">
        <v>560</v>
      </c>
      <c r="C97" t="s">
        <v>562</v>
      </c>
      <c r="D97" t="s">
        <v>575</v>
      </c>
      <c r="E97" t="s">
        <v>718</v>
      </c>
      <c r="G97" t="s">
        <v>618</v>
      </c>
      <c r="H97" s="7" t="s">
        <v>717</v>
      </c>
      <c r="I97"/>
    </row>
    <row r="98" spans="1:10">
      <c r="A98" s="1" t="s">
        <v>67</v>
      </c>
      <c r="B98" t="s">
        <v>560</v>
      </c>
      <c r="C98" t="s">
        <v>562</v>
      </c>
      <c r="D98" t="s">
        <v>585</v>
      </c>
      <c r="E98" t="s">
        <v>599</v>
      </c>
      <c r="G98" t="s">
        <v>620</v>
      </c>
      <c r="H98" s="7" t="s">
        <v>719</v>
      </c>
      <c r="I98"/>
    </row>
    <row r="99" spans="1:10">
      <c r="A99" s="1" t="s">
        <v>412</v>
      </c>
      <c r="B99" t="s">
        <v>560</v>
      </c>
      <c r="C99" t="s">
        <v>562</v>
      </c>
      <c r="D99" t="s">
        <v>573</v>
      </c>
      <c r="E99" t="s">
        <v>721</v>
      </c>
      <c r="G99" t="s">
        <v>616</v>
      </c>
      <c r="H99" s="7" t="s">
        <v>720</v>
      </c>
      <c r="I99"/>
    </row>
    <row r="100" spans="1:10">
      <c r="A100" s="1" t="s">
        <v>170</v>
      </c>
      <c r="B100" t="s">
        <v>560</v>
      </c>
      <c r="C100" t="s">
        <v>562</v>
      </c>
      <c r="D100" t="s">
        <v>607</v>
      </c>
      <c r="E100" t="s">
        <v>723</v>
      </c>
      <c r="G100" t="s">
        <v>616</v>
      </c>
      <c r="H100" s="7" t="s">
        <v>722</v>
      </c>
      <c r="I100"/>
    </row>
    <row r="101" spans="1:10">
      <c r="A101" s="1" t="s">
        <v>413</v>
      </c>
      <c r="B101" t="s">
        <v>568</v>
      </c>
      <c r="C101" t="s">
        <v>562</v>
      </c>
      <c r="D101" s="8" t="s">
        <v>567</v>
      </c>
      <c r="E101" s="8" t="s">
        <v>567</v>
      </c>
      <c r="F101" s="8"/>
      <c r="G101" s="8" t="s">
        <v>654</v>
      </c>
      <c r="H101" s="9" t="s">
        <v>654</v>
      </c>
      <c r="I101"/>
    </row>
    <row r="102" spans="1:10">
      <c r="A102" s="1" t="s">
        <v>368</v>
      </c>
      <c r="B102" t="s">
        <v>560</v>
      </c>
      <c r="C102" t="s">
        <v>562</v>
      </c>
      <c r="D102" t="s">
        <v>607</v>
      </c>
      <c r="E102" t="s">
        <v>723</v>
      </c>
      <c r="G102" t="s">
        <v>622</v>
      </c>
      <c r="H102" s="7" t="s">
        <v>724</v>
      </c>
      <c r="I102"/>
    </row>
    <row r="103" spans="1:10">
      <c r="A103" s="1" t="s">
        <v>247</v>
      </c>
      <c r="B103" t="s">
        <v>560</v>
      </c>
      <c r="C103" t="s">
        <v>562</v>
      </c>
      <c r="D103" t="s">
        <v>699</v>
      </c>
      <c r="E103" t="s">
        <v>698</v>
      </c>
      <c r="G103" t="s">
        <v>622</v>
      </c>
      <c r="H103" s="7" t="s">
        <v>725</v>
      </c>
      <c r="I103"/>
    </row>
    <row r="104" spans="1:10">
      <c r="A104" s="1" t="s">
        <v>414</v>
      </c>
      <c r="B104" t="s">
        <v>560</v>
      </c>
      <c r="C104" t="s">
        <v>562</v>
      </c>
      <c r="D104" t="s">
        <v>594</v>
      </c>
      <c r="E104" t="s">
        <v>596</v>
      </c>
      <c r="F104" t="s">
        <v>2105</v>
      </c>
      <c r="G104" t="s">
        <v>622</v>
      </c>
      <c r="H104" s="7" t="s">
        <v>726</v>
      </c>
      <c r="I104"/>
    </row>
    <row r="105" spans="1:10">
      <c r="A105" s="1" t="s">
        <v>415</v>
      </c>
      <c r="B105" t="s">
        <v>560</v>
      </c>
      <c r="C105" t="s">
        <v>562</v>
      </c>
      <c r="D105" t="s">
        <v>699</v>
      </c>
      <c r="E105" t="s">
        <v>728</v>
      </c>
      <c r="G105" t="s">
        <v>622</v>
      </c>
      <c r="H105" s="7" t="s">
        <v>727</v>
      </c>
      <c r="I105"/>
    </row>
    <row r="106" spans="1:10">
      <c r="A106" s="1" t="s">
        <v>255</v>
      </c>
      <c r="B106" t="s">
        <v>560</v>
      </c>
      <c r="C106" t="s">
        <v>562</v>
      </c>
      <c r="D106" t="s">
        <v>577</v>
      </c>
      <c r="E106" t="s">
        <v>635</v>
      </c>
      <c r="G106" t="s">
        <v>616</v>
      </c>
      <c r="H106" s="7" t="s">
        <v>729</v>
      </c>
      <c r="I106"/>
    </row>
    <row r="107" spans="1:10">
      <c r="A107" s="1" t="s">
        <v>79</v>
      </c>
      <c r="B107" t="s">
        <v>560</v>
      </c>
      <c r="C107" t="s">
        <v>562</v>
      </c>
      <c r="D107" t="s">
        <v>575</v>
      </c>
      <c r="E107" t="s">
        <v>731</v>
      </c>
      <c r="G107" t="s">
        <v>622</v>
      </c>
      <c r="H107" s="7" t="s">
        <v>730</v>
      </c>
      <c r="I107"/>
    </row>
    <row r="108" spans="1:10">
      <c r="A108" s="1" t="s">
        <v>237</v>
      </c>
      <c r="B108" t="s">
        <v>560</v>
      </c>
      <c r="C108" t="s">
        <v>566</v>
      </c>
      <c r="D108" t="s">
        <v>569</v>
      </c>
      <c r="E108" t="s">
        <v>733</v>
      </c>
      <c r="G108" t="s">
        <v>618</v>
      </c>
      <c r="H108" s="7" t="s">
        <v>732</v>
      </c>
      <c r="I108"/>
    </row>
    <row r="109" spans="1:10">
      <c r="A109" s="1" t="s">
        <v>217</v>
      </c>
      <c r="B109" t="s">
        <v>560</v>
      </c>
      <c r="C109" t="s">
        <v>562</v>
      </c>
      <c r="D109" t="s">
        <v>594</v>
      </c>
      <c r="E109" t="s">
        <v>595</v>
      </c>
      <c r="F109" t="s">
        <v>2110</v>
      </c>
      <c r="G109" t="s">
        <v>620</v>
      </c>
      <c r="H109" s="7" t="s">
        <v>734</v>
      </c>
      <c r="I109"/>
    </row>
    <row r="110" spans="1:10">
      <c r="A110" s="1" t="s">
        <v>24</v>
      </c>
      <c r="B110" t="s">
        <v>560</v>
      </c>
      <c r="C110" t="s">
        <v>562</v>
      </c>
      <c r="D110" t="s">
        <v>594</v>
      </c>
      <c r="E110" t="s">
        <v>595</v>
      </c>
      <c r="F110" t="s">
        <v>2112</v>
      </c>
      <c r="G110" t="s">
        <v>618</v>
      </c>
      <c r="H110" s="7" t="s">
        <v>735</v>
      </c>
      <c r="I110" s="59">
        <v>8470</v>
      </c>
      <c r="J110">
        <v>1</v>
      </c>
    </row>
    <row r="111" spans="1:10">
      <c r="A111" s="1" t="s">
        <v>121</v>
      </c>
      <c r="B111" t="s">
        <v>560</v>
      </c>
      <c r="C111" t="s">
        <v>562</v>
      </c>
      <c r="D111" t="s">
        <v>577</v>
      </c>
      <c r="E111" t="s">
        <v>593</v>
      </c>
      <c r="G111" t="s">
        <v>619</v>
      </c>
      <c r="H111" s="7" t="s">
        <v>736</v>
      </c>
      <c r="I111"/>
    </row>
    <row r="112" spans="1:10">
      <c r="A112" s="1" t="s">
        <v>311</v>
      </c>
      <c r="B112" t="s">
        <v>560</v>
      </c>
      <c r="C112" t="s">
        <v>566</v>
      </c>
      <c r="D112" t="s">
        <v>579</v>
      </c>
      <c r="E112" t="s">
        <v>603</v>
      </c>
      <c r="G112" t="s">
        <v>618</v>
      </c>
      <c r="H112" s="7" t="s">
        <v>737</v>
      </c>
      <c r="I112"/>
    </row>
    <row r="113" spans="1:9">
      <c r="A113" s="1" t="s">
        <v>174</v>
      </c>
      <c r="B113" t="s">
        <v>560</v>
      </c>
      <c r="C113" t="s">
        <v>566</v>
      </c>
      <c r="D113" t="s">
        <v>579</v>
      </c>
      <c r="E113" t="s">
        <v>739</v>
      </c>
      <c r="G113" t="s">
        <v>622</v>
      </c>
      <c r="H113" s="7" t="s">
        <v>738</v>
      </c>
      <c r="I113"/>
    </row>
    <row r="114" spans="1:9">
      <c r="A114" s="1" t="s">
        <v>20</v>
      </c>
      <c r="B114" t="s">
        <v>560</v>
      </c>
      <c r="C114" t="s">
        <v>566</v>
      </c>
      <c r="D114" t="s">
        <v>575</v>
      </c>
      <c r="E114" t="s">
        <v>741</v>
      </c>
      <c r="G114" t="s">
        <v>620</v>
      </c>
      <c r="H114" s="7" t="s">
        <v>740</v>
      </c>
      <c r="I114"/>
    </row>
    <row r="115" spans="1:9">
      <c r="A115" s="1" t="s">
        <v>416</v>
      </c>
      <c r="B115" t="s">
        <v>560</v>
      </c>
      <c r="C115" t="s">
        <v>562</v>
      </c>
      <c r="D115" t="s">
        <v>569</v>
      </c>
      <c r="E115" t="s">
        <v>583</v>
      </c>
      <c r="G115" t="s">
        <v>616</v>
      </c>
      <c r="H115" s="7" t="s">
        <v>742</v>
      </c>
      <c r="I115"/>
    </row>
    <row r="116" spans="1:9">
      <c r="A116" s="1" t="s">
        <v>417</v>
      </c>
      <c r="B116" t="s">
        <v>560</v>
      </c>
      <c r="C116" t="s">
        <v>562</v>
      </c>
      <c r="D116" t="s">
        <v>573</v>
      </c>
      <c r="E116" t="s">
        <v>744</v>
      </c>
      <c r="G116" t="s">
        <v>616</v>
      </c>
      <c r="H116" s="7" t="s">
        <v>743</v>
      </c>
      <c r="I116"/>
    </row>
    <row r="117" spans="1:9">
      <c r="A117" s="1" t="s">
        <v>17</v>
      </c>
      <c r="B117" t="s">
        <v>560</v>
      </c>
      <c r="C117" t="s">
        <v>562</v>
      </c>
      <c r="D117" t="s">
        <v>2495</v>
      </c>
      <c r="E117" t="s">
        <v>2488</v>
      </c>
      <c r="F117" t="s">
        <v>2474</v>
      </c>
      <c r="G117" t="s">
        <v>618</v>
      </c>
      <c r="H117" s="7" t="s">
        <v>745</v>
      </c>
      <c r="I117" s="139">
        <v>3230</v>
      </c>
    </row>
    <row r="118" spans="1:9">
      <c r="A118" s="1" t="s">
        <v>418</v>
      </c>
      <c r="B118" t="s">
        <v>568</v>
      </c>
      <c r="C118" t="s">
        <v>566</v>
      </c>
      <c r="D118" s="8" t="s">
        <v>567</v>
      </c>
      <c r="E118" s="8" t="s">
        <v>567</v>
      </c>
      <c r="F118" s="8"/>
      <c r="G118" s="8" t="s">
        <v>654</v>
      </c>
      <c r="H118" s="9" t="s">
        <v>654</v>
      </c>
      <c r="I118"/>
    </row>
    <row r="119" spans="1:9">
      <c r="A119" s="1" t="s">
        <v>419</v>
      </c>
      <c r="B119" t="s">
        <v>560</v>
      </c>
      <c r="C119" t="s">
        <v>562</v>
      </c>
      <c r="D119" t="s">
        <v>579</v>
      </c>
      <c r="E119" t="s">
        <v>603</v>
      </c>
      <c r="G119" t="s">
        <v>618</v>
      </c>
      <c r="H119" s="7" t="s">
        <v>747</v>
      </c>
      <c r="I119"/>
    </row>
    <row r="120" spans="1:9">
      <c r="A120" s="1" t="s">
        <v>420</v>
      </c>
      <c r="B120" t="s">
        <v>560</v>
      </c>
      <c r="C120" t="s">
        <v>562</v>
      </c>
      <c r="D120" t="s">
        <v>573</v>
      </c>
      <c r="E120" t="s">
        <v>611</v>
      </c>
      <c r="G120" t="s">
        <v>618</v>
      </c>
      <c r="H120" s="7" t="s">
        <v>748</v>
      </c>
      <c r="I120"/>
    </row>
    <row r="121" spans="1:9">
      <c r="A121" s="1" t="s">
        <v>44</v>
      </c>
      <c r="B121" t="s">
        <v>560</v>
      </c>
      <c r="C121" t="s">
        <v>562</v>
      </c>
      <c r="D121" t="s">
        <v>577</v>
      </c>
      <c r="E121" t="s">
        <v>610</v>
      </c>
      <c r="F121" t="s">
        <v>2479</v>
      </c>
      <c r="G121" t="s">
        <v>618</v>
      </c>
      <c r="H121" s="7" t="s">
        <v>1202</v>
      </c>
      <c r="I121" s="139">
        <v>532.94000000000005</v>
      </c>
    </row>
    <row r="122" spans="1:9">
      <c r="A122" s="1" t="s">
        <v>421</v>
      </c>
      <c r="B122" t="s">
        <v>560</v>
      </c>
      <c r="C122" t="s">
        <v>562</v>
      </c>
      <c r="D122" s="8" t="s">
        <v>1198</v>
      </c>
      <c r="E122" s="8" t="s">
        <v>1198</v>
      </c>
      <c r="F122" s="8"/>
      <c r="G122" s="8" t="s">
        <v>654</v>
      </c>
      <c r="H122" s="9" t="s">
        <v>654</v>
      </c>
      <c r="I122"/>
    </row>
    <row r="123" spans="1:9">
      <c r="A123" s="1" t="s">
        <v>422</v>
      </c>
      <c r="B123" t="s">
        <v>560</v>
      </c>
      <c r="C123" t="s">
        <v>562</v>
      </c>
      <c r="D123" t="s">
        <v>577</v>
      </c>
      <c r="E123" t="s">
        <v>613</v>
      </c>
      <c r="G123" t="s">
        <v>620</v>
      </c>
      <c r="H123" s="7" t="s">
        <v>749</v>
      </c>
      <c r="I123"/>
    </row>
    <row r="124" spans="1:9">
      <c r="A124" s="1" t="s">
        <v>246</v>
      </c>
      <c r="B124" t="s">
        <v>560</v>
      </c>
      <c r="C124" t="s">
        <v>562</v>
      </c>
      <c r="D124" t="s">
        <v>569</v>
      </c>
      <c r="E124" t="s">
        <v>572</v>
      </c>
      <c r="G124" t="s">
        <v>620</v>
      </c>
      <c r="H124" s="7" t="s">
        <v>750</v>
      </c>
      <c r="I124"/>
    </row>
    <row r="125" spans="1:9">
      <c r="A125" s="1" t="s">
        <v>423</v>
      </c>
      <c r="B125" t="s">
        <v>560</v>
      </c>
      <c r="C125" t="s">
        <v>562</v>
      </c>
      <c r="D125" t="s">
        <v>597</v>
      </c>
      <c r="E125" t="s">
        <v>752</v>
      </c>
      <c r="G125" t="s">
        <v>618</v>
      </c>
      <c r="H125" s="7" t="s">
        <v>751</v>
      </c>
      <c r="I125"/>
    </row>
    <row r="126" spans="1:9">
      <c r="A126" s="1" t="s">
        <v>78</v>
      </c>
      <c r="B126" t="s">
        <v>560</v>
      </c>
      <c r="C126" t="s">
        <v>562</v>
      </c>
      <c r="D126" t="s">
        <v>577</v>
      </c>
      <c r="E126" t="s">
        <v>593</v>
      </c>
      <c r="G126" t="s">
        <v>618</v>
      </c>
      <c r="H126" s="7" t="s">
        <v>753</v>
      </c>
      <c r="I126"/>
    </row>
    <row r="127" spans="1:9">
      <c r="A127" s="1" t="s">
        <v>32</v>
      </c>
      <c r="B127" t="s">
        <v>560</v>
      </c>
      <c r="C127" t="s">
        <v>562</v>
      </c>
      <c r="D127" t="s">
        <v>569</v>
      </c>
      <c r="E127" t="s">
        <v>612</v>
      </c>
      <c r="G127" t="s">
        <v>618</v>
      </c>
      <c r="H127" s="7">
        <v>544</v>
      </c>
      <c r="I127"/>
    </row>
    <row r="128" spans="1:9">
      <c r="A128" s="1" t="s">
        <v>359</v>
      </c>
      <c r="B128" t="s">
        <v>560</v>
      </c>
      <c r="C128" t="s">
        <v>562</v>
      </c>
      <c r="D128" t="s">
        <v>577</v>
      </c>
      <c r="E128" t="s">
        <v>755</v>
      </c>
      <c r="G128" t="s">
        <v>618</v>
      </c>
      <c r="H128" s="7" t="s">
        <v>754</v>
      </c>
      <c r="I128"/>
    </row>
    <row r="129" spans="1:10">
      <c r="A129" s="1" t="s">
        <v>424</v>
      </c>
      <c r="B129" t="s">
        <v>560</v>
      </c>
      <c r="C129" t="s">
        <v>562</v>
      </c>
      <c r="D129" t="s">
        <v>573</v>
      </c>
      <c r="E129" t="s">
        <v>591</v>
      </c>
      <c r="F129" t="s">
        <v>2463</v>
      </c>
      <c r="G129" t="s">
        <v>618</v>
      </c>
      <c r="H129" s="7" t="s">
        <v>756</v>
      </c>
      <c r="I129"/>
    </row>
    <row r="130" spans="1:10">
      <c r="A130" s="1" t="s">
        <v>0</v>
      </c>
      <c r="B130" t="s">
        <v>560</v>
      </c>
      <c r="C130" t="s">
        <v>562</v>
      </c>
      <c r="D130" t="s">
        <v>597</v>
      </c>
      <c r="E130" t="s">
        <v>757</v>
      </c>
      <c r="G130" t="s">
        <v>618</v>
      </c>
      <c r="H130" s="7" t="s">
        <v>758</v>
      </c>
      <c r="I130"/>
    </row>
    <row r="131" spans="1:10">
      <c r="A131" s="1" t="s">
        <v>425</v>
      </c>
      <c r="B131" t="s">
        <v>568</v>
      </c>
      <c r="C131" t="s">
        <v>566</v>
      </c>
      <c r="D131" s="8" t="s">
        <v>567</v>
      </c>
      <c r="E131" s="8" t="s">
        <v>567</v>
      </c>
      <c r="F131" s="8"/>
      <c r="G131" s="8" t="s">
        <v>654</v>
      </c>
      <c r="H131" s="9" t="s">
        <v>654</v>
      </c>
      <c r="I131"/>
    </row>
    <row r="132" spans="1:10">
      <c r="A132" s="1" t="s">
        <v>225</v>
      </c>
      <c r="B132" t="s">
        <v>560</v>
      </c>
      <c r="C132" t="s">
        <v>562</v>
      </c>
      <c r="D132" t="s">
        <v>699</v>
      </c>
      <c r="E132" t="s">
        <v>728</v>
      </c>
      <c r="G132" t="s">
        <v>620</v>
      </c>
      <c r="H132" s="7" t="s">
        <v>759</v>
      </c>
      <c r="I132"/>
    </row>
    <row r="133" spans="1:10">
      <c r="A133" s="1" t="s">
        <v>116</v>
      </c>
      <c r="B133" t="s">
        <v>560</v>
      </c>
      <c r="C133" t="s">
        <v>562</v>
      </c>
      <c r="D133" t="s">
        <v>699</v>
      </c>
      <c r="E133" t="s">
        <v>761</v>
      </c>
      <c r="G133" t="s">
        <v>620</v>
      </c>
      <c r="H133" s="7" t="s">
        <v>760</v>
      </c>
      <c r="I133"/>
    </row>
    <row r="134" spans="1:10">
      <c r="A134" s="1" t="s">
        <v>108</v>
      </c>
      <c r="B134" t="s">
        <v>560</v>
      </c>
      <c r="C134" t="s">
        <v>566</v>
      </c>
      <c r="D134" t="s">
        <v>577</v>
      </c>
      <c r="E134" t="s">
        <v>609</v>
      </c>
      <c r="F134" t="s">
        <v>2426</v>
      </c>
      <c r="G134" t="s">
        <v>618</v>
      </c>
      <c r="H134" s="7" t="s">
        <v>762</v>
      </c>
      <c r="I134">
        <v>43</v>
      </c>
      <c r="J134">
        <v>1</v>
      </c>
    </row>
    <row r="135" spans="1:10">
      <c r="A135" s="1" t="s">
        <v>30</v>
      </c>
      <c r="B135" t="s">
        <v>560</v>
      </c>
      <c r="C135" t="s">
        <v>562</v>
      </c>
      <c r="D135" t="s">
        <v>699</v>
      </c>
      <c r="E135" t="s">
        <v>764</v>
      </c>
      <c r="G135" t="s">
        <v>620</v>
      </c>
      <c r="H135" s="7" t="s">
        <v>763</v>
      </c>
      <c r="I135"/>
    </row>
    <row r="136" spans="1:10">
      <c r="A136" s="1" t="s">
        <v>426</v>
      </c>
      <c r="B136" t="s">
        <v>560</v>
      </c>
      <c r="C136" t="s">
        <v>566</v>
      </c>
      <c r="D136" t="s">
        <v>625</v>
      </c>
      <c r="E136" t="s">
        <v>709</v>
      </c>
      <c r="G136" t="s">
        <v>618</v>
      </c>
      <c r="H136" s="7" t="s">
        <v>765</v>
      </c>
      <c r="I136"/>
    </row>
    <row r="137" spans="1:10">
      <c r="A137" s="1" t="s">
        <v>356</v>
      </c>
      <c r="B137" t="s">
        <v>560</v>
      </c>
      <c r="C137" t="s">
        <v>566</v>
      </c>
      <c r="D137" t="s">
        <v>569</v>
      </c>
      <c r="E137" t="s">
        <v>570</v>
      </c>
      <c r="G137" t="s">
        <v>618</v>
      </c>
      <c r="H137" s="7">
        <v>532</v>
      </c>
      <c r="I137"/>
    </row>
    <row r="138" spans="1:10">
      <c r="A138" s="1" t="s">
        <v>427</v>
      </c>
      <c r="B138" t="s">
        <v>560</v>
      </c>
      <c r="C138" t="s">
        <v>566</v>
      </c>
      <c r="D138" t="s">
        <v>699</v>
      </c>
      <c r="E138" t="s">
        <v>698</v>
      </c>
      <c r="G138" t="s">
        <v>618</v>
      </c>
      <c r="H138" s="7" t="s">
        <v>766</v>
      </c>
      <c r="I138"/>
    </row>
    <row r="139" spans="1:10">
      <c r="A139" s="1" t="s">
        <v>357</v>
      </c>
      <c r="B139" t="s">
        <v>560</v>
      </c>
      <c r="C139" t="s">
        <v>562</v>
      </c>
      <c r="D139" t="s">
        <v>573</v>
      </c>
      <c r="E139" t="s">
        <v>768</v>
      </c>
      <c r="G139" t="s">
        <v>621</v>
      </c>
      <c r="H139" s="7" t="s">
        <v>767</v>
      </c>
      <c r="I139"/>
    </row>
    <row r="140" spans="1:10">
      <c r="A140" s="1" t="s">
        <v>250</v>
      </c>
      <c r="B140" t="s">
        <v>560</v>
      </c>
      <c r="C140" t="s">
        <v>566</v>
      </c>
      <c r="D140" t="s">
        <v>577</v>
      </c>
      <c r="E140" t="s">
        <v>770</v>
      </c>
      <c r="G140" t="s">
        <v>618</v>
      </c>
      <c r="H140" s="7" t="s">
        <v>769</v>
      </c>
      <c r="I140"/>
    </row>
    <row r="141" spans="1:10">
      <c r="A141" s="1" t="s">
        <v>369</v>
      </c>
      <c r="B141" t="s">
        <v>560</v>
      </c>
      <c r="C141" t="s">
        <v>566</v>
      </c>
      <c r="D141" t="s">
        <v>699</v>
      </c>
      <c r="E141" t="s">
        <v>698</v>
      </c>
      <c r="G141" t="s">
        <v>618</v>
      </c>
      <c r="H141" s="7" t="s">
        <v>771</v>
      </c>
      <c r="I141"/>
    </row>
    <row r="142" spans="1:10">
      <c r="A142" s="1" t="s">
        <v>179</v>
      </c>
      <c r="B142" t="s">
        <v>560</v>
      </c>
      <c r="C142" t="s">
        <v>566</v>
      </c>
      <c r="D142" t="s">
        <v>579</v>
      </c>
      <c r="E142" t="s">
        <v>603</v>
      </c>
      <c r="G142" t="s">
        <v>618</v>
      </c>
      <c r="H142" s="7" t="s">
        <v>772</v>
      </c>
      <c r="I142"/>
    </row>
    <row r="143" spans="1:10">
      <c r="A143" s="1" t="s">
        <v>367</v>
      </c>
      <c r="B143" t="s">
        <v>560</v>
      </c>
      <c r="C143" t="s">
        <v>566</v>
      </c>
      <c r="D143" t="s">
        <v>577</v>
      </c>
      <c r="E143" t="s">
        <v>581</v>
      </c>
      <c r="G143" t="s">
        <v>618</v>
      </c>
      <c r="H143" s="7" t="s">
        <v>773</v>
      </c>
      <c r="I143"/>
    </row>
    <row r="144" spans="1:10">
      <c r="A144" s="1" t="s">
        <v>358</v>
      </c>
      <c r="B144" t="s">
        <v>560</v>
      </c>
      <c r="C144" t="s">
        <v>562</v>
      </c>
      <c r="D144" t="s">
        <v>569</v>
      </c>
      <c r="E144" t="s">
        <v>587</v>
      </c>
      <c r="G144" t="s">
        <v>618</v>
      </c>
      <c r="H144" s="7" t="s">
        <v>774</v>
      </c>
      <c r="I144"/>
    </row>
    <row r="145" spans="1:10">
      <c r="A145" s="1" t="s">
        <v>327</v>
      </c>
      <c r="B145" t="s">
        <v>560</v>
      </c>
      <c r="C145" t="s">
        <v>562</v>
      </c>
      <c r="D145" t="s">
        <v>699</v>
      </c>
      <c r="E145" t="s">
        <v>777</v>
      </c>
      <c r="G145" t="s">
        <v>776</v>
      </c>
      <c r="H145" s="7" t="s">
        <v>775</v>
      </c>
      <c r="I145"/>
    </row>
    <row r="146" spans="1:10">
      <c r="A146" s="1" t="s">
        <v>211</v>
      </c>
      <c r="B146" t="s">
        <v>560</v>
      </c>
      <c r="C146" t="s">
        <v>562</v>
      </c>
      <c r="D146" t="s">
        <v>577</v>
      </c>
      <c r="E146" t="s">
        <v>610</v>
      </c>
      <c r="F146" t="s">
        <v>2427</v>
      </c>
      <c r="G146" t="s">
        <v>618</v>
      </c>
      <c r="H146" s="7" t="s">
        <v>778</v>
      </c>
      <c r="I146">
        <v>34.21</v>
      </c>
      <c r="J146">
        <v>1</v>
      </c>
    </row>
    <row r="147" spans="1:10">
      <c r="A147" s="1" t="s">
        <v>351</v>
      </c>
      <c r="B147" t="s">
        <v>560</v>
      </c>
      <c r="C147" t="s">
        <v>562</v>
      </c>
      <c r="D147" t="s">
        <v>575</v>
      </c>
      <c r="E147" t="s">
        <v>780</v>
      </c>
      <c r="F147" t="s">
        <v>2113</v>
      </c>
      <c r="G147" t="s">
        <v>618</v>
      </c>
      <c r="H147" s="7" t="s">
        <v>779</v>
      </c>
      <c r="I147" s="59">
        <v>121.08</v>
      </c>
      <c r="J147">
        <v>1</v>
      </c>
    </row>
    <row r="148" spans="1:10">
      <c r="A148" s="1" t="s">
        <v>203</v>
      </c>
      <c r="B148" t="s">
        <v>560</v>
      </c>
      <c r="C148" t="s">
        <v>562</v>
      </c>
      <c r="D148" t="s">
        <v>699</v>
      </c>
      <c r="E148" t="s">
        <v>728</v>
      </c>
      <c r="G148" t="s">
        <v>621</v>
      </c>
      <c r="H148" s="7" t="s">
        <v>781</v>
      </c>
      <c r="I148"/>
    </row>
    <row r="149" spans="1:10">
      <c r="A149" s="1" t="s">
        <v>428</v>
      </c>
      <c r="B149" t="s">
        <v>560</v>
      </c>
      <c r="C149" t="s">
        <v>562</v>
      </c>
      <c r="D149" t="s">
        <v>577</v>
      </c>
      <c r="E149" t="s">
        <v>770</v>
      </c>
      <c r="G149" t="s">
        <v>618</v>
      </c>
      <c r="H149" s="7" t="s">
        <v>782</v>
      </c>
      <c r="I149"/>
    </row>
    <row r="150" spans="1:10">
      <c r="A150" s="1" t="s">
        <v>429</v>
      </c>
      <c r="B150" t="s">
        <v>560</v>
      </c>
      <c r="C150" t="s">
        <v>566</v>
      </c>
      <c r="D150" t="s">
        <v>577</v>
      </c>
      <c r="E150" t="s">
        <v>608</v>
      </c>
      <c r="G150" t="s">
        <v>618</v>
      </c>
      <c r="H150" s="7" t="s">
        <v>783</v>
      </c>
      <c r="I150"/>
    </row>
    <row r="151" spans="1:10">
      <c r="A151" s="1" t="s">
        <v>430</v>
      </c>
      <c r="B151" t="s">
        <v>568</v>
      </c>
      <c r="C151" t="s">
        <v>566</v>
      </c>
      <c r="D151" s="8" t="s">
        <v>567</v>
      </c>
      <c r="E151" s="8" t="s">
        <v>567</v>
      </c>
      <c r="F151" s="8"/>
      <c r="G151" s="8" t="s">
        <v>654</v>
      </c>
      <c r="H151" s="9" t="s">
        <v>654</v>
      </c>
      <c r="I151"/>
    </row>
    <row r="152" spans="1:10">
      <c r="A152" s="1" t="s">
        <v>302</v>
      </c>
      <c r="B152" t="s">
        <v>560</v>
      </c>
      <c r="C152" t="s">
        <v>566</v>
      </c>
      <c r="D152" t="s">
        <v>573</v>
      </c>
      <c r="E152" t="s">
        <v>721</v>
      </c>
      <c r="G152" t="s">
        <v>618</v>
      </c>
      <c r="H152" s="7" t="s">
        <v>784</v>
      </c>
      <c r="I152"/>
    </row>
    <row r="153" spans="1:10">
      <c r="A153" s="1" t="s">
        <v>157</v>
      </c>
      <c r="B153" t="s">
        <v>560</v>
      </c>
      <c r="C153" t="s">
        <v>566</v>
      </c>
      <c r="D153" t="s">
        <v>577</v>
      </c>
      <c r="E153" t="s">
        <v>593</v>
      </c>
      <c r="G153" t="s">
        <v>618</v>
      </c>
      <c r="H153" s="7" t="s">
        <v>785</v>
      </c>
      <c r="I153"/>
    </row>
    <row r="154" spans="1:10">
      <c r="A154" s="1" t="s">
        <v>431</v>
      </c>
      <c r="B154" t="s">
        <v>568</v>
      </c>
      <c r="C154" t="s">
        <v>566</v>
      </c>
      <c r="D154" s="8" t="s">
        <v>567</v>
      </c>
      <c r="E154" s="8" t="s">
        <v>567</v>
      </c>
      <c r="F154" s="8"/>
      <c r="G154" s="8" t="s">
        <v>654</v>
      </c>
      <c r="H154" s="9" t="s">
        <v>654</v>
      </c>
      <c r="I154"/>
    </row>
    <row r="155" spans="1:10">
      <c r="A155" s="1" t="s">
        <v>309</v>
      </c>
      <c r="B155" t="s">
        <v>560</v>
      </c>
      <c r="C155" t="s">
        <v>562</v>
      </c>
      <c r="D155" t="s">
        <v>699</v>
      </c>
      <c r="E155" t="s">
        <v>728</v>
      </c>
      <c r="G155" t="s">
        <v>618</v>
      </c>
      <c r="H155" s="7" t="s">
        <v>786</v>
      </c>
      <c r="I155"/>
    </row>
    <row r="156" spans="1:10" ht="17.399999999999999" customHeight="1">
      <c r="A156" s="1" t="s">
        <v>432</v>
      </c>
      <c r="B156" t="s">
        <v>560</v>
      </c>
      <c r="C156" t="s">
        <v>566</v>
      </c>
      <c r="D156" t="s">
        <v>577</v>
      </c>
      <c r="E156" t="s">
        <v>581</v>
      </c>
      <c r="F156" s="37" t="s">
        <v>2481</v>
      </c>
      <c r="G156" t="s">
        <v>618</v>
      </c>
      <c r="H156" s="7" t="s">
        <v>787</v>
      </c>
      <c r="I156" s="139">
        <v>12.26</v>
      </c>
    </row>
    <row r="157" spans="1:10">
      <c r="A157" s="1" t="s">
        <v>81</v>
      </c>
      <c r="B157" t="s">
        <v>560</v>
      </c>
      <c r="C157" t="s">
        <v>562</v>
      </c>
      <c r="D157" t="s">
        <v>594</v>
      </c>
      <c r="E157" t="s">
        <v>702</v>
      </c>
      <c r="F157" t="s">
        <v>2134</v>
      </c>
      <c r="G157" t="s">
        <v>618</v>
      </c>
      <c r="H157" s="7" t="s">
        <v>788</v>
      </c>
      <c r="I157" s="59">
        <v>603.86</v>
      </c>
    </row>
    <row r="158" spans="1:10">
      <c r="A158" s="1" t="s">
        <v>222</v>
      </c>
      <c r="B158" t="s">
        <v>560</v>
      </c>
      <c r="C158" t="s">
        <v>562</v>
      </c>
      <c r="D158" t="s">
        <v>585</v>
      </c>
      <c r="E158" t="s">
        <v>586</v>
      </c>
      <c r="G158" t="s">
        <v>618</v>
      </c>
      <c r="H158" s="7" t="s">
        <v>789</v>
      </c>
      <c r="I158"/>
    </row>
    <row r="159" spans="1:10">
      <c r="A159" s="1" t="s">
        <v>279</v>
      </c>
      <c r="B159" t="s">
        <v>560</v>
      </c>
      <c r="C159" t="s">
        <v>566</v>
      </c>
      <c r="D159" t="s">
        <v>594</v>
      </c>
      <c r="E159" t="s">
        <v>595</v>
      </c>
      <c r="F159" t="s">
        <v>2115</v>
      </c>
      <c r="G159" t="s">
        <v>618</v>
      </c>
      <c r="H159" s="7" t="s">
        <v>790</v>
      </c>
      <c r="I159" s="59">
        <v>17.97</v>
      </c>
      <c r="J159">
        <v>1</v>
      </c>
    </row>
    <row r="160" spans="1:10">
      <c r="A160" s="1" t="s">
        <v>35</v>
      </c>
      <c r="B160" t="s">
        <v>560</v>
      </c>
      <c r="C160" t="s">
        <v>562</v>
      </c>
      <c r="D160" t="s">
        <v>699</v>
      </c>
      <c r="E160" t="s">
        <v>728</v>
      </c>
      <c r="G160" t="s">
        <v>620</v>
      </c>
      <c r="H160" s="7" t="s">
        <v>791</v>
      </c>
      <c r="I160"/>
    </row>
    <row r="161" spans="1:10">
      <c r="A161" s="6" t="s">
        <v>433</v>
      </c>
      <c r="B161" t="s">
        <v>560</v>
      </c>
      <c r="C161" t="s">
        <v>562</v>
      </c>
      <c r="D161" t="s">
        <v>594</v>
      </c>
      <c r="E161" t="s">
        <v>595</v>
      </c>
      <c r="F161" t="s">
        <v>2114</v>
      </c>
      <c r="G161" t="s">
        <v>618</v>
      </c>
      <c r="H161" s="7" t="s">
        <v>792</v>
      </c>
      <c r="I161" s="59">
        <v>1140</v>
      </c>
      <c r="J161">
        <v>1</v>
      </c>
    </row>
    <row r="162" spans="1:10">
      <c r="A162" s="1" t="s">
        <v>184</v>
      </c>
      <c r="B162" t="s">
        <v>560</v>
      </c>
      <c r="C162" t="s">
        <v>566</v>
      </c>
      <c r="D162" t="s">
        <v>573</v>
      </c>
      <c r="E162" t="s">
        <v>794</v>
      </c>
      <c r="G162" t="s">
        <v>618</v>
      </c>
      <c r="H162" s="7" t="s">
        <v>793</v>
      </c>
      <c r="I162"/>
    </row>
    <row r="163" spans="1:10">
      <c r="A163" s="1" t="s">
        <v>50</v>
      </c>
      <c r="B163" t="s">
        <v>560</v>
      </c>
      <c r="C163" t="s">
        <v>562</v>
      </c>
      <c r="D163" t="s">
        <v>699</v>
      </c>
      <c r="E163" t="s">
        <v>1185</v>
      </c>
      <c r="G163" t="s">
        <v>620</v>
      </c>
      <c r="H163" s="7" t="s">
        <v>1201</v>
      </c>
      <c r="I163"/>
    </row>
    <row r="164" spans="1:10">
      <c r="A164" s="1" t="s">
        <v>434</v>
      </c>
      <c r="B164" t="s">
        <v>560</v>
      </c>
      <c r="C164" t="s">
        <v>566</v>
      </c>
      <c r="D164" t="s">
        <v>573</v>
      </c>
      <c r="E164" t="s">
        <v>574</v>
      </c>
      <c r="G164" t="s">
        <v>618</v>
      </c>
      <c r="H164" s="7" t="s">
        <v>795</v>
      </c>
      <c r="I164"/>
    </row>
    <row r="165" spans="1:10">
      <c r="A165" s="1" t="s">
        <v>435</v>
      </c>
      <c r="B165" t="s">
        <v>560</v>
      </c>
      <c r="C165" t="s">
        <v>566</v>
      </c>
      <c r="D165" t="s">
        <v>575</v>
      </c>
      <c r="E165" t="s">
        <v>600</v>
      </c>
      <c r="G165" t="s">
        <v>620</v>
      </c>
      <c r="H165" s="7" t="s">
        <v>796</v>
      </c>
      <c r="I165"/>
    </row>
    <row r="166" spans="1:10">
      <c r="A166" s="1" t="s">
        <v>119</v>
      </c>
      <c r="B166" t="s">
        <v>560</v>
      </c>
      <c r="C166" t="s">
        <v>562</v>
      </c>
      <c r="D166" t="s">
        <v>594</v>
      </c>
      <c r="E166" t="s">
        <v>596</v>
      </c>
      <c r="F166" t="s">
        <v>2470</v>
      </c>
      <c r="G166" t="s">
        <v>618</v>
      </c>
      <c r="H166" s="7" t="s">
        <v>797</v>
      </c>
      <c r="I166" s="139">
        <v>4040</v>
      </c>
    </row>
    <row r="167" spans="1:10">
      <c r="A167" s="1" t="s">
        <v>42</v>
      </c>
      <c r="B167" t="s">
        <v>560</v>
      </c>
      <c r="C167" t="s">
        <v>562</v>
      </c>
      <c r="D167" t="s">
        <v>569</v>
      </c>
      <c r="E167" t="s">
        <v>824</v>
      </c>
      <c r="G167" t="s">
        <v>618</v>
      </c>
      <c r="H167" s="7" t="s">
        <v>1200</v>
      </c>
      <c r="I167"/>
    </row>
    <row r="168" spans="1:10">
      <c r="A168" s="1" t="s">
        <v>259</v>
      </c>
      <c r="B168" t="s">
        <v>560</v>
      </c>
      <c r="C168" t="s">
        <v>562</v>
      </c>
      <c r="D168" t="s">
        <v>577</v>
      </c>
      <c r="E168" t="s">
        <v>581</v>
      </c>
      <c r="G168" t="s">
        <v>618</v>
      </c>
      <c r="H168" s="7" t="s">
        <v>798</v>
      </c>
      <c r="I168"/>
    </row>
    <row r="169" spans="1:10">
      <c r="A169" s="1" t="s">
        <v>371</v>
      </c>
      <c r="B169" t="s">
        <v>560</v>
      </c>
      <c r="C169" t="s">
        <v>566</v>
      </c>
      <c r="D169" t="s">
        <v>577</v>
      </c>
      <c r="E169" t="s">
        <v>581</v>
      </c>
      <c r="G169" t="s">
        <v>618</v>
      </c>
      <c r="H169" s="7">
        <v>508</v>
      </c>
      <c r="I169"/>
    </row>
    <row r="170" spans="1:10">
      <c r="A170" s="1" t="s">
        <v>436</v>
      </c>
      <c r="B170" t="s">
        <v>568</v>
      </c>
      <c r="C170" t="s">
        <v>566</v>
      </c>
      <c r="D170" s="8" t="s">
        <v>567</v>
      </c>
      <c r="E170" s="8" t="s">
        <v>567</v>
      </c>
      <c r="F170" s="8"/>
      <c r="G170" s="8" t="s">
        <v>654</v>
      </c>
      <c r="H170" s="9" t="s">
        <v>654</v>
      </c>
      <c r="I170"/>
    </row>
    <row r="171" spans="1:10">
      <c r="A171" s="1" t="s">
        <v>437</v>
      </c>
      <c r="B171" t="s">
        <v>560</v>
      </c>
      <c r="C171" t="s">
        <v>562</v>
      </c>
      <c r="D171" t="s">
        <v>573</v>
      </c>
      <c r="E171" t="s">
        <v>800</v>
      </c>
      <c r="G171" t="s">
        <v>622</v>
      </c>
      <c r="H171" s="7" t="s">
        <v>799</v>
      </c>
      <c r="I171"/>
    </row>
    <row r="172" spans="1:10">
      <c r="A172" s="1" t="s">
        <v>142</v>
      </c>
      <c r="B172" t="s">
        <v>560</v>
      </c>
      <c r="C172" t="s">
        <v>562</v>
      </c>
      <c r="D172" t="s">
        <v>569</v>
      </c>
      <c r="E172" t="s">
        <v>583</v>
      </c>
      <c r="G172" t="s">
        <v>620</v>
      </c>
      <c r="H172" s="7" t="s">
        <v>801</v>
      </c>
      <c r="I172"/>
    </row>
    <row r="173" spans="1:10">
      <c r="A173" s="1" t="s">
        <v>352</v>
      </c>
      <c r="B173" t="s">
        <v>560</v>
      </c>
      <c r="C173" t="s">
        <v>562</v>
      </c>
      <c r="D173" t="s">
        <v>607</v>
      </c>
      <c r="E173" t="s">
        <v>803</v>
      </c>
      <c r="G173" t="s">
        <v>618</v>
      </c>
      <c r="H173" s="7" t="s">
        <v>802</v>
      </c>
      <c r="I173"/>
    </row>
    <row r="174" spans="1:10">
      <c r="A174" s="1" t="s">
        <v>206</v>
      </c>
      <c r="B174" t="s">
        <v>560</v>
      </c>
      <c r="C174" t="s">
        <v>566</v>
      </c>
      <c r="D174" t="s">
        <v>575</v>
      </c>
      <c r="E174" t="s">
        <v>780</v>
      </c>
      <c r="G174" t="s">
        <v>621</v>
      </c>
      <c r="H174" s="7" t="s">
        <v>804</v>
      </c>
      <c r="I174"/>
    </row>
    <row r="175" spans="1:10">
      <c r="A175" s="1" t="s">
        <v>224</v>
      </c>
      <c r="B175" t="s">
        <v>560</v>
      </c>
      <c r="C175" t="s">
        <v>566</v>
      </c>
      <c r="D175" t="s">
        <v>577</v>
      </c>
      <c r="E175" t="s">
        <v>806</v>
      </c>
      <c r="G175" t="s">
        <v>618</v>
      </c>
      <c r="H175" s="7" t="s">
        <v>805</v>
      </c>
      <c r="I175"/>
    </row>
    <row r="176" spans="1:10">
      <c r="A176" s="1" t="s">
        <v>5</v>
      </c>
      <c r="B176" t="s">
        <v>560</v>
      </c>
      <c r="C176" t="s">
        <v>562</v>
      </c>
      <c r="D176" t="s">
        <v>573</v>
      </c>
      <c r="E176" t="s">
        <v>626</v>
      </c>
      <c r="F176" t="s">
        <v>2462</v>
      </c>
      <c r="G176" t="s">
        <v>618</v>
      </c>
      <c r="H176" s="7" t="s">
        <v>807</v>
      </c>
      <c r="I176"/>
    </row>
    <row r="177" spans="1:10">
      <c r="A177" s="1" t="s">
        <v>39</v>
      </c>
      <c r="B177" t="s">
        <v>560</v>
      </c>
      <c r="C177" t="s">
        <v>562</v>
      </c>
      <c r="D177" t="s">
        <v>585</v>
      </c>
      <c r="E177" t="s">
        <v>809</v>
      </c>
      <c r="G177" t="s">
        <v>620</v>
      </c>
      <c r="H177" s="7" t="s">
        <v>808</v>
      </c>
      <c r="I177"/>
    </row>
    <row r="178" spans="1:10">
      <c r="A178" s="1" t="s">
        <v>300</v>
      </c>
      <c r="B178" t="s">
        <v>560</v>
      </c>
      <c r="C178" t="s">
        <v>562</v>
      </c>
      <c r="D178" t="s">
        <v>625</v>
      </c>
      <c r="E178" t="s">
        <v>811</v>
      </c>
      <c r="G178" t="s">
        <v>622</v>
      </c>
      <c r="H178" s="7" t="s">
        <v>810</v>
      </c>
      <c r="I178"/>
    </row>
    <row r="179" spans="1:10">
      <c r="A179" s="1" t="s">
        <v>173</v>
      </c>
      <c r="B179" t="s">
        <v>560</v>
      </c>
      <c r="C179" t="s">
        <v>566</v>
      </c>
      <c r="D179" t="s">
        <v>577</v>
      </c>
      <c r="E179" t="s">
        <v>610</v>
      </c>
      <c r="F179" t="s">
        <v>2428</v>
      </c>
      <c r="G179" t="s">
        <v>618</v>
      </c>
      <c r="H179" s="7">
        <v>595</v>
      </c>
      <c r="I179">
        <v>72.12</v>
      </c>
      <c r="J179">
        <v>1</v>
      </c>
    </row>
    <row r="180" spans="1:10">
      <c r="A180" s="1" t="s">
        <v>565</v>
      </c>
      <c r="B180" t="s">
        <v>560</v>
      </c>
      <c r="C180" t="s">
        <v>562</v>
      </c>
      <c r="D180" t="s">
        <v>569</v>
      </c>
      <c r="E180" t="s">
        <v>587</v>
      </c>
      <c r="G180" t="s">
        <v>620</v>
      </c>
      <c r="H180" s="7" t="s">
        <v>812</v>
      </c>
      <c r="I180"/>
    </row>
    <row r="181" spans="1:10">
      <c r="A181" s="1" t="s">
        <v>23</v>
      </c>
      <c r="B181" t="s">
        <v>560</v>
      </c>
      <c r="C181" t="s">
        <v>562</v>
      </c>
      <c r="D181" t="s">
        <v>699</v>
      </c>
      <c r="E181" t="s">
        <v>698</v>
      </c>
      <c r="G181" t="s">
        <v>620</v>
      </c>
      <c r="H181" s="7" t="s">
        <v>813</v>
      </c>
      <c r="I181"/>
    </row>
    <row r="182" spans="1:10">
      <c r="A182" s="1" t="s">
        <v>438</v>
      </c>
      <c r="B182" t="s">
        <v>560</v>
      </c>
      <c r="C182" t="s">
        <v>562</v>
      </c>
      <c r="D182" t="s">
        <v>594</v>
      </c>
      <c r="E182" t="s">
        <v>595</v>
      </c>
      <c r="F182" t="s">
        <v>2116</v>
      </c>
      <c r="G182" t="s">
        <v>618</v>
      </c>
      <c r="H182" s="7" t="s">
        <v>814</v>
      </c>
      <c r="I182"/>
      <c r="J182">
        <v>1</v>
      </c>
    </row>
    <row r="183" spans="1:10">
      <c r="A183" s="1" t="s">
        <v>189</v>
      </c>
      <c r="B183" t="s">
        <v>560</v>
      </c>
      <c r="C183" t="s">
        <v>566</v>
      </c>
      <c r="D183" t="s">
        <v>625</v>
      </c>
      <c r="E183" t="s">
        <v>811</v>
      </c>
      <c r="G183" t="s">
        <v>618</v>
      </c>
      <c r="H183" s="7" t="s">
        <v>815</v>
      </c>
      <c r="I183"/>
    </row>
    <row r="184" spans="1:10">
      <c r="A184" s="1" t="s">
        <v>313</v>
      </c>
      <c r="B184" t="s">
        <v>560</v>
      </c>
      <c r="C184" t="s">
        <v>562</v>
      </c>
      <c r="D184" t="s">
        <v>577</v>
      </c>
      <c r="E184" t="s">
        <v>635</v>
      </c>
      <c r="G184" t="s">
        <v>618</v>
      </c>
      <c r="H184" s="7" t="s">
        <v>816</v>
      </c>
      <c r="I184"/>
    </row>
    <row r="185" spans="1:10">
      <c r="A185" s="1" t="s">
        <v>115</v>
      </c>
      <c r="B185" t="s">
        <v>560</v>
      </c>
      <c r="C185" t="s">
        <v>562</v>
      </c>
      <c r="D185" t="s">
        <v>573</v>
      </c>
      <c r="E185" t="s">
        <v>744</v>
      </c>
      <c r="G185" t="s">
        <v>618</v>
      </c>
      <c r="H185" s="7" t="s">
        <v>817</v>
      </c>
      <c r="I185"/>
    </row>
    <row r="186" spans="1:10">
      <c r="A186" s="1" t="s">
        <v>176</v>
      </c>
      <c r="B186" t="s">
        <v>560</v>
      </c>
      <c r="C186" t="s">
        <v>562</v>
      </c>
      <c r="D186" t="s">
        <v>569</v>
      </c>
      <c r="E186" t="s">
        <v>819</v>
      </c>
      <c r="G186" t="s">
        <v>618</v>
      </c>
      <c r="H186" s="7" t="s">
        <v>818</v>
      </c>
      <c r="I186"/>
    </row>
    <row r="187" spans="1:10">
      <c r="A187" s="1" t="s">
        <v>47</v>
      </c>
      <c r="B187" t="s">
        <v>560</v>
      </c>
      <c r="C187" t="s">
        <v>562</v>
      </c>
      <c r="D187" t="s">
        <v>594</v>
      </c>
      <c r="E187" t="s">
        <v>702</v>
      </c>
      <c r="F187" t="s">
        <v>2117</v>
      </c>
      <c r="G187" t="s">
        <v>618</v>
      </c>
      <c r="H187" s="7" t="s">
        <v>1199</v>
      </c>
      <c r="I187" s="59">
        <v>375.83</v>
      </c>
      <c r="J187">
        <v>1</v>
      </c>
    </row>
    <row r="188" spans="1:10">
      <c r="A188" s="1" t="s">
        <v>73</v>
      </c>
      <c r="B188" t="s">
        <v>560</v>
      </c>
      <c r="C188" t="s">
        <v>562</v>
      </c>
      <c r="D188" t="s">
        <v>597</v>
      </c>
      <c r="E188" t="s">
        <v>821</v>
      </c>
      <c r="G188" t="s">
        <v>618</v>
      </c>
      <c r="H188" s="7" t="s">
        <v>820</v>
      </c>
      <c r="I188"/>
    </row>
    <row r="189" spans="1:10">
      <c r="A189" s="1" t="s">
        <v>346</v>
      </c>
      <c r="B189" t="s">
        <v>560</v>
      </c>
      <c r="C189" t="s">
        <v>562</v>
      </c>
      <c r="D189" t="s">
        <v>577</v>
      </c>
      <c r="E189" t="s">
        <v>593</v>
      </c>
      <c r="G189" t="s">
        <v>622</v>
      </c>
      <c r="H189" s="7" t="s">
        <v>822</v>
      </c>
      <c r="I189"/>
    </row>
    <row r="190" spans="1:10">
      <c r="A190" s="1" t="s">
        <v>439</v>
      </c>
      <c r="B190" t="s">
        <v>560</v>
      </c>
      <c r="C190" t="s">
        <v>562</v>
      </c>
      <c r="D190" t="s">
        <v>569</v>
      </c>
      <c r="E190" t="s">
        <v>824</v>
      </c>
      <c r="G190" t="s">
        <v>618</v>
      </c>
      <c r="H190" s="7" t="s">
        <v>823</v>
      </c>
      <c r="I190"/>
    </row>
    <row r="191" spans="1:10">
      <c r="A191" s="1" t="s">
        <v>244</v>
      </c>
      <c r="B191" t="s">
        <v>560</v>
      </c>
      <c r="C191" t="s">
        <v>566</v>
      </c>
      <c r="D191" t="s">
        <v>573</v>
      </c>
      <c r="E191" t="s">
        <v>574</v>
      </c>
      <c r="G191" t="s">
        <v>618</v>
      </c>
      <c r="H191" s="7" t="s">
        <v>825</v>
      </c>
      <c r="I191"/>
    </row>
    <row r="192" spans="1:10">
      <c r="A192" s="1" t="s">
        <v>440</v>
      </c>
      <c r="B192" t="s">
        <v>560</v>
      </c>
      <c r="C192" t="s">
        <v>562</v>
      </c>
      <c r="D192" t="s">
        <v>577</v>
      </c>
      <c r="E192" t="s">
        <v>589</v>
      </c>
      <c r="G192" t="s">
        <v>618</v>
      </c>
      <c r="H192" s="7" t="s">
        <v>826</v>
      </c>
      <c r="I192"/>
    </row>
    <row r="193" spans="1:10">
      <c r="A193" s="1" t="s">
        <v>88</v>
      </c>
      <c r="B193" t="s">
        <v>560</v>
      </c>
      <c r="C193" t="s">
        <v>566</v>
      </c>
      <c r="D193" t="s">
        <v>569</v>
      </c>
      <c r="E193" t="s">
        <v>617</v>
      </c>
      <c r="G193" t="s">
        <v>618</v>
      </c>
      <c r="H193" s="7" t="s">
        <v>827</v>
      </c>
      <c r="I193"/>
    </row>
    <row r="194" spans="1:10">
      <c r="A194" s="1" t="s">
        <v>112</v>
      </c>
      <c r="B194" t="s">
        <v>560</v>
      </c>
      <c r="C194" t="s">
        <v>562</v>
      </c>
      <c r="D194" t="s">
        <v>594</v>
      </c>
      <c r="E194" t="s">
        <v>595</v>
      </c>
      <c r="F194" t="s">
        <v>2118</v>
      </c>
      <c r="G194" t="s">
        <v>618</v>
      </c>
      <c r="H194" s="7" t="s">
        <v>828</v>
      </c>
      <c r="I194" s="59">
        <v>2940</v>
      </c>
      <c r="J194">
        <v>1</v>
      </c>
    </row>
    <row r="195" spans="1:10">
      <c r="A195" s="1" t="s">
        <v>117</v>
      </c>
      <c r="B195" t="s">
        <v>560</v>
      </c>
      <c r="C195" t="s">
        <v>566</v>
      </c>
      <c r="D195" t="s">
        <v>573</v>
      </c>
      <c r="E195" t="s">
        <v>711</v>
      </c>
      <c r="G195" t="s">
        <v>618</v>
      </c>
      <c r="H195" s="7" t="s">
        <v>829</v>
      </c>
      <c r="I195"/>
    </row>
    <row r="196" spans="1:10">
      <c r="A196" s="1" t="s">
        <v>290</v>
      </c>
      <c r="B196" t="s">
        <v>560</v>
      </c>
      <c r="C196" t="s">
        <v>562</v>
      </c>
      <c r="D196" t="s">
        <v>577</v>
      </c>
      <c r="E196" t="s">
        <v>806</v>
      </c>
      <c r="G196" t="s">
        <v>618</v>
      </c>
      <c r="H196" s="7" t="s">
        <v>830</v>
      </c>
      <c r="I196"/>
    </row>
    <row r="197" spans="1:10">
      <c r="A197" s="1" t="s">
        <v>441</v>
      </c>
      <c r="B197" t="s">
        <v>560</v>
      </c>
      <c r="C197" t="s">
        <v>562</v>
      </c>
      <c r="D197" s="8" t="s">
        <v>1198</v>
      </c>
      <c r="E197" s="8" t="s">
        <v>1198</v>
      </c>
      <c r="F197" s="8"/>
      <c r="G197" s="8" t="s">
        <v>654</v>
      </c>
      <c r="H197" s="9" t="s">
        <v>654</v>
      </c>
      <c r="I197"/>
    </row>
    <row r="198" spans="1:10">
      <c r="A198" s="1" t="s">
        <v>442</v>
      </c>
      <c r="B198" t="s">
        <v>568</v>
      </c>
      <c r="C198" t="s">
        <v>566</v>
      </c>
      <c r="D198" s="8" t="s">
        <v>567</v>
      </c>
      <c r="E198" s="8" t="s">
        <v>567</v>
      </c>
      <c r="F198" s="8"/>
      <c r="G198" s="8" t="s">
        <v>654</v>
      </c>
      <c r="H198" s="9" t="s">
        <v>654</v>
      </c>
      <c r="I198"/>
    </row>
    <row r="199" spans="1:10">
      <c r="A199" s="1" t="s">
        <v>443</v>
      </c>
      <c r="B199" t="s">
        <v>560</v>
      </c>
      <c r="C199" t="s">
        <v>566</v>
      </c>
      <c r="D199" t="s">
        <v>594</v>
      </c>
      <c r="E199" t="s">
        <v>595</v>
      </c>
      <c r="F199" t="s">
        <v>2105</v>
      </c>
      <c r="G199" t="s">
        <v>621</v>
      </c>
      <c r="H199" s="7" t="s">
        <v>831</v>
      </c>
      <c r="I199" s="59">
        <v>20.43</v>
      </c>
      <c r="J199">
        <v>1</v>
      </c>
    </row>
    <row r="200" spans="1:10">
      <c r="A200" s="1" t="s">
        <v>1230</v>
      </c>
      <c r="B200" t="s">
        <v>560</v>
      </c>
      <c r="C200" t="s">
        <v>562</v>
      </c>
      <c r="D200" t="s">
        <v>579</v>
      </c>
      <c r="E200" t="s">
        <v>1197</v>
      </c>
      <c r="G200" t="s">
        <v>618</v>
      </c>
      <c r="H200" s="7" t="s">
        <v>1196</v>
      </c>
      <c r="I200"/>
    </row>
    <row r="201" spans="1:10">
      <c r="A201" s="1" t="s">
        <v>444</v>
      </c>
      <c r="B201" t="s">
        <v>560</v>
      </c>
      <c r="C201" t="s">
        <v>566</v>
      </c>
      <c r="D201" t="s">
        <v>579</v>
      </c>
      <c r="E201" t="s">
        <v>603</v>
      </c>
      <c r="G201" t="s">
        <v>618</v>
      </c>
      <c r="H201" s="7" t="s">
        <v>832</v>
      </c>
      <c r="I201"/>
    </row>
    <row r="202" spans="1:10">
      <c r="A202" s="1" t="s">
        <v>317</v>
      </c>
      <c r="B202" t="s">
        <v>560</v>
      </c>
      <c r="C202" t="s">
        <v>566</v>
      </c>
      <c r="D202" t="s">
        <v>594</v>
      </c>
      <c r="E202" t="s">
        <v>702</v>
      </c>
      <c r="F202" t="s">
        <v>2136</v>
      </c>
      <c r="G202" t="s">
        <v>622</v>
      </c>
      <c r="H202" s="7" t="s">
        <v>833</v>
      </c>
      <c r="I202"/>
    </row>
    <row r="203" spans="1:10">
      <c r="A203" s="1" t="s">
        <v>445</v>
      </c>
      <c r="B203" t="s">
        <v>560</v>
      </c>
      <c r="C203" t="s">
        <v>566</v>
      </c>
      <c r="D203" t="s">
        <v>585</v>
      </c>
      <c r="E203" t="s">
        <v>586</v>
      </c>
      <c r="G203" t="s">
        <v>618</v>
      </c>
      <c r="H203" s="7" t="s">
        <v>834</v>
      </c>
      <c r="I203"/>
    </row>
    <row r="204" spans="1:10">
      <c r="A204" s="1" t="s">
        <v>283</v>
      </c>
      <c r="B204" t="s">
        <v>560</v>
      </c>
      <c r="C204" t="s">
        <v>562</v>
      </c>
      <c r="D204" t="s">
        <v>573</v>
      </c>
      <c r="E204" t="s">
        <v>591</v>
      </c>
      <c r="F204" t="s">
        <v>2463</v>
      </c>
      <c r="G204" t="s">
        <v>618</v>
      </c>
      <c r="H204" s="7" t="s">
        <v>835</v>
      </c>
      <c r="I204"/>
    </row>
    <row r="205" spans="1:10">
      <c r="A205" s="1" t="s">
        <v>446</v>
      </c>
      <c r="B205" t="s">
        <v>560</v>
      </c>
      <c r="C205" t="s">
        <v>562</v>
      </c>
      <c r="D205" t="s">
        <v>573</v>
      </c>
      <c r="E205" t="s">
        <v>574</v>
      </c>
      <c r="G205" t="s">
        <v>622</v>
      </c>
      <c r="H205" s="7" t="s">
        <v>836</v>
      </c>
      <c r="I205"/>
    </row>
    <row r="206" spans="1:10">
      <c r="A206" s="1" t="s">
        <v>447</v>
      </c>
      <c r="B206" t="s">
        <v>560</v>
      </c>
      <c r="C206" t="s">
        <v>566</v>
      </c>
      <c r="D206" t="s">
        <v>585</v>
      </c>
      <c r="E206" t="s">
        <v>604</v>
      </c>
      <c r="G206" t="s">
        <v>622</v>
      </c>
      <c r="H206" s="7" t="s">
        <v>837</v>
      </c>
      <c r="I206"/>
    </row>
    <row r="207" spans="1:10">
      <c r="A207" s="1" t="s">
        <v>362</v>
      </c>
      <c r="B207" t="s">
        <v>560</v>
      </c>
      <c r="C207" t="s">
        <v>566</v>
      </c>
      <c r="D207" t="s">
        <v>597</v>
      </c>
      <c r="E207" t="s">
        <v>598</v>
      </c>
      <c r="G207" t="s">
        <v>618</v>
      </c>
      <c r="H207" s="7" t="s">
        <v>838</v>
      </c>
      <c r="I207"/>
    </row>
    <row r="208" spans="1:10">
      <c r="A208" s="1" t="s">
        <v>134</v>
      </c>
      <c r="B208" t="s">
        <v>560</v>
      </c>
      <c r="C208" t="s">
        <v>562</v>
      </c>
      <c r="D208" t="s">
        <v>575</v>
      </c>
      <c r="E208" t="s">
        <v>600</v>
      </c>
      <c r="G208" t="s">
        <v>618</v>
      </c>
      <c r="H208" s="7" t="s">
        <v>839</v>
      </c>
      <c r="I208"/>
    </row>
    <row r="209" spans="1:10">
      <c r="A209" s="1" t="s">
        <v>145</v>
      </c>
      <c r="B209" t="s">
        <v>560</v>
      </c>
      <c r="C209" t="s">
        <v>566</v>
      </c>
      <c r="D209" t="s">
        <v>577</v>
      </c>
      <c r="E209" t="s">
        <v>635</v>
      </c>
      <c r="G209" t="s">
        <v>618</v>
      </c>
      <c r="H209" s="7" t="s">
        <v>840</v>
      </c>
      <c r="I209"/>
    </row>
    <row r="210" spans="1:10">
      <c r="A210" s="1" t="s">
        <v>267</v>
      </c>
      <c r="B210" t="s">
        <v>560</v>
      </c>
      <c r="C210" t="s">
        <v>562</v>
      </c>
      <c r="D210" t="s">
        <v>573</v>
      </c>
      <c r="E210" t="s">
        <v>591</v>
      </c>
      <c r="F210" t="s">
        <v>2463</v>
      </c>
      <c r="G210" t="s">
        <v>618</v>
      </c>
      <c r="H210" s="7" t="s">
        <v>841</v>
      </c>
      <c r="I210"/>
    </row>
    <row r="211" spans="1:10">
      <c r="A211" s="1" t="s">
        <v>125</v>
      </c>
      <c r="B211" t="s">
        <v>560</v>
      </c>
      <c r="C211" t="s">
        <v>562</v>
      </c>
      <c r="D211" t="s">
        <v>577</v>
      </c>
      <c r="E211" t="s">
        <v>593</v>
      </c>
      <c r="G211" t="s">
        <v>618</v>
      </c>
      <c r="H211" s="7" t="s">
        <v>842</v>
      </c>
      <c r="I211"/>
    </row>
    <row r="212" spans="1:10">
      <c r="A212" s="1" t="s">
        <v>294</v>
      </c>
      <c r="B212" t="s">
        <v>560</v>
      </c>
      <c r="C212" t="s">
        <v>566</v>
      </c>
      <c r="D212" t="s">
        <v>577</v>
      </c>
      <c r="E212" t="s">
        <v>578</v>
      </c>
      <c r="F212" t="s">
        <v>2429</v>
      </c>
      <c r="G212" t="s">
        <v>618</v>
      </c>
      <c r="H212" s="7" t="s">
        <v>843</v>
      </c>
      <c r="I212">
        <v>34.909999999999997</v>
      </c>
      <c r="J212">
        <v>1</v>
      </c>
    </row>
    <row r="213" spans="1:10">
      <c r="A213" s="1" t="s">
        <v>223</v>
      </c>
      <c r="B213" t="s">
        <v>560</v>
      </c>
      <c r="C213" t="s">
        <v>562</v>
      </c>
      <c r="D213" t="s">
        <v>573</v>
      </c>
      <c r="E213" t="s">
        <v>591</v>
      </c>
      <c r="F213" t="s">
        <v>2463</v>
      </c>
      <c r="G213" t="s">
        <v>618</v>
      </c>
      <c r="H213" s="7" t="s">
        <v>844</v>
      </c>
      <c r="I213"/>
    </row>
    <row r="214" spans="1:10">
      <c r="A214" s="1" t="s">
        <v>75</v>
      </c>
      <c r="B214" t="s">
        <v>560</v>
      </c>
      <c r="C214" t="s">
        <v>566</v>
      </c>
      <c r="D214" t="s">
        <v>594</v>
      </c>
      <c r="E214" t="s">
        <v>596</v>
      </c>
      <c r="F214" t="s">
        <v>2112</v>
      </c>
      <c r="G214" t="s">
        <v>618</v>
      </c>
      <c r="H214" s="7" t="s">
        <v>845</v>
      </c>
      <c r="I214"/>
      <c r="J214">
        <v>1</v>
      </c>
    </row>
    <row r="215" spans="1:10">
      <c r="A215" s="1" t="s">
        <v>185</v>
      </c>
      <c r="B215" t="s">
        <v>560</v>
      </c>
      <c r="C215" t="s">
        <v>562</v>
      </c>
      <c r="D215" t="s">
        <v>577</v>
      </c>
      <c r="E215" t="s">
        <v>593</v>
      </c>
      <c r="G215" t="s">
        <v>618</v>
      </c>
      <c r="H215" s="7" t="s">
        <v>846</v>
      </c>
      <c r="I215"/>
    </row>
    <row r="216" spans="1:10">
      <c r="A216" s="1" t="s">
        <v>220</v>
      </c>
      <c r="B216" t="s">
        <v>560</v>
      </c>
      <c r="C216" t="s">
        <v>562</v>
      </c>
      <c r="D216" t="s">
        <v>577</v>
      </c>
      <c r="E216" t="s">
        <v>615</v>
      </c>
      <c r="G216" t="s">
        <v>618</v>
      </c>
      <c r="H216" s="7" t="s">
        <v>847</v>
      </c>
      <c r="I216"/>
    </row>
    <row r="217" spans="1:10">
      <c r="A217" s="1" t="s">
        <v>70</v>
      </c>
      <c r="B217" t="s">
        <v>560</v>
      </c>
      <c r="C217" t="s">
        <v>562</v>
      </c>
      <c r="D217" t="s">
        <v>594</v>
      </c>
      <c r="E217" t="s">
        <v>702</v>
      </c>
      <c r="F217" t="s">
        <v>2110</v>
      </c>
      <c r="G217" t="s">
        <v>618</v>
      </c>
      <c r="H217" s="7" t="s">
        <v>848</v>
      </c>
      <c r="I217" s="59">
        <v>700.5</v>
      </c>
    </row>
    <row r="218" spans="1:10">
      <c r="A218" s="1" t="s">
        <v>286</v>
      </c>
      <c r="B218" t="s">
        <v>560</v>
      </c>
      <c r="C218" t="s">
        <v>562</v>
      </c>
      <c r="D218" t="s">
        <v>594</v>
      </c>
      <c r="E218" t="s">
        <v>595</v>
      </c>
      <c r="F218" t="s">
        <v>2119</v>
      </c>
      <c r="G218" t="s">
        <v>618</v>
      </c>
      <c r="H218" s="7" t="s">
        <v>849</v>
      </c>
      <c r="I218"/>
      <c r="J218" t="s">
        <v>2120</v>
      </c>
    </row>
    <row r="219" spans="1:10">
      <c r="A219" s="1" t="s">
        <v>21</v>
      </c>
      <c r="B219" t="s">
        <v>560</v>
      </c>
      <c r="C219" t="s">
        <v>562</v>
      </c>
      <c r="D219" t="s">
        <v>573</v>
      </c>
      <c r="E219" t="s">
        <v>851</v>
      </c>
      <c r="G219" t="s">
        <v>618</v>
      </c>
      <c r="H219" s="7" t="s">
        <v>850</v>
      </c>
      <c r="I219"/>
    </row>
    <row r="220" spans="1:10">
      <c r="A220" s="1" t="s">
        <v>123</v>
      </c>
      <c r="B220" t="s">
        <v>560</v>
      </c>
      <c r="C220" t="s">
        <v>562</v>
      </c>
      <c r="D220" t="s">
        <v>597</v>
      </c>
      <c r="E220" t="s">
        <v>757</v>
      </c>
      <c r="G220" t="s">
        <v>618</v>
      </c>
      <c r="H220" s="7" t="s">
        <v>852</v>
      </c>
      <c r="I220"/>
    </row>
    <row r="221" spans="1:10">
      <c r="A221" s="1" t="s">
        <v>15</v>
      </c>
      <c r="B221" t="s">
        <v>560</v>
      </c>
      <c r="C221" t="s">
        <v>562</v>
      </c>
      <c r="D221" t="s">
        <v>594</v>
      </c>
      <c r="E221" t="s">
        <v>595</v>
      </c>
      <c r="F221" t="s">
        <v>2137</v>
      </c>
      <c r="G221" t="s">
        <v>620</v>
      </c>
      <c r="H221" s="7" t="s">
        <v>853</v>
      </c>
      <c r="I221"/>
    </row>
    <row r="222" spans="1:10">
      <c r="A222" s="1" t="s">
        <v>314</v>
      </c>
      <c r="B222" t="s">
        <v>560</v>
      </c>
      <c r="C222" t="s">
        <v>562</v>
      </c>
      <c r="D222" t="s">
        <v>577</v>
      </c>
      <c r="E222" t="s">
        <v>593</v>
      </c>
      <c r="G222" t="s">
        <v>618</v>
      </c>
      <c r="H222" s="7" t="s">
        <v>854</v>
      </c>
      <c r="I222"/>
    </row>
    <row r="223" spans="1:10">
      <c r="A223" s="1" t="s">
        <v>448</v>
      </c>
      <c r="B223" t="s">
        <v>560</v>
      </c>
      <c r="C223" t="s">
        <v>566</v>
      </c>
      <c r="D223" t="s">
        <v>699</v>
      </c>
      <c r="E223" t="s">
        <v>704</v>
      </c>
      <c r="G223" t="s">
        <v>618</v>
      </c>
      <c r="H223" s="7" t="s">
        <v>855</v>
      </c>
      <c r="I223"/>
    </row>
    <row r="224" spans="1:10">
      <c r="A224" s="1" t="s">
        <v>208</v>
      </c>
      <c r="B224" t="s">
        <v>560</v>
      </c>
      <c r="C224" t="s">
        <v>562</v>
      </c>
      <c r="D224" t="s">
        <v>573</v>
      </c>
      <c r="E224" t="s">
        <v>591</v>
      </c>
      <c r="F224" t="s">
        <v>2463</v>
      </c>
      <c r="G224" t="s">
        <v>618</v>
      </c>
      <c r="H224" s="7" t="s">
        <v>857</v>
      </c>
      <c r="I224"/>
    </row>
    <row r="225" spans="1:8" customFormat="1">
      <c r="A225" s="1" t="s">
        <v>449</v>
      </c>
      <c r="B225" t="s">
        <v>560</v>
      </c>
      <c r="C225" t="s">
        <v>562</v>
      </c>
      <c r="D225" t="s">
        <v>573</v>
      </c>
      <c r="E225" t="s">
        <v>591</v>
      </c>
      <c r="F225" t="s">
        <v>2463</v>
      </c>
      <c r="G225" t="s">
        <v>618</v>
      </c>
      <c r="H225" s="7" t="s">
        <v>856</v>
      </c>
    </row>
    <row r="226" spans="1:8" customFormat="1">
      <c r="A226" s="1" t="s">
        <v>307</v>
      </c>
      <c r="B226" t="s">
        <v>560</v>
      </c>
      <c r="C226" t="s">
        <v>562</v>
      </c>
      <c r="D226" t="s">
        <v>597</v>
      </c>
      <c r="E226" t="s">
        <v>598</v>
      </c>
      <c r="G226" t="s">
        <v>859</v>
      </c>
      <c r="H226" s="7" t="s">
        <v>858</v>
      </c>
    </row>
    <row r="227" spans="1:8" customFormat="1">
      <c r="A227" s="1" t="s">
        <v>249</v>
      </c>
      <c r="B227" t="s">
        <v>560</v>
      </c>
      <c r="C227" t="s">
        <v>562</v>
      </c>
      <c r="D227" t="s">
        <v>573</v>
      </c>
      <c r="E227" t="s">
        <v>591</v>
      </c>
      <c r="F227" t="s">
        <v>2463</v>
      </c>
      <c r="G227" t="s">
        <v>618</v>
      </c>
      <c r="H227" s="7" t="s">
        <v>860</v>
      </c>
    </row>
    <row r="228" spans="1:8" customFormat="1">
      <c r="A228" s="1" t="s">
        <v>130</v>
      </c>
      <c r="B228" t="s">
        <v>560</v>
      </c>
      <c r="C228" t="s">
        <v>562</v>
      </c>
      <c r="D228" t="s">
        <v>577</v>
      </c>
      <c r="E228" t="s">
        <v>588</v>
      </c>
      <c r="G228" t="s">
        <v>618</v>
      </c>
      <c r="H228" s="7" t="s">
        <v>861</v>
      </c>
    </row>
    <row r="229" spans="1:8" customFormat="1">
      <c r="A229" s="1" t="s">
        <v>292</v>
      </c>
      <c r="B229" t="s">
        <v>560</v>
      </c>
      <c r="C229" t="s">
        <v>566</v>
      </c>
      <c r="D229" t="s">
        <v>573</v>
      </c>
      <c r="E229" t="s">
        <v>711</v>
      </c>
      <c r="G229" t="s">
        <v>618</v>
      </c>
      <c r="H229" s="7">
        <v>504</v>
      </c>
    </row>
    <row r="230" spans="1:8" customFormat="1">
      <c r="A230" s="1" t="s">
        <v>169</v>
      </c>
      <c r="B230" t="s">
        <v>560</v>
      </c>
      <c r="C230" t="s">
        <v>566</v>
      </c>
      <c r="D230" t="s">
        <v>577</v>
      </c>
      <c r="E230" t="s">
        <v>593</v>
      </c>
      <c r="G230" t="s">
        <v>618</v>
      </c>
      <c r="H230" s="7" t="s">
        <v>862</v>
      </c>
    </row>
    <row r="231" spans="1:8" customFormat="1">
      <c r="A231" s="1" t="s">
        <v>380</v>
      </c>
      <c r="B231" t="s">
        <v>568</v>
      </c>
      <c r="C231" t="s">
        <v>566</v>
      </c>
      <c r="D231" s="8" t="s">
        <v>567</v>
      </c>
      <c r="E231" s="8" t="s">
        <v>567</v>
      </c>
      <c r="F231" s="8"/>
      <c r="G231" s="8" t="s">
        <v>654</v>
      </c>
      <c r="H231" s="9" t="s">
        <v>654</v>
      </c>
    </row>
    <row r="232" spans="1:8" customFormat="1">
      <c r="A232" s="1" t="s">
        <v>270</v>
      </c>
      <c r="B232" t="s">
        <v>560</v>
      </c>
      <c r="C232" t="s">
        <v>566</v>
      </c>
      <c r="D232" t="s">
        <v>579</v>
      </c>
      <c r="E232" t="s">
        <v>864</v>
      </c>
      <c r="G232" t="s">
        <v>618</v>
      </c>
      <c r="H232" s="7" t="s">
        <v>863</v>
      </c>
    </row>
    <row r="233" spans="1:8" customFormat="1">
      <c r="A233" s="1" t="s">
        <v>26</v>
      </c>
      <c r="B233" t="s">
        <v>560</v>
      </c>
      <c r="C233" t="s">
        <v>562</v>
      </c>
      <c r="D233" t="s">
        <v>569</v>
      </c>
      <c r="E233" t="s">
        <v>570</v>
      </c>
      <c r="G233" t="s">
        <v>618</v>
      </c>
      <c r="H233" s="7" t="s">
        <v>865</v>
      </c>
    </row>
    <row r="234" spans="1:8" customFormat="1">
      <c r="A234" s="1" t="s">
        <v>41</v>
      </c>
      <c r="B234" t="s">
        <v>560</v>
      </c>
      <c r="C234" t="s">
        <v>562</v>
      </c>
      <c r="D234" t="s">
        <v>597</v>
      </c>
      <c r="E234" t="s">
        <v>890</v>
      </c>
      <c r="G234" t="s">
        <v>618</v>
      </c>
      <c r="H234" s="7" t="s">
        <v>1195</v>
      </c>
    </row>
    <row r="235" spans="1:8" customFormat="1">
      <c r="A235" s="1" t="s">
        <v>332</v>
      </c>
      <c r="B235" t="s">
        <v>560</v>
      </c>
      <c r="C235" t="s">
        <v>562</v>
      </c>
      <c r="D235" t="s">
        <v>579</v>
      </c>
      <c r="E235" t="s">
        <v>580</v>
      </c>
      <c r="G235" t="s">
        <v>621</v>
      </c>
      <c r="H235" s="7" t="s">
        <v>866</v>
      </c>
    </row>
    <row r="236" spans="1:8" customFormat="1">
      <c r="A236" s="1" t="s">
        <v>450</v>
      </c>
      <c r="B236" t="s">
        <v>568</v>
      </c>
      <c r="C236" t="s">
        <v>566</v>
      </c>
      <c r="D236" s="8" t="s">
        <v>567</v>
      </c>
      <c r="E236" s="8" t="s">
        <v>567</v>
      </c>
      <c r="F236" s="8"/>
      <c r="G236" s="8" t="s">
        <v>654</v>
      </c>
      <c r="H236" s="9" t="s">
        <v>654</v>
      </c>
    </row>
    <row r="237" spans="1:8" customFormat="1">
      <c r="A237" s="1" t="s">
        <v>451</v>
      </c>
      <c r="B237" t="s">
        <v>568</v>
      </c>
      <c r="C237" t="s">
        <v>566</v>
      </c>
      <c r="D237" s="8" t="s">
        <v>567</v>
      </c>
      <c r="E237" s="8" t="s">
        <v>567</v>
      </c>
      <c r="F237" s="8"/>
      <c r="G237" s="8" t="s">
        <v>654</v>
      </c>
      <c r="H237" s="9" t="s">
        <v>654</v>
      </c>
    </row>
    <row r="238" spans="1:8" customFormat="1">
      <c r="A238" s="1" t="s">
        <v>198</v>
      </c>
      <c r="B238" t="s">
        <v>560</v>
      </c>
      <c r="C238" t="s">
        <v>562</v>
      </c>
      <c r="D238" t="s">
        <v>699</v>
      </c>
      <c r="E238" t="s">
        <v>728</v>
      </c>
      <c r="G238" t="s">
        <v>700</v>
      </c>
      <c r="H238" s="7" t="s">
        <v>867</v>
      </c>
    </row>
    <row r="239" spans="1:8" customFormat="1">
      <c r="A239" s="1" t="s">
        <v>95</v>
      </c>
      <c r="B239" t="s">
        <v>560</v>
      </c>
      <c r="C239" t="s">
        <v>566</v>
      </c>
      <c r="D239" t="s">
        <v>569</v>
      </c>
      <c r="E239" t="s">
        <v>570</v>
      </c>
      <c r="G239" t="s">
        <v>618</v>
      </c>
      <c r="H239" s="7" t="s">
        <v>868</v>
      </c>
    </row>
    <row r="240" spans="1:8" customFormat="1">
      <c r="A240" s="1" t="s">
        <v>158</v>
      </c>
      <c r="B240" t="s">
        <v>560</v>
      </c>
      <c r="C240" t="s">
        <v>562</v>
      </c>
      <c r="D240" t="s">
        <v>577</v>
      </c>
      <c r="E240" t="s">
        <v>714</v>
      </c>
      <c r="G240" t="s">
        <v>618</v>
      </c>
      <c r="H240" s="7" t="s">
        <v>869</v>
      </c>
    </row>
    <row r="241" spans="1:10">
      <c r="A241" s="1" t="s">
        <v>452</v>
      </c>
      <c r="B241" t="s">
        <v>560</v>
      </c>
      <c r="C241" t="s">
        <v>562</v>
      </c>
      <c r="D241" t="s">
        <v>585</v>
      </c>
      <c r="E241" t="s">
        <v>705</v>
      </c>
      <c r="G241" t="s">
        <v>620</v>
      </c>
      <c r="H241" s="7" t="s">
        <v>870</v>
      </c>
      <c r="I241"/>
    </row>
    <row r="242" spans="1:10">
      <c r="A242" s="1" t="s">
        <v>87</v>
      </c>
      <c r="B242" t="s">
        <v>560</v>
      </c>
      <c r="C242" t="s">
        <v>562</v>
      </c>
      <c r="D242" t="s">
        <v>575</v>
      </c>
      <c r="E242" t="s">
        <v>780</v>
      </c>
      <c r="F242" t="s">
        <v>2121</v>
      </c>
      <c r="G242" t="s">
        <v>618</v>
      </c>
      <c r="H242" s="7" t="s">
        <v>871</v>
      </c>
      <c r="I242"/>
      <c r="J242" t="s">
        <v>2122</v>
      </c>
    </row>
    <row r="243" spans="1:10">
      <c r="A243" s="1" t="s">
        <v>453</v>
      </c>
      <c r="B243" t="s">
        <v>560</v>
      </c>
      <c r="C243" t="s">
        <v>562</v>
      </c>
      <c r="D243" t="s">
        <v>577</v>
      </c>
      <c r="E243" t="s">
        <v>615</v>
      </c>
      <c r="G243" t="s">
        <v>618</v>
      </c>
      <c r="H243" s="7" t="s">
        <v>872</v>
      </c>
      <c r="I243"/>
    </row>
    <row r="244" spans="1:10">
      <c r="A244" s="1" t="s">
        <v>454</v>
      </c>
      <c r="B244" t="s">
        <v>560</v>
      </c>
      <c r="C244" t="s">
        <v>562</v>
      </c>
      <c r="D244" t="s">
        <v>594</v>
      </c>
      <c r="E244" t="s">
        <v>702</v>
      </c>
      <c r="F244" t="s">
        <v>2110</v>
      </c>
      <c r="G244" t="s">
        <v>618</v>
      </c>
      <c r="H244" s="7" t="s">
        <v>873</v>
      </c>
      <c r="I244" s="59">
        <v>13.9</v>
      </c>
      <c r="J244">
        <v>1</v>
      </c>
    </row>
    <row r="245" spans="1:10">
      <c r="A245" s="1" t="s">
        <v>146</v>
      </c>
      <c r="B245" t="s">
        <v>560</v>
      </c>
      <c r="C245" t="s">
        <v>566</v>
      </c>
      <c r="D245" t="s">
        <v>577</v>
      </c>
      <c r="E245" t="s">
        <v>590</v>
      </c>
      <c r="G245" t="s">
        <v>618</v>
      </c>
      <c r="H245" s="7" t="s">
        <v>874</v>
      </c>
      <c r="I245"/>
    </row>
    <row r="246" spans="1:10">
      <c r="A246" s="1" t="s">
        <v>59</v>
      </c>
      <c r="B246" t="s">
        <v>560</v>
      </c>
      <c r="C246" t="s">
        <v>562</v>
      </c>
      <c r="D246" t="s">
        <v>577</v>
      </c>
      <c r="E246" t="s">
        <v>593</v>
      </c>
      <c r="G246" t="s">
        <v>618</v>
      </c>
      <c r="H246" s="7" t="s">
        <v>875</v>
      </c>
      <c r="I246"/>
    </row>
    <row r="247" spans="1:10">
      <c r="A247" s="1" t="s">
        <v>248</v>
      </c>
      <c r="B247" t="s">
        <v>560</v>
      </c>
      <c r="C247" t="s">
        <v>566</v>
      </c>
      <c r="D247" t="s">
        <v>579</v>
      </c>
      <c r="E247" t="s">
        <v>580</v>
      </c>
      <c r="G247" t="s">
        <v>618</v>
      </c>
      <c r="H247" s="7" t="s">
        <v>876</v>
      </c>
      <c r="I247"/>
    </row>
    <row r="248" spans="1:10">
      <c r="A248" s="1" t="s">
        <v>61</v>
      </c>
      <c r="B248" t="s">
        <v>560</v>
      </c>
      <c r="C248" t="s">
        <v>566</v>
      </c>
      <c r="D248" t="s">
        <v>577</v>
      </c>
      <c r="E248" t="s">
        <v>593</v>
      </c>
      <c r="G248" t="s">
        <v>618</v>
      </c>
      <c r="H248" s="7" t="s">
        <v>877</v>
      </c>
      <c r="I248"/>
    </row>
    <row r="249" spans="1:10">
      <c r="A249" s="1" t="s">
        <v>319</v>
      </c>
      <c r="B249" t="s">
        <v>560</v>
      </c>
      <c r="C249" t="s">
        <v>566</v>
      </c>
      <c r="D249" t="s">
        <v>569</v>
      </c>
      <c r="E249" t="s">
        <v>570</v>
      </c>
      <c r="G249" t="s">
        <v>618</v>
      </c>
      <c r="H249" s="7" t="s">
        <v>878</v>
      </c>
      <c r="I249"/>
    </row>
    <row r="250" spans="1:10">
      <c r="A250" s="1" t="s">
        <v>333</v>
      </c>
      <c r="B250" t="s">
        <v>560</v>
      </c>
      <c r="C250" t="s">
        <v>566</v>
      </c>
      <c r="D250" t="s">
        <v>579</v>
      </c>
      <c r="E250" t="s">
        <v>739</v>
      </c>
      <c r="G250" t="s">
        <v>618</v>
      </c>
      <c r="H250" s="7" t="s">
        <v>879</v>
      </c>
      <c r="I250"/>
    </row>
    <row r="251" spans="1:10">
      <c r="A251" s="1" t="s">
        <v>210</v>
      </c>
      <c r="B251" t="s">
        <v>560</v>
      </c>
      <c r="C251" t="s">
        <v>562</v>
      </c>
      <c r="D251" t="s">
        <v>569</v>
      </c>
      <c r="E251" t="s">
        <v>617</v>
      </c>
      <c r="G251" t="s">
        <v>618</v>
      </c>
      <c r="H251" s="7" t="s">
        <v>880</v>
      </c>
      <c r="I251"/>
    </row>
    <row r="252" spans="1:10">
      <c r="A252" s="1" t="s">
        <v>342</v>
      </c>
      <c r="B252" t="s">
        <v>560</v>
      </c>
      <c r="C252" t="s">
        <v>566</v>
      </c>
      <c r="D252" t="s">
        <v>573</v>
      </c>
      <c r="E252" t="s">
        <v>574</v>
      </c>
      <c r="G252" t="s">
        <v>618</v>
      </c>
      <c r="H252" s="7" t="s">
        <v>881</v>
      </c>
      <c r="I252"/>
    </row>
    <row r="253" spans="1:10">
      <c r="A253" s="1" t="s">
        <v>45</v>
      </c>
      <c r="B253" t="s">
        <v>560</v>
      </c>
      <c r="C253" t="s">
        <v>562</v>
      </c>
      <c r="D253" t="s">
        <v>577</v>
      </c>
      <c r="E253" t="s">
        <v>589</v>
      </c>
      <c r="G253" t="s">
        <v>620</v>
      </c>
      <c r="H253" s="7" t="s">
        <v>1194</v>
      </c>
      <c r="I253"/>
    </row>
    <row r="254" spans="1:10">
      <c r="A254" s="1" t="s">
        <v>455</v>
      </c>
      <c r="B254" t="s">
        <v>560</v>
      </c>
      <c r="C254" t="s">
        <v>566</v>
      </c>
      <c r="D254" t="s">
        <v>569</v>
      </c>
      <c r="E254" t="s">
        <v>824</v>
      </c>
      <c r="G254" t="s">
        <v>618</v>
      </c>
      <c r="H254" s="7" t="s">
        <v>882</v>
      </c>
      <c r="I254"/>
    </row>
    <row r="255" spans="1:10">
      <c r="A255" s="1" t="s">
        <v>456</v>
      </c>
      <c r="B255" t="s">
        <v>560</v>
      </c>
      <c r="C255" t="s">
        <v>566</v>
      </c>
      <c r="D255" t="s">
        <v>575</v>
      </c>
      <c r="E255" t="s">
        <v>883</v>
      </c>
      <c r="G255" t="s">
        <v>621</v>
      </c>
      <c r="H255" s="7" t="s">
        <v>884</v>
      </c>
      <c r="I255"/>
    </row>
    <row r="256" spans="1:10">
      <c r="A256" s="1" t="s">
        <v>205</v>
      </c>
      <c r="B256" t="s">
        <v>560</v>
      </c>
      <c r="C256" t="s">
        <v>562</v>
      </c>
      <c r="D256" t="s">
        <v>699</v>
      </c>
      <c r="E256" t="s">
        <v>761</v>
      </c>
      <c r="G256" t="s">
        <v>620</v>
      </c>
      <c r="H256" s="7" t="s">
        <v>885</v>
      </c>
      <c r="I256"/>
    </row>
    <row r="257" spans="1:9">
      <c r="A257" s="1" t="s">
        <v>457</v>
      </c>
      <c r="B257" t="s">
        <v>560</v>
      </c>
      <c r="C257" t="s">
        <v>566</v>
      </c>
      <c r="D257" t="s">
        <v>577</v>
      </c>
      <c r="E257" t="s">
        <v>608</v>
      </c>
      <c r="G257" t="s">
        <v>618</v>
      </c>
      <c r="H257" s="7" t="s">
        <v>886</v>
      </c>
      <c r="I257"/>
    </row>
    <row r="258" spans="1:9">
      <c r="A258" s="1" t="s">
        <v>122</v>
      </c>
      <c r="B258" t="s">
        <v>560</v>
      </c>
      <c r="C258" t="s">
        <v>566</v>
      </c>
      <c r="D258" t="s">
        <v>575</v>
      </c>
      <c r="E258" t="s">
        <v>718</v>
      </c>
      <c r="G258" t="s">
        <v>622</v>
      </c>
      <c r="H258" s="7" t="s">
        <v>887</v>
      </c>
      <c r="I258"/>
    </row>
    <row r="259" spans="1:9">
      <c r="A259" s="1" t="s">
        <v>9</v>
      </c>
      <c r="B259" t="s">
        <v>560</v>
      </c>
      <c r="C259" t="s">
        <v>562</v>
      </c>
      <c r="D259" t="s">
        <v>577</v>
      </c>
      <c r="E259" t="s">
        <v>589</v>
      </c>
      <c r="G259" t="s">
        <v>620</v>
      </c>
      <c r="H259" s="7" t="s">
        <v>888</v>
      </c>
      <c r="I259"/>
    </row>
    <row r="260" spans="1:9">
      <c r="A260" s="1" t="s">
        <v>370</v>
      </c>
      <c r="B260" t="s">
        <v>560</v>
      </c>
      <c r="C260" t="s">
        <v>566</v>
      </c>
      <c r="D260" t="s">
        <v>597</v>
      </c>
      <c r="E260" t="s">
        <v>890</v>
      </c>
      <c r="G260" t="s">
        <v>616</v>
      </c>
      <c r="H260" s="7" t="s">
        <v>889</v>
      </c>
      <c r="I260"/>
    </row>
    <row r="261" spans="1:9">
      <c r="A261" s="1" t="s">
        <v>240</v>
      </c>
      <c r="B261" t="s">
        <v>560</v>
      </c>
      <c r="C261" t="s">
        <v>566</v>
      </c>
      <c r="D261" t="s">
        <v>569</v>
      </c>
      <c r="E261" t="s">
        <v>892</v>
      </c>
      <c r="G261" t="s">
        <v>618</v>
      </c>
      <c r="H261" s="7" t="s">
        <v>891</v>
      </c>
      <c r="I261"/>
    </row>
    <row r="262" spans="1:9">
      <c r="A262" s="1" t="s">
        <v>242</v>
      </c>
      <c r="B262" t="s">
        <v>560</v>
      </c>
      <c r="C262" t="s">
        <v>566</v>
      </c>
      <c r="D262" t="s">
        <v>573</v>
      </c>
      <c r="E262" t="s">
        <v>574</v>
      </c>
      <c r="G262" t="s">
        <v>618</v>
      </c>
      <c r="H262" s="7" t="s">
        <v>893</v>
      </c>
      <c r="I262"/>
    </row>
    <row r="263" spans="1:9">
      <c r="A263" s="1" t="s">
        <v>458</v>
      </c>
      <c r="B263" t="s">
        <v>560</v>
      </c>
      <c r="C263" t="s">
        <v>562</v>
      </c>
      <c r="D263" t="s">
        <v>569</v>
      </c>
      <c r="E263" t="s">
        <v>612</v>
      </c>
      <c r="G263" t="s">
        <v>616</v>
      </c>
      <c r="H263" s="7" t="s">
        <v>894</v>
      </c>
      <c r="I263"/>
    </row>
    <row r="264" spans="1:9">
      <c r="A264" s="1" t="s">
        <v>234</v>
      </c>
      <c r="B264" t="s">
        <v>560</v>
      </c>
      <c r="C264" t="s">
        <v>566</v>
      </c>
      <c r="D264" t="s">
        <v>573</v>
      </c>
      <c r="E264" t="s">
        <v>574</v>
      </c>
      <c r="G264" t="s">
        <v>618</v>
      </c>
      <c r="H264" s="7" t="s">
        <v>895</v>
      </c>
      <c r="I264"/>
    </row>
    <row r="265" spans="1:9">
      <c r="A265" s="1" t="s">
        <v>297</v>
      </c>
      <c r="B265" t="s">
        <v>560</v>
      </c>
      <c r="C265" t="s">
        <v>562</v>
      </c>
      <c r="D265" t="s">
        <v>699</v>
      </c>
      <c r="E265" t="s">
        <v>698</v>
      </c>
      <c r="G265" t="s">
        <v>620</v>
      </c>
      <c r="H265" s="7" t="s">
        <v>896</v>
      </c>
      <c r="I265"/>
    </row>
    <row r="266" spans="1:9">
      <c r="A266" s="1" t="s">
        <v>298</v>
      </c>
      <c r="B266" t="s">
        <v>560</v>
      </c>
      <c r="C266" t="s">
        <v>562</v>
      </c>
      <c r="D266" t="s">
        <v>577</v>
      </c>
      <c r="E266" t="s">
        <v>593</v>
      </c>
      <c r="G266" t="s">
        <v>618</v>
      </c>
      <c r="H266" s="7" t="s">
        <v>897</v>
      </c>
      <c r="I266"/>
    </row>
    <row r="267" spans="1:9">
      <c r="A267" s="1" t="s">
        <v>10</v>
      </c>
      <c r="B267" t="s">
        <v>560</v>
      </c>
      <c r="C267" t="s">
        <v>562</v>
      </c>
      <c r="D267" t="s">
        <v>2493</v>
      </c>
      <c r="E267" t="s">
        <v>2494</v>
      </c>
      <c r="F267" t="s">
        <v>2473</v>
      </c>
      <c r="G267" t="s">
        <v>618</v>
      </c>
      <c r="H267" s="7" t="s">
        <v>898</v>
      </c>
      <c r="I267" s="139">
        <v>22470</v>
      </c>
    </row>
    <row r="268" spans="1:9">
      <c r="A268" s="1" t="s">
        <v>459</v>
      </c>
      <c r="B268" t="s">
        <v>560</v>
      </c>
      <c r="C268" t="s">
        <v>562</v>
      </c>
      <c r="D268" t="s">
        <v>699</v>
      </c>
      <c r="E268" t="s">
        <v>704</v>
      </c>
      <c r="G268" t="s">
        <v>618</v>
      </c>
      <c r="H268" s="7" t="s">
        <v>899</v>
      </c>
      <c r="I268"/>
    </row>
    <row r="269" spans="1:9">
      <c r="A269" s="1" t="s">
        <v>177</v>
      </c>
      <c r="B269" t="s">
        <v>560</v>
      </c>
      <c r="C269" t="s">
        <v>566</v>
      </c>
      <c r="D269" t="s">
        <v>585</v>
      </c>
      <c r="E269" t="s">
        <v>586</v>
      </c>
      <c r="G269" t="s">
        <v>618</v>
      </c>
      <c r="H269" s="7" t="s">
        <v>900</v>
      </c>
      <c r="I269"/>
    </row>
    <row r="270" spans="1:9">
      <c r="A270" s="1" t="s">
        <v>196</v>
      </c>
      <c r="B270" t="s">
        <v>560</v>
      </c>
      <c r="C270" t="s">
        <v>566</v>
      </c>
      <c r="D270" t="s">
        <v>573</v>
      </c>
      <c r="E270" t="s">
        <v>574</v>
      </c>
      <c r="G270" t="s">
        <v>618</v>
      </c>
      <c r="H270" s="7" t="s">
        <v>901</v>
      </c>
      <c r="I270"/>
    </row>
    <row r="271" spans="1:9">
      <c r="A271" s="1" t="s">
        <v>194</v>
      </c>
      <c r="B271" t="s">
        <v>560</v>
      </c>
      <c r="C271" t="s">
        <v>562</v>
      </c>
      <c r="D271" t="s">
        <v>577</v>
      </c>
      <c r="E271" t="s">
        <v>593</v>
      </c>
      <c r="G271" t="s">
        <v>618</v>
      </c>
      <c r="H271" s="7">
        <v>554</v>
      </c>
      <c r="I271"/>
    </row>
    <row r="272" spans="1:9" ht="17.399999999999999" customHeight="1">
      <c r="A272" s="1" t="s">
        <v>106</v>
      </c>
      <c r="B272" t="s">
        <v>560</v>
      </c>
      <c r="C272" t="s">
        <v>562</v>
      </c>
      <c r="D272" t="s">
        <v>577</v>
      </c>
      <c r="E272" t="s">
        <v>614</v>
      </c>
      <c r="F272" s="37" t="s">
        <v>2464</v>
      </c>
      <c r="G272" t="s">
        <v>618</v>
      </c>
      <c r="H272" s="7" t="s">
        <v>902</v>
      </c>
      <c r="I272" s="139">
        <v>112.04</v>
      </c>
    </row>
    <row r="273" spans="1:10">
      <c r="A273" s="1" t="s">
        <v>460</v>
      </c>
      <c r="B273" t="s">
        <v>560</v>
      </c>
      <c r="C273" t="s">
        <v>562</v>
      </c>
      <c r="D273" t="s">
        <v>573</v>
      </c>
      <c r="E273" t="s">
        <v>711</v>
      </c>
      <c r="G273" t="s">
        <v>620</v>
      </c>
      <c r="H273" s="7" t="s">
        <v>903</v>
      </c>
      <c r="I273"/>
    </row>
    <row r="274" spans="1:10">
      <c r="A274" s="1" t="s">
        <v>156</v>
      </c>
      <c r="B274" t="s">
        <v>560</v>
      </c>
      <c r="C274" t="s">
        <v>562</v>
      </c>
      <c r="D274" t="s">
        <v>577</v>
      </c>
      <c r="E274" t="s">
        <v>593</v>
      </c>
      <c r="G274" t="s">
        <v>618</v>
      </c>
      <c r="H274" s="7" t="s">
        <v>904</v>
      </c>
      <c r="I274"/>
    </row>
    <row r="275" spans="1:10">
      <c r="A275" s="1" t="s">
        <v>100</v>
      </c>
      <c r="B275" t="s">
        <v>560</v>
      </c>
      <c r="C275" t="s">
        <v>566</v>
      </c>
      <c r="D275" t="s">
        <v>577</v>
      </c>
      <c r="E275" t="s">
        <v>593</v>
      </c>
      <c r="G275" t="s">
        <v>618</v>
      </c>
      <c r="H275" s="7" t="s">
        <v>905</v>
      </c>
      <c r="I275"/>
    </row>
    <row r="276" spans="1:10">
      <c r="A276" s="1" t="s">
        <v>325</v>
      </c>
      <c r="B276" t="s">
        <v>560</v>
      </c>
      <c r="C276" t="s">
        <v>566</v>
      </c>
      <c r="D276" t="s">
        <v>594</v>
      </c>
      <c r="E276" t="s">
        <v>595</v>
      </c>
      <c r="F276" t="s">
        <v>2114</v>
      </c>
      <c r="G276" t="s">
        <v>618</v>
      </c>
      <c r="H276" s="7" t="s">
        <v>906</v>
      </c>
      <c r="I276" s="59">
        <v>48.75</v>
      </c>
      <c r="J276">
        <v>1</v>
      </c>
    </row>
    <row r="277" spans="1:10">
      <c r="A277" s="1" t="s">
        <v>360</v>
      </c>
      <c r="B277" t="s">
        <v>560</v>
      </c>
      <c r="C277" t="s">
        <v>566</v>
      </c>
      <c r="D277" t="s">
        <v>577</v>
      </c>
      <c r="E277" t="s">
        <v>593</v>
      </c>
      <c r="G277" t="s">
        <v>618</v>
      </c>
      <c r="H277" s="7" t="s">
        <v>907</v>
      </c>
      <c r="I277"/>
    </row>
    <row r="278" spans="1:10">
      <c r="A278" s="1" t="s">
        <v>461</v>
      </c>
      <c r="B278" t="s">
        <v>560</v>
      </c>
      <c r="C278" t="s">
        <v>566</v>
      </c>
      <c r="D278" t="s">
        <v>577</v>
      </c>
      <c r="E278" t="s">
        <v>593</v>
      </c>
      <c r="G278" t="s">
        <v>618</v>
      </c>
      <c r="H278" s="7" t="s">
        <v>908</v>
      </c>
      <c r="I278"/>
    </row>
    <row r="279" spans="1:10">
      <c r="A279" s="1" t="s">
        <v>462</v>
      </c>
      <c r="B279" t="s">
        <v>568</v>
      </c>
      <c r="C279" t="s">
        <v>566</v>
      </c>
      <c r="D279" s="8" t="s">
        <v>567</v>
      </c>
      <c r="E279" s="8" t="s">
        <v>567</v>
      </c>
      <c r="F279" s="8"/>
      <c r="G279" s="8" t="s">
        <v>654</v>
      </c>
      <c r="H279" s="9" t="s">
        <v>654</v>
      </c>
      <c r="I279"/>
    </row>
    <row r="280" spans="1:10">
      <c r="A280" s="1" t="s">
        <v>62</v>
      </c>
      <c r="B280" t="s">
        <v>560</v>
      </c>
      <c r="C280" t="s">
        <v>562</v>
      </c>
      <c r="D280" t="s">
        <v>577</v>
      </c>
      <c r="E280" t="s">
        <v>593</v>
      </c>
      <c r="G280" t="s">
        <v>618</v>
      </c>
      <c r="H280" s="7" t="s">
        <v>909</v>
      </c>
      <c r="I280"/>
    </row>
    <row r="281" spans="1:10">
      <c r="A281" s="1" t="s">
        <v>463</v>
      </c>
      <c r="B281" t="s">
        <v>560</v>
      </c>
      <c r="C281" t="s">
        <v>566</v>
      </c>
      <c r="D281" t="s">
        <v>573</v>
      </c>
      <c r="E281" t="s">
        <v>800</v>
      </c>
      <c r="G281" t="s">
        <v>618</v>
      </c>
      <c r="H281" s="7" t="s">
        <v>910</v>
      </c>
      <c r="I281"/>
    </row>
    <row r="282" spans="1:10">
      <c r="A282" s="1" t="s">
        <v>126</v>
      </c>
      <c r="B282" t="s">
        <v>560</v>
      </c>
      <c r="C282" t="s">
        <v>562</v>
      </c>
      <c r="D282" t="s">
        <v>577</v>
      </c>
      <c r="E282" t="s">
        <v>755</v>
      </c>
      <c r="G282" t="s">
        <v>622</v>
      </c>
      <c r="H282" s="7" t="s">
        <v>911</v>
      </c>
      <c r="I282"/>
    </row>
    <row r="283" spans="1:10">
      <c r="A283" s="1" t="s">
        <v>178</v>
      </c>
      <c r="B283" t="s">
        <v>560</v>
      </c>
      <c r="C283" t="s">
        <v>566</v>
      </c>
      <c r="D283" t="s">
        <v>577</v>
      </c>
      <c r="E283" t="s">
        <v>593</v>
      </c>
      <c r="G283" t="s">
        <v>618</v>
      </c>
      <c r="H283" s="7" t="s">
        <v>912</v>
      </c>
      <c r="I283"/>
    </row>
    <row r="284" spans="1:10">
      <c r="A284" s="1" t="s">
        <v>86</v>
      </c>
      <c r="B284" t="s">
        <v>560</v>
      </c>
      <c r="C284" t="s">
        <v>562</v>
      </c>
      <c r="D284" t="s">
        <v>594</v>
      </c>
      <c r="E284" t="s">
        <v>702</v>
      </c>
      <c r="F284" t="s">
        <v>2123</v>
      </c>
      <c r="G284" t="s">
        <v>618</v>
      </c>
      <c r="H284" s="7" t="s">
        <v>913</v>
      </c>
      <c r="I284" s="59">
        <v>297.05</v>
      </c>
      <c r="J284">
        <v>1</v>
      </c>
    </row>
    <row r="285" spans="1:10">
      <c r="A285" s="1" t="s">
        <v>306</v>
      </c>
      <c r="B285" t="s">
        <v>560</v>
      </c>
      <c r="C285" t="s">
        <v>562</v>
      </c>
      <c r="D285" t="s">
        <v>575</v>
      </c>
      <c r="E285" t="s">
        <v>883</v>
      </c>
      <c r="G285" t="s">
        <v>618</v>
      </c>
      <c r="H285" s="7" t="s">
        <v>914</v>
      </c>
      <c r="I285"/>
    </row>
    <row r="286" spans="1:10">
      <c r="A286" s="1" t="s">
        <v>464</v>
      </c>
      <c r="B286" t="s">
        <v>560</v>
      </c>
      <c r="C286" t="s">
        <v>566</v>
      </c>
      <c r="D286" t="s">
        <v>577</v>
      </c>
      <c r="E286" t="s">
        <v>593</v>
      </c>
      <c r="G286" t="s">
        <v>618</v>
      </c>
      <c r="H286" s="7" t="s">
        <v>915</v>
      </c>
      <c r="I286"/>
    </row>
    <row r="287" spans="1:10">
      <c r="A287" s="1" t="s">
        <v>219</v>
      </c>
      <c r="B287" t="s">
        <v>560</v>
      </c>
      <c r="C287" t="s">
        <v>562</v>
      </c>
      <c r="D287" t="s">
        <v>575</v>
      </c>
      <c r="E287" t="s">
        <v>780</v>
      </c>
      <c r="F287" t="s">
        <v>2124</v>
      </c>
      <c r="G287" t="s">
        <v>618</v>
      </c>
      <c r="H287" s="7" t="s">
        <v>916</v>
      </c>
      <c r="I287"/>
    </row>
    <row r="288" spans="1:10">
      <c r="A288" s="1" t="s">
        <v>339</v>
      </c>
      <c r="B288" t="s">
        <v>560</v>
      </c>
      <c r="C288" t="s">
        <v>566</v>
      </c>
      <c r="D288" t="s">
        <v>579</v>
      </c>
      <c r="E288" t="s">
        <v>580</v>
      </c>
      <c r="G288" t="s">
        <v>618</v>
      </c>
      <c r="H288" s="7" t="s">
        <v>917</v>
      </c>
      <c r="I288"/>
    </row>
    <row r="289" spans="1:10" ht="17.399999999999999" customHeight="1">
      <c r="A289" s="1" t="s">
        <v>465</v>
      </c>
      <c r="B289" t="s">
        <v>560</v>
      </c>
      <c r="C289" t="s">
        <v>566</v>
      </c>
      <c r="D289" t="s">
        <v>577</v>
      </c>
      <c r="E289" t="s">
        <v>609</v>
      </c>
      <c r="F289" s="37" t="s">
        <v>2431</v>
      </c>
      <c r="G289" t="s">
        <v>621</v>
      </c>
      <c r="H289" s="7" t="s">
        <v>918</v>
      </c>
      <c r="I289"/>
      <c r="J289">
        <v>1</v>
      </c>
    </row>
    <row r="290" spans="1:10">
      <c r="A290" s="1" t="s">
        <v>466</v>
      </c>
      <c r="B290" t="s">
        <v>560</v>
      </c>
      <c r="C290" t="s">
        <v>566</v>
      </c>
      <c r="D290" t="s">
        <v>579</v>
      </c>
      <c r="E290" t="s">
        <v>603</v>
      </c>
      <c r="G290" t="s">
        <v>920</v>
      </c>
      <c r="H290" s="7" t="s">
        <v>919</v>
      </c>
      <c r="I290"/>
    </row>
    <row r="291" spans="1:10">
      <c r="A291" s="1" t="s">
        <v>467</v>
      </c>
      <c r="B291" t="s">
        <v>568</v>
      </c>
      <c r="C291" t="s">
        <v>566</v>
      </c>
      <c r="D291" s="8" t="s">
        <v>567</v>
      </c>
      <c r="E291" s="8" t="s">
        <v>567</v>
      </c>
      <c r="F291" s="8"/>
      <c r="G291" s="8" t="s">
        <v>654</v>
      </c>
      <c r="H291" s="9" t="s">
        <v>654</v>
      </c>
      <c r="I291"/>
    </row>
    <row r="292" spans="1:10">
      <c r="A292" s="1" t="s">
        <v>347</v>
      </c>
      <c r="B292" t="s">
        <v>560</v>
      </c>
      <c r="C292" t="s">
        <v>562</v>
      </c>
      <c r="D292" t="s">
        <v>594</v>
      </c>
      <c r="E292" t="s">
        <v>595</v>
      </c>
      <c r="F292" t="s">
        <v>2125</v>
      </c>
      <c r="G292" t="s">
        <v>618</v>
      </c>
      <c r="H292" s="7" t="s">
        <v>921</v>
      </c>
      <c r="I292" s="59">
        <v>576.28</v>
      </c>
      <c r="J292">
        <v>1</v>
      </c>
    </row>
    <row r="293" spans="1:10">
      <c r="A293" s="1" t="s">
        <v>468</v>
      </c>
      <c r="B293" t="s">
        <v>560</v>
      </c>
      <c r="C293" t="s">
        <v>566</v>
      </c>
      <c r="D293" t="s">
        <v>577</v>
      </c>
      <c r="E293" t="s">
        <v>609</v>
      </c>
      <c r="F293" t="s">
        <v>2432</v>
      </c>
      <c r="G293" t="s">
        <v>618</v>
      </c>
      <c r="H293" s="7" t="s">
        <v>922</v>
      </c>
      <c r="I293">
        <v>12.95</v>
      </c>
      <c r="J293">
        <v>1</v>
      </c>
    </row>
    <row r="294" spans="1:10">
      <c r="A294" s="1" t="s">
        <v>93</v>
      </c>
      <c r="B294" t="s">
        <v>560</v>
      </c>
      <c r="C294" t="s">
        <v>562</v>
      </c>
      <c r="D294" t="s">
        <v>577</v>
      </c>
      <c r="E294" t="s">
        <v>593</v>
      </c>
      <c r="G294" t="s">
        <v>618</v>
      </c>
      <c r="H294" s="7" t="s">
        <v>923</v>
      </c>
      <c r="I294"/>
    </row>
    <row r="295" spans="1:10">
      <c r="A295" s="1" t="s">
        <v>52</v>
      </c>
      <c r="B295" t="s">
        <v>560</v>
      </c>
      <c r="C295" t="s">
        <v>566</v>
      </c>
      <c r="D295" t="s">
        <v>577</v>
      </c>
      <c r="E295" t="s">
        <v>593</v>
      </c>
      <c r="G295" t="s">
        <v>618</v>
      </c>
      <c r="H295" s="7" t="s">
        <v>924</v>
      </c>
      <c r="I295"/>
    </row>
    <row r="296" spans="1:10">
      <c r="A296" s="1" t="s">
        <v>344</v>
      </c>
      <c r="B296" t="s">
        <v>560</v>
      </c>
      <c r="C296" t="s">
        <v>566</v>
      </c>
      <c r="D296" t="s">
        <v>597</v>
      </c>
      <c r="E296" t="s">
        <v>890</v>
      </c>
      <c r="G296" t="s">
        <v>621</v>
      </c>
      <c r="H296" s="7" t="s">
        <v>925</v>
      </c>
      <c r="I296"/>
    </row>
    <row r="297" spans="1:10">
      <c r="A297" s="1" t="s">
        <v>469</v>
      </c>
      <c r="B297" t="s">
        <v>560</v>
      </c>
      <c r="C297" t="s">
        <v>562</v>
      </c>
      <c r="D297" t="s">
        <v>575</v>
      </c>
      <c r="E297" t="s">
        <v>731</v>
      </c>
      <c r="G297" t="s">
        <v>622</v>
      </c>
      <c r="H297" s="7" t="s">
        <v>926</v>
      </c>
      <c r="I297"/>
    </row>
    <row r="298" spans="1:10">
      <c r="A298" s="1" t="s">
        <v>470</v>
      </c>
      <c r="B298" t="s">
        <v>560</v>
      </c>
      <c r="C298" t="s">
        <v>566</v>
      </c>
      <c r="D298" t="s">
        <v>573</v>
      </c>
      <c r="E298" t="s">
        <v>928</v>
      </c>
      <c r="G298" t="s">
        <v>621</v>
      </c>
      <c r="H298" s="7" t="s">
        <v>927</v>
      </c>
      <c r="I298"/>
    </row>
    <row r="299" spans="1:10">
      <c r="A299" s="1" t="s">
        <v>163</v>
      </c>
      <c r="B299" t="s">
        <v>560</v>
      </c>
      <c r="C299" t="s">
        <v>562</v>
      </c>
      <c r="D299" t="s">
        <v>573</v>
      </c>
      <c r="E299" t="s">
        <v>591</v>
      </c>
      <c r="G299" t="s">
        <v>620</v>
      </c>
      <c r="H299" s="7" t="s">
        <v>929</v>
      </c>
      <c r="I299"/>
    </row>
    <row r="300" spans="1:10">
      <c r="A300" s="1" t="s">
        <v>64</v>
      </c>
      <c r="B300" t="s">
        <v>560</v>
      </c>
      <c r="C300" t="s">
        <v>562</v>
      </c>
      <c r="D300" t="s">
        <v>577</v>
      </c>
      <c r="E300" t="s">
        <v>613</v>
      </c>
      <c r="G300" t="s">
        <v>618</v>
      </c>
      <c r="H300" s="7" t="s">
        <v>930</v>
      </c>
      <c r="I300"/>
    </row>
    <row r="301" spans="1:10">
      <c r="A301" s="1" t="s">
        <v>471</v>
      </c>
      <c r="B301" t="s">
        <v>560</v>
      </c>
      <c r="C301" t="s">
        <v>566</v>
      </c>
      <c r="D301" t="s">
        <v>569</v>
      </c>
      <c r="E301" t="s">
        <v>617</v>
      </c>
      <c r="G301" t="s">
        <v>932</v>
      </c>
      <c r="H301" s="7" t="s">
        <v>931</v>
      </c>
      <c r="I301"/>
    </row>
    <row r="302" spans="1:10">
      <c r="A302" s="1" t="s">
        <v>472</v>
      </c>
      <c r="B302" t="s">
        <v>560</v>
      </c>
      <c r="C302" t="s">
        <v>566</v>
      </c>
      <c r="D302" t="s">
        <v>573</v>
      </c>
      <c r="E302" t="s">
        <v>934</v>
      </c>
      <c r="G302" t="s">
        <v>618</v>
      </c>
      <c r="H302" s="7" t="s">
        <v>933</v>
      </c>
      <c r="I302"/>
    </row>
    <row r="303" spans="1:10">
      <c r="A303" s="1" t="s">
        <v>473</v>
      </c>
      <c r="B303" t="s">
        <v>560</v>
      </c>
      <c r="C303" t="s">
        <v>566</v>
      </c>
      <c r="D303" t="s">
        <v>575</v>
      </c>
      <c r="E303" t="s">
        <v>731</v>
      </c>
      <c r="G303" t="s">
        <v>618</v>
      </c>
      <c r="H303" s="7" t="s">
        <v>935</v>
      </c>
      <c r="I303"/>
    </row>
    <row r="304" spans="1:10">
      <c r="A304" s="1" t="s">
        <v>193</v>
      </c>
      <c r="B304" t="s">
        <v>560</v>
      </c>
      <c r="C304" t="s">
        <v>562</v>
      </c>
      <c r="D304" t="s">
        <v>569</v>
      </c>
      <c r="E304" t="s">
        <v>733</v>
      </c>
      <c r="G304" t="s">
        <v>618</v>
      </c>
      <c r="H304" s="7" t="s">
        <v>936</v>
      </c>
      <c r="I304"/>
    </row>
    <row r="305" spans="1:10">
      <c r="A305" s="1" t="s">
        <v>239</v>
      </c>
      <c r="B305" t="s">
        <v>560</v>
      </c>
      <c r="C305" t="s">
        <v>566</v>
      </c>
      <c r="D305" t="s">
        <v>579</v>
      </c>
      <c r="E305" t="s">
        <v>580</v>
      </c>
      <c r="G305" t="s">
        <v>621</v>
      </c>
      <c r="H305" s="7" t="s">
        <v>937</v>
      </c>
      <c r="I305"/>
    </row>
    <row r="306" spans="1:10">
      <c r="A306" s="1" t="s">
        <v>474</v>
      </c>
      <c r="B306" t="s">
        <v>560</v>
      </c>
      <c r="C306" t="s">
        <v>566</v>
      </c>
      <c r="D306" t="s">
        <v>579</v>
      </c>
      <c r="E306" t="s">
        <v>580</v>
      </c>
      <c r="G306" t="s">
        <v>618</v>
      </c>
      <c r="H306" s="7" t="s">
        <v>938</v>
      </c>
      <c r="I306"/>
    </row>
    <row r="307" spans="1:10">
      <c r="A307" s="1" t="s">
        <v>236</v>
      </c>
      <c r="B307" t="s">
        <v>560</v>
      </c>
      <c r="C307" t="s">
        <v>566</v>
      </c>
      <c r="D307" t="s">
        <v>579</v>
      </c>
      <c r="E307" t="s">
        <v>939</v>
      </c>
      <c r="G307" t="s">
        <v>620</v>
      </c>
      <c r="H307" s="7">
        <v>546</v>
      </c>
      <c r="I307"/>
    </row>
    <row r="308" spans="1:10">
      <c r="A308" s="1" t="s">
        <v>263</v>
      </c>
      <c r="B308" t="s">
        <v>560</v>
      </c>
      <c r="C308" t="s">
        <v>566</v>
      </c>
      <c r="D308" t="s">
        <v>575</v>
      </c>
      <c r="E308" t="s">
        <v>731</v>
      </c>
      <c r="G308" t="s">
        <v>618</v>
      </c>
      <c r="H308" s="7" t="s">
        <v>940</v>
      </c>
      <c r="I308"/>
    </row>
    <row r="309" spans="1:10">
      <c r="A309" s="1" t="s">
        <v>475</v>
      </c>
      <c r="B309" t="s">
        <v>560</v>
      </c>
      <c r="C309" t="s">
        <v>566</v>
      </c>
      <c r="D309" t="s">
        <v>573</v>
      </c>
      <c r="E309" t="s">
        <v>721</v>
      </c>
      <c r="G309" t="s">
        <v>621</v>
      </c>
      <c r="H309" s="7" t="s">
        <v>941</v>
      </c>
      <c r="I309"/>
    </row>
    <row r="310" spans="1:10">
      <c r="A310" s="1" t="s">
        <v>303</v>
      </c>
      <c r="B310" t="s">
        <v>560</v>
      </c>
      <c r="C310" t="s">
        <v>566</v>
      </c>
      <c r="D310" t="s">
        <v>607</v>
      </c>
      <c r="E310" t="s">
        <v>723</v>
      </c>
      <c r="G310" t="s">
        <v>618</v>
      </c>
      <c r="H310" s="7" t="s">
        <v>942</v>
      </c>
      <c r="I310"/>
    </row>
    <row r="311" spans="1:10">
      <c r="A311" s="1" t="s">
        <v>113</v>
      </c>
      <c r="B311" t="s">
        <v>560</v>
      </c>
      <c r="C311" t="s">
        <v>566</v>
      </c>
      <c r="D311" t="s">
        <v>585</v>
      </c>
      <c r="E311" t="s">
        <v>586</v>
      </c>
      <c r="G311" t="s">
        <v>618</v>
      </c>
      <c r="H311" s="7" t="s">
        <v>943</v>
      </c>
      <c r="I311"/>
    </row>
    <row r="312" spans="1:10">
      <c r="A312" s="1" t="s">
        <v>476</v>
      </c>
      <c r="B312" t="s">
        <v>568</v>
      </c>
      <c r="C312" t="s">
        <v>566</v>
      </c>
      <c r="D312" s="8" t="s">
        <v>567</v>
      </c>
      <c r="E312" s="8" t="s">
        <v>567</v>
      </c>
      <c r="F312" s="8"/>
      <c r="G312" s="8" t="s">
        <v>654</v>
      </c>
      <c r="H312" s="9" t="s">
        <v>654</v>
      </c>
      <c r="I312"/>
    </row>
    <row r="313" spans="1:10">
      <c r="A313" s="1" t="s">
        <v>149</v>
      </c>
      <c r="B313" t="s">
        <v>560</v>
      </c>
      <c r="C313" t="s">
        <v>562</v>
      </c>
      <c r="D313" t="s">
        <v>585</v>
      </c>
      <c r="E313" t="s">
        <v>586</v>
      </c>
      <c r="G313" t="s">
        <v>620</v>
      </c>
      <c r="H313" s="7" t="s">
        <v>944</v>
      </c>
      <c r="I313"/>
    </row>
    <row r="314" spans="1:10">
      <c r="A314" s="1" t="s">
        <v>153</v>
      </c>
      <c r="B314" t="s">
        <v>560</v>
      </c>
      <c r="C314" t="s">
        <v>566</v>
      </c>
      <c r="D314" t="s">
        <v>579</v>
      </c>
      <c r="E314" t="s">
        <v>946</v>
      </c>
      <c r="G314" t="s">
        <v>618</v>
      </c>
      <c r="H314" s="7" t="s">
        <v>945</v>
      </c>
      <c r="I314"/>
    </row>
    <row r="315" spans="1:10">
      <c r="A315" s="1" t="s">
        <v>477</v>
      </c>
      <c r="B315" t="s">
        <v>560</v>
      </c>
      <c r="C315" t="s">
        <v>566</v>
      </c>
      <c r="D315" t="s">
        <v>569</v>
      </c>
      <c r="E315" t="s">
        <v>572</v>
      </c>
      <c r="G315" t="s">
        <v>618</v>
      </c>
      <c r="H315" s="7" t="s">
        <v>947</v>
      </c>
      <c r="I315"/>
    </row>
    <row r="316" spans="1:10">
      <c r="A316" s="1" t="s">
        <v>478</v>
      </c>
      <c r="B316" t="s">
        <v>560</v>
      </c>
      <c r="C316" t="s">
        <v>566</v>
      </c>
      <c r="D316" t="s">
        <v>577</v>
      </c>
      <c r="E316" t="s">
        <v>609</v>
      </c>
      <c r="F316" t="s">
        <v>2433</v>
      </c>
      <c r="G316" t="s">
        <v>618</v>
      </c>
      <c r="H316" s="7" t="s">
        <v>948</v>
      </c>
      <c r="I316">
        <v>5.26</v>
      </c>
      <c r="J316">
        <v>1</v>
      </c>
    </row>
    <row r="317" spans="1:10">
      <c r="A317" s="1" t="s">
        <v>479</v>
      </c>
      <c r="B317" t="s">
        <v>560</v>
      </c>
      <c r="C317" t="s">
        <v>562</v>
      </c>
      <c r="D317" t="s">
        <v>607</v>
      </c>
      <c r="E317" t="s">
        <v>950</v>
      </c>
      <c r="G317" t="s">
        <v>618</v>
      </c>
      <c r="H317" s="7" t="s">
        <v>949</v>
      </c>
      <c r="I317"/>
    </row>
    <row r="318" spans="1:10">
      <c r="A318" s="1" t="s">
        <v>172</v>
      </c>
      <c r="B318" t="s">
        <v>560</v>
      </c>
      <c r="C318" t="s">
        <v>562</v>
      </c>
      <c r="D318" t="s">
        <v>573</v>
      </c>
      <c r="E318" t="s">
        <v>952</v>
      </c>
      <c r="G318" t="s">
        <v>618</v>
      </c>
      <c r="H318" s="7" t="s">
        <v>951</v>
      </c>
      <c r="I318"/>
    </row>
    <row r="319" spans="1:10">
      <c r="A319" s="1" t="s">
        <v>480</v>
      </c>
      <c r="B319" t="s">
        <v>560</v>
      </c>
      <c r="C319" t="s">
        <v>562</v>
      </c>
      <c r="D319" t="s">
        <v>699</v>
      </c>
      <c r="E319" t="s">
        <v>728</v>
      </c>
      <c r="G319" t="s">
        <v>620</v>
      </c>
      <c r="H319" s="7" t="s">
        <v>953</v>
      </c>
      <c r="I319"/>
    </row>
    <row r="320" spans="1:10">
      <c r="A320" s="1" t="s">
        <v>481</v>
      </c>
      <c r="B320" t="s">
        <v>560</v>
      </c>
      <c r="C320" t="s">
        <v>562</v>
      </c>
      <c r="D320" t="s">
        <v>569</v>
      </c>
      <c r="E320" t="s">
        <v>587</v>
      </c>
      <c r="G320" t="s">
        <v>618</v>
      </c>
      <c r="H320" s="7" t="s">
        <v>954</v>
      </c>
      <c r="I320"/>
    </row>
    <row r="321" spans="1:10">
      <c r="A321" s="1" t="s">
        <v>166</v>
      </c>
      <c r="B321" t="s">
        <v>560</v>
      </c>
      <c r="C321" t="s">
        <v>562</v>
      </c>
      <c r="D321" t="s">
        <v>569</v>
      </c>
      <c r="E321" t="s">
        <v>587</v>
      </c>
      <c r="G321" t="s">
        <v>618</v>
      </c>
      <c r="H321" s="7" t="s">
        <v>955</v>
      </c>
      <c r="I321"/>
    </row>
    <row r="322" spans="1:10">
      <c r="A322" s="1" t="s">
        <v>482</v>
      </c>
      <c r="B322" t="s">
        <v>568</v>
      </c>
      <c r="C322" t="s">
        <v>566</v>
      </c>
      <c r="D322" s="8" t="s">
        <v>567</v>
      </c>
      <c r="E322" s="8" t="s">
        <v>567</v>
      </c>
      <c r="F322" s="8"/>
      <c r="G322" s="8" t="s">
        <v>654</v>
      </c>
      <c r="H322" s="9" t="s">
        <v>654</v>
      </c>
      <c r="I322"/>
    </row>
    <row r="323" spans="1:10">
      <c r="A323" s="1" t="s">
        <v>483</v>
      </c>
      <c r="B323" t="s">
        <v>560</v>
      </c>
      <c r="C323" t="s">
        <v>562</v>
      </c>
      <c r="D323" t="s">
        <v>699</v>
      </c>
      <c r="E323" t="s">
        <v>957</v>
      </c>
      <c r="G323" t="s">
        <v>618</v>
      </c>
      <c r="H323" s="7" t="s">
        <v>956</v>
      </c>
      <c r="I323"/>
    </row>
    <row r="324" spans="1:10">
      <c r="A324" s="1" t="s">
        <v>103</v>
      </c>
      <c r="B324" t="s">
        <v>560</v>
      </c>
      <c r="C324" t="s">
        <v>566</v>
      </c>
      <c r="D324" t="s">
        <v>577</v>
      </c>
      <c r="E324" t="s">
        <v>714</v>
      </c>
      <c r="G324" t="s">
        <v>618</v>
      </c>
      <c r="H324" s="7" t="s">
        <v>958</v>
      </c>
      <c r="I324"/>
    </row>
    <row r="325" spans="1:10">
      <c r="A325" s="1" t="s">
        <v>243</v>
      </c>
      <c r="B325" t="s">
        <v>560</v>
      </c>
      <c r="C325" t="s">
        <v>562</v>
      </c>
      <c r="D325" t="s">
        <v>625</v>
      </c>
      <c r="E325" t="s">
        <v>811</v>
      </c>
      <c r="G325" t="s">
        <v>618</v>
      </c>
      <c r="H325" s="7" t="s">
        <v>959</v>
      </c>
      <c r="I325"/>
    </row>
    <row r="326" spans="1:10">
      <c r="A326" s="1" t="s">
        <v>91</v>
      </c>
      <c r="B326" t="s">
        <v>560</v>
      </c>
      <c r="C326" t="s">
        <v>566</v>
      </c>
      <c r="D326" t="s">
        <v>573</v>
      </c>
      <c r="E326" t="s">
        <v>768</v>
      </c>
      <c r="G326" t="s">
        <v>618</v>
      </c>
      <c r="H326" s="7" t="s">
        <v>960</v>
      </c>
      <c r="I326"/>
    </row>
    <row r="327" spans="1:10">
      <c r="A327" s="1" t="s">
        <v>484</v>
      </c>
      <c r="B327" t="s">
        <v>560</v>
      </c>
      <c r="C327" t="s">
        <v>566</v>
      </c>
      <c r="D327" t="s">
        <v>577</v>
      </c>
      <c r="E327" t="s">
        <v>608</v>
      </c>
      <c r="G327" t="s">
        <v>618</v>
      </c>
      <c r="H327" s="7" t="s">
        <v>961</v>
      </c>
      <c r="I327"/>
    </row>
    <row r="328" spans="1:10">
      <c r="A328" s="1" t="s">
        <v>485</v>
      </c>
      <c r="B328" t="s">
        <v>560</v>
      </c>
      <c r="C328" t="s">
        <v>562</v>
      </c>
      <c r="D328" t="s">
        <v>575</v>
      </c>
      <c r="E328" t="s">
        <v>605</v>
      </c>
      <c r="G328" t="s">
        <v>621</v>
      </c>
      <c r="H328" s="7" t="s">
        <v>962</v>
      </c>
      <c r="I328"/>
    </row>
    <row r="329" spans="1:10">
      <c r="A329" s="1" t="s">
        <v>486</v>
      </c>
      <c r="B329" t="s">
        <v>560</v>
      </c>
      <c r="C329" t="s">
        <v>566</v>
      </c>
      <c r="D329" t="s">
        <v>573</v>
      </c>
      <c r="E329" t="s">
        <v>711</v>
      </c>
      <c r="G329" t="s">
        <v>621</v>
      </c>
      <c r="H329" s="7" t="s">
        <v>963</v>
      </c>
      <c r="I329"/>
    </row>
    <row r="330" spans="1:10">
      <c r="A330" s="1" t="s">
        <v>257</v>
      </c>
      <c r="B330" t="s">
        <v>560</v>
      </c>
      <c r="C330" t="s">
        <v>562</v>
      </c>
      <c r="D330" t="s">
        <v>585</v>
      </c>
      <c r="E330" t="s">
        <v>586</v>
      </c>
      <c r="G330" t="s">
        <v>618</v>
      </c>
      <c r="H330" s="7" t="s">
        <v>964</v>
      </c>
      <c r="I330"/>
    </row>
    <row r="331" spans="1:10">
      <c r="A331" s="1" t="s">
        <v>132</v>
      </c>
      <c r="B331" t="s">
        <v>560</v>
      </c>
      <c r="C331" t="s">
        <v>562</v>
      </c>
      <c r="D331" t="s">
        <v>569</v>
      </c>
      <c r="E331" t="s">
        <v>733</v>
      </c>
      <c r="G331" t="s">
        <v>618</v>
      </c>
      <c r="H331" s="7" t="s">
        <v>965</v>
      </c>
      <c r="I331"/>
    </row>
    <row r="332" spans="1:10">
      <c r="A332" s="1" t="s">
        <v>487</v>
      </c>
      <c r="B332" t="s">
        <v>560</v>
      </c>
      <c r="C332" t="s">
        <v>562</v>
      </c>
      <c r="D332" t="s">
        <v>577</v>
      </c>
      <c r="E332" t="s">
        <v>593</v>
      </c>
      <c r="G332" t="s">
        <v>618</v>
      </c>
      <c r="H332" s="7" t="s">
        <v>966</v>
      </c>
      <c r="I332"/>
    </row>
    <row r="333" spans="1:10">
      <c r="A333" s="1" t="s">
        <v>488</v>
      </c>
      <c r="B333" t="s">
        <v>560</v>
      </c>
      <c r="C333" t="s">
        <v>566</v>
      </c>
      <c r="D333" t="s">
        <v>569</v>
      </c>
      <c r="E333" t="s">
        <v>617</v>
      </c>
      <c r="G333" t="s">
        <v>932</v>
      </c>
      <c r="H333" s="7" t="s">
        <v>967</v>
      </c>
      <c r="I333"/>
    </row>
    <row r="334" spans="1:10">
      <c r="A334" s="1" t="s">
        <v>363</v>
      </c>
      <c r="B334" t="s">
        <v>560</v>
      </c>
      <c r="C334" t="s">
        <v>562</v>
      </c>
      <c r="D334" t="s">
        <v>594</v>
      </c>
      <c r="E334" t="s">
        <v>702</v>
      </c>
      <c r="F334" t="s">
        <v>2110</v>
      </c>
      <c r="G334" t="s">
        <v>618</v>
      </c>
      <c r="H334" s="7" t="s">
        <v>968</v>
      </c>
      <c r="I334" s="59">
        <v>97.1</v>
      </c>
      <c r="J334">
        <v>1</v>
      </c>
    </row>
    <row r="335" spans="1:10">
      <c r="A335" s="1" t="s">
        <v>154</v>
      </c>
      <c r="B335" t="s">
        <v>560</v>
      </c>
      <c r="C335" t="s">
        <v>562</v>
      </c>
      <c r="D335" t="s">
        <v>577</v>
      </c>
      <c r="E335" t="s">
        <v>714</v>
      </c>
      <c r="G335" t="s">
        <v>618</v>
      </c>
      <c r="H335" s="7" t="s">
        <v>969</v>
      </c>
      <c r="I335"/>
    </row>
    <row r="336" spans="1:10">
      <c r="A336" s="1" t="s">
        <v>27</v>
      </c>
      <c r="B336" t="s">
        <v>560</v>
      </c>
      <c r="C336" t="s">
        <v>562</v>
      </c>
      <c r="D336" t="s">
        <v>577</v>
      </c>
      <c r="E336" t="s">
        <v>608</v>
      </c>
      <c r="G336" t="s">
        <v>621</v>
      </c>
      <c r="H336" s="7" t="s">
        <v>970</v>
      </c>
      <c r="I336"/>
    </row>
    <row r="337" spans="1:8" customFormat="1">
      <c r="A337" s="1" t="s">
        <v>57</v>
      </c>
      <c r="B337" t="s">
        <v>560</v>
      </c>
      <c r="C337" t="s">
        <v>562</v>
      </c>
      <c r="D337" t="s">
        <v>569</v>
      </c>
      <c r="E337" t="s">
        <v>617</v>
      </c>
      <c r="G337" t="s">
        <v>618</v>
      </c>
      <c r="H337" s="7" t="s">
        <v>971</v>
      </c>
    </row>
    <row r="338" spans="1:8" customFormat="1">
      <c r="A338" s="1" t="s">
        <v>489</v>
      </c>
      <c r="B338" t="s">
        <v>560</v>
      </c>
      <c r="C338" t="s">
        <v>566</v>
      </c>
      <c r="D338" t="s">
        <v>577</v>
      </c>
      <c r="E338" t="s">
        <v>806</v>
      </c>
      <c r="G338" t="s">
        <v>618</v>
      </c>
      <c r="H338" s="7" t="s">
        <v>972</v>
      </c>
    </row>
    <row r="339" spans="1:8" customFormat="1">
      <c r="A339" s="1" t="s">
        <v>282</v>
      </c>
      <c r="B339" t="s">
        <v>560</v>
      </c>
      <c r="C339" t="s">
        <v>562</v>
      </c>
      <c r="D339" t="s">
        <v>569</v>
      </c>
      <c r="E339" t="s">
        <v>583</v>
      </c>
      <c r="G339" t="s">
        <v>618</v>
      </c>
      <c r="H339" s="7" t="s">
        <v>973</v>
      </c>
    </row>
    <row r="340" spans="1:8" customFormat="1">
      <c r="A340" s="1" t="s">
        <v>111</v>
      </c>
      <c r="B340" t="s">
        <v>560</v>
      </c>
      <c r="C340" t="s">
        <v>566</v>
      </c>
      <c r="D340" t="s">
        <v>597</v>
      </c>
      <c r="E340" t="s">
        <v>975</v>
      </c>
      <c r="G340" t="s">
        <v>616</v>
      </c>
      <c r="H340" s="7" t="s">
        <v>974</v>
      </c>
    </row>
    <row r="341" spans="1:8" customFormat="1">
      <c r="A341" s="1" t="s">
        <v>200</v>
      </c>
      <c r="B341" t="s">
        <v>560</v>
      </c>
      <c r="C341" t="s">
        <v>562</v>
      </c>
      <c r="D341" t="s">
        <v>573</v>
      </c>
      <c r="E341" t="s">
        <v>977</v>
      </c>
      <c r="G341" t="s">
        <v>618</v>
      </c>
      <c r="H341" s="7" t="s">
        <v>976</v>
      </c>
    </row>
    <row r="342" spans="1:8" customFormat="1">
      <c r="A342" s="1" t="s">
        <v>230</v>
      </c>
      <c r="B342" t="s">
        <v>560</v>
      </c>
      <c r="C342" t="s">
        <v>566</v>
      </c>
      <c r="D342" t="s">
        <v>575</v>
      </c>
      <c r="E342" t="s">
        <v>602</v>
      </c>
      <c r="G342" t="s">
        <v>618</v>
      </c>
      <c r="H342" s="7" t="s">
        <v>978</v>
      </c>
    </row>
    <row r="343" spans="1:8" customFormat="1">
      <c r="A343" s="1" t="s">
        <v>490</v>
      </c>
      <c r="B343" t="s">
        <v>560</v>
      </c>
      <c r="C343" t="s">
        <v>566</v>
      </c>
      <c r="D343" t="s">
        <v>579</v>
      </c>
      <c r="E343" t="s">
        <v>580</v>
      </c>
      <c r="G343" t="s">
        <v>618</v>
      </c>
      <c r="H343" s="7" t="s">
        <v>979</v>
      </c>
    </row>
    <row r="344" spans="1:8" customFormat="1">
      <c r="A344" s="1" t="s">
        <v>69</v>
      </c>
      <c r="B344" t="s">
        <v>560</v>
      </c>
      <c r="C344" t="s">
        <v>562</v>
      </c>
      <c r="D344" t="s">
        <v>573</v>
      </c>
      <c r="E344" t="s">
        <v>851</v>
      </c>
      <c r="G344" t="s">
        <v>622</v>
      </c>
      <c r="H344" s="7" t="s">
        <v>980</v>
      </c>
    </row>
    <row r="345" spans="1:8" customFormat="1">
      <c r="A345" s="1" t="s">
        <v>287</v>
      </c>
      <c r="B345" t="s">
        <v>560</v>
      </c>
      <c r="C345" t="s">
        <v>566</v>
      </c>
      <c r="D345" t="s">
        <v>575</v>
      </c>
      <c r="E345" t="s">
        <v>983</v>
      </c>
      <c r="G345" t="s">
        <v>620</v>
      </c>
      <c r="H345" s="7" t="s">
        <v>982</v>
      </c>
    </row>
    <row r="346" spans="1:8" customFormat="1">
      <c r="A346" s="1" t="s">
        <v>375</v>
      </c>
      <c r="B346" t="s">
        <v>560</v>
      </c>
      <c r="C346" t="s">
        <v>562</v>
      </c>
      <c r="D346" t="s">
        <v>573</v>
      </c>
      <c r="E346" t="s">
        <v>768</v>
      </c>
      <c r="G346" t="s">
        <v>618</v>
      </c>
      <c r="H346" s="7">
        <v>543</v>
      </c>
    </row>
    <row r="347" spans="1:8" customFormat="1">
      <c r="A347" s="1" t="s">
        <v>491</v>
      </c>
      <c r="B347" t="s">
        <v>560</v>
      </c>
      <c r="C347" t="s">
        <v>566</v>
      </c>
      <c r="D347" t="s">
        <v>597</v>
      </c>
      <c r="E347" t="s">
        <v>985</v>
      </c>
      <c r="G347" t="s">
        <v>932</v>
      </c>
      <c r="H347" s="7" t="s">
        <v>984</v>
      </c>
    </row>
    <row r="348" spans="1:8" customFormat="1">
      <c r="A348" s="1" t="s">
        <v>492</v>
      </c>
      <c r="B348" t="s">
        <v>560</v>
      </c>
      <c r="C348" t="s">
        <v>566</v>
      </c>
      <c r="D348" t="s">
        <v>625</v>
      </c>
      <c r="E348" t="s">
        <v>811</v>
      </c>
      <c r="G348" t="s">
        <v>618</v>
      </c>
      <c r="H348" s="7" t="s">
        <v>986</v>
      </c>
    </row>
    <row r="349" spans="1:8" customFormat="1">
      <c r="A349" s="1" t="s">
        <v>181</v>
      </c>
      <c r="B349" t="s">
        <v>560</v>
      </c>
      <c r="C349" t="s">
        <v>562</v>
      </c>
      <c r="D349" t="s">
        <v>577</v>
      </c>
      <c r="E349" t="s">
        <v>593</v>
      </c>
      <c r="G349" t="s">
        <v>618</v>
      </c>
      <c r="H349" s="7" t="s">
        <v>987</v>
      </c>
    </row>
    <row r="350" spans="1:8" customFormat="1">
      <c r="A350" s="1" t="s">
        <v>214</v>
      </c>
      <c r="B350" t="s">
        <v>560</v>
      </c>
      <c r="C350" t="s">
        <v>562</v>
      </c>
      <c r="D350" t="s">
        <v>575</v>
      </c>
      <c r="E350" t="s">
        <v>780</v>
      </c>
      <c r="F350" t="s">
        <v>2126</v>
      </c>
      <c r="G350" t="s">
        <v>618</v>
      </c>
      <c r="H350" s="7" t="s">
        <v>988</v>
      </c>
    </row>
    <row r="351" spans="1:8" customFormat="1">
      <c r="A351" s="1" t="s">
        <v>493</v>
      </c>
      <c r="B351" t="s">
        <v>568</v>
      </c>
      <c r="C351" t="s">
        <v>566</v>
      </c>
      <c r="D351" s="8" t="s">
        <v>567</v>
      </c>
      <c r="E351" s="8" t="s">
        <v>567</v>
      </c>
      <c r="F351" s="8"/>
      <c r="G351" s="8" t="s">
        <v>654</v>
      </c>
      <c r="H351" s="9" t="s">
        <v>654</v>
      </c>
    </row>
    <row r="352" spans="1:8" customFormat="1">
      <c r="A352" s="1" t="s">
        <v>2</v>
      </c>
      <c r="B352" t="s">
        <v>560</v>
      </c>
      <c r="C352" t="s">
        <v>562</v>
      </c>
      <c r="D352" t="s">
        <v>597</v>
      </c>
      <c r="E352" t="s">
        <v>757</v>
      </c>
      <c r="G352" t="s">
        <v>618</v>
      </c>
      <c r="H352" s="7" t="s">
        <v>989</v>
      </c>
    </row>
    <row r="353" spans="1:10">
      <c r="A353" s="1" t="s">
        <v>335</v>
      </c>
      <c r="B353" t="s">
        <v>560</v>
      </c>
      <c r="C353" t="s">
        <v>566</v>
      </c>
      <c r="D353" t="s">
        <v>577</v>
      </c>
      <c r="E353" t="s">
        <v>593</v>
      </c>
      <c r="G353" t="s">
        <v>618</v>
      </c>
      <c r="H353" s="7" t="s">
        <v>990</v>
      </c>
      <c r="I353"/>
    </row>
    <row r="354" spans="1:10">
      <c r="A354" s="1" t="s">
        <v>278</v>
      </c>
      <c r="B354" t="s">
        <v>560</v>
      </c>
      <c r="C354" t="s">
        <v>562</v>
      </c>
      <c r="D354" t="s">
        <v>699</v>
      </c>
      <c r="E354" t="s">
        <v>704</v>
      </c>
      <c r="G354" t="s">
        <v>618</v>
      </c>
      <c r="H354" s="7">
        <v>579</v>
      </c>
      <c r="I354"/>
    </row>
    <row r="355" spans="1:10">
      <c r="A355" s="1" t="s">
        <v>58</v>
      </c>
      <c r="B355" t="s">
        <v>560</v>
      </c>
      <c r="C355" t="s">
        <v>566</v>
      </c>
      <c r="D355" t="s">
        <v>577</v>
      </c>
      <c r="E355" t="s">
        <v>581</v>
      </c>
      <c r="G355" t="s">
        <v>621</v>
      </c>
      <c r="H355" s="7" t="s">
        <v>991</v>
      </c>
      <c r="I355"/>
    </row>
    <row r="356" spans="1:10">
      <c r="A356" s="1" t="s">
        <v>494</v>
      </c>
      <c r="B356" t="s">
        <v>560</v>
      </c>
      <c r="C356" t="s">
        <v>566</v>
      </c>
      <c r="D356" t="s">
        <v>569</v>
      </c>
      <c r="E356" t="s">
        <v>570</v>
      </c>
      <c r="G356" t="s">
        <v>618</v>
      </c>
      <c r="H356" s="7" t="s">
        <v>992</v>
      </c>
      <c r="I356"/>
    </row>
    <row r="357" spans="1:10">
      <c r="A357" s="1" t="s">
        <v>140</v>
      </c>
      <c r="B357" t="s">
        <v>560</v>
      </c>
      <c r="C357" t="s">
        <v>562</v>
      </c>
      <c r="D357" t="s">
        <v>577</v>
      </c>
      <c r="E357" t="s">
        <v>593</v>
      </c>
      <c r="G357" t="s">
        <v>618</v>
      </c>
      <c r="H357" s="7" t="s">
        <v>993</v>
      </c>
      <c r="I357"/>
    </row>
    <row r="358" spans="1:10">
      <c r="A358" s="1" t="s">
        <v>28</v>
      </c>
      <c r="B358" t="s">
        <v>560</v>
      </c>
      <c r="C358" t="s">
        <v>562</v>
      </c>
      <c r="D358" t="s">
        <v>699</v>
      </c>
      <c r="E358" t="s">
        <v>704</v>
      </c>
      <c r="G358" t="s">
        <v>618</v>
      </c>
      <c r="H358" s="7" t="s">
        <v>994</v>
      </c>
      <c r="I358"/>
    </row>
    <row r="359" spans="1:10">
      <c r="A359" s="1" t="s">
        <v>254</v>
      </c>
      <c r="B359" t="s">
        <v>560</v>
      </c>
      <c r="C359" t="s">
        <v>566</v>
      </c>
      <c r="D359" t="s">
        <v>573</v>
      </c>
      <c r="E359" t="s">
        <v>574</v>
      </c>
      <c r="G359" t="s">
        <v>618</v>
      </c>
      <c r="H359" s="7" t="s">
        <v>995</v>
      </c>
      <c r="I359"/>
    </row>
    <row r="360" spans="1:10">
      <c r="A360" s="1" t="s">
        <v>495</v>
      </c>
      <c r="B360" t="s">
        <v>560</v>
      </c>
      <c r="C360" t="s">
        <v>566</v>
      </c>
      <c r="D360" t="s">
        <v>594</v>
      </c>
      <c r="E360" t="s">
        <v>596</v>
      </c>
      <c r="F360" t="s">
        <v>2127</v>
      </c>
      <c r="G360" t="s">
        <v>618</v>
      </c>
      <c r="H360" s="7" t="s">
        <v>996</v>
      </c>
      <c r="I360"/>
      <c r="J360" t="s">
        <v>2128</v>
      </c>
    </row>
    <row r="361" spans="1:10">
      <c r="A361" s="1" t="s">
        <v>496</v>
      </c>
      <c r="B361" t="s">
        <v>560</v>
      </c>
      <c r="C361" t="s">
        <v>566</v>
      </c>
      <c r="D361" t="s">
        <v>597</v>
      </c>
      <c r="E361" t="s">
        <v>598</v>
      </c>
      <c r="G361" t="s">
        <v>618</v>
      </c>
      <c r="H361" s="7" t="s">
        <v>997</v>
      </c>
      <c r="I361"/>
    </row>
    <row r="362" spans="1:10">
      <c r="A362" s="1" t="s">
        <v>497</v>
      </c>
      <c r="B362" t="s">
        <v>560</v>
      </c>
      <c r="C362" t="s">
        <v>562</v>
      </c>
      <c r="D362" t="s">
        <v>573</v>
      </c>
      <c r="E362" t="s">
        <v>794</v>
      </c>
      <c r="G362" t="s">
        <v>618</v>
      </c>
      <c r="H362" s="7" t="s">
        <v>998</v>
      </c>
      <c r="I362"/>
    </row>
    <row r="363" spans="1:10">
      <c r="A363" s="1" t="s">
        <v>345</v>
      </c>
      <c r="B363" t="s">
        <v>560</v>
      </c>
      <c r="C363" t="s">
        <v>566</v>
      </c>
      <c r="D363" t="s">
        <v>699</v>
      </c>
      <c r="E363" t="s">
        <v>728</v>
      </c>
      <c r="G363" t="s">
        <v>618</v>
      </c>
      <c r="H363" s="7" t="s">
        <v>981</v>
      </c>
      <c r="I363"/>
    </row>
    <row r="364" spans="1:10">
      <c r="A364" s="1" t="s">
        <v>162</v>
      </c>
      <c r="B364" t="s">
        <v>560</v>
      </c>
      <c r="C364" t="s">
        <v>562</v>
      </c>
      <c r="D364" t="s">
        <v>594</v>
      </c>
      <c r="E364" t="s">
        <v>596</v>
      </c>
      <c r="F364" t="s">
        <v>2469</v>
      </c>
      <c r="G364" t="s">
        <v>618</v>
      </c>
      <c r="H364" s="7" t="s">
        <v>999</v>
      </c>
      <c r="I364" s="139">
        <v>1</v>
      </c>
    </row>
    <row r="365" spans="1:10">
      <c r="A365" s="1" t="s">
        <v>308</v>
      </c>
      <c r="B365" t="s">
        <v>560</v>
      </c>
      <c r="C365" t="s">
        <v>566</v>
      </c>
      <c r="D365" t="s">
        <v>579</v>
      </c>
      <c r="E365" t="s">
        <v>580</v>
      </c>
      <c r="G365" t="s">
        <v>618</v>
      </c>
      <c r="H365" s="7" t="s">
        <v>1000</v>
      </c>
      <c r="I365"/>
    </row>
    <row r="366" spans="1:10">
      <c r="A366" s="1" t="s">
        <v>498</v>
      </c>
      <c r="B366" t="s">
        <v>560</v>
      </c>
      <c r="C366" t="s">
        <v>562</v>
      </c>
      <c r="D366" t="s">
        <v>607</v>
      </c>
      <c r="E366" t="s">
        <v>1002</v>
      </c>
      <c r="G366" t="s">
        <v>622</v>
      </c>
      <c r="H366" s="7" t="s">
        <v>1001</v>
      </c>
      <c r="I366"/>
    </row>
    <row r="367" spans="1:10">
      <c r="A367" s="1" t="s">
        <v>204</v>
      </c>
      <c r="B367" t="s">
        <v>560</v>
      </c>
      <c r="C367" t="s">
        <v>562</v>
      </c>
      <c r="D367" t="s">
        <v>699</v>
      </c>
      <c r="E367" t="s">
        <v>957</v>
      </c>
      <c r="G367" t="s">
        <v>618</v>
      </c>
      <c r="H367" s="7" t="s">
        <v>1003</v>
      </c>
      <c r="I367"/>
    </row>
    <row r="368" spans="1:10">
      <c r="A368" s="1" t="s">
        <v>107</v>
      </c>
      <c r="B368" t="s">
        <v>560</v>
      </c>
      <c r="C368" t="s">
        <v>562</v>
      </c>
      <c r="D368" t="s">
        <v>594</v>
      </c>
      <c r="E368" t="s">
        <v>595</v>
      </c>
      <c r="F368" t="s">
        <v>2112</v>
      </c>
      <c r="G368" t="s">
        <v>618</v>
      </c>
      <c r="H368" s="7" t="s">
        <v>1004</v>
      </c>
      <c r="I368" s="59">
        <v>362.89</v>
      </c>
      <c r="J368">
        <v>1</v>
      </c>
    </row>
    <row r="369" spans="1:10">
      <c r="A369" s="1" t="s">
        <v>182</v>
      </c>
      <c r="B369" t="s">
        <v>560</v>
      </c>
      <c r="C369" t="s">
        <v>566</v>
      </c>
      <c r="D369" t="s">
        <v>569</v>
      </c>
      <c r="E369" t="s">
        <v>1006</v>
      </c>
      <c r="G369" t="s">
        <v>618</v>
      </c>
      <c r="H369" s="7" t="s">
        <v>1005</v>
      </c>
      <c r="I369"/>
    </row>
    <row r="370" spans="1:10">
      <c r="A370" s="1" t="s">
        <v>499</v>
      </c>
      <c r="B370" t="s">
        <v>568</v>
      </c>
      <c r="C370" t="s">
        <v>566</v>
      </c>
      <c r="D370" s="8" t="s">
        <v>567</v>
      </c>
      <c r="E370" s="8" t="s">
        <v>567</v>
      </c>
      <c r="F370" s="8"/>
      <c r="G370" s="8" t="s">
        <v>654</v>
      </c>
      <c r="H370" s="9" t="s">
        <v>654</v>
      </c>
      <c r="I370"/>
    </row>
    <row r="371" spans="1:10">
      <c r="A371" s="1" t="s">
        <v>187</v>
      </c>
      <c r="B371" t="s">
        <v>560</v>
      </c>
      <c r="C371" t="s">
        <v>562</v>
      </c>
      <c r="D371" t="s">
        <v>597</v>
      </c>
      <c r="E371" t="s">
        <v>598</v>
      </c>
      <c r="G371" t="s">
        <v>618</v>
      </c>
      <c r="H371" s="7" t="s">
        <v>1007</v>
      </c>
      <c r="I371"/>
    </row>
    <row r="372" spans="1:10">
      <c r="A372" s="1" t="s">
        <v>80</v>
      </c>
      <c r="B372" t="s">
        <v>560</v>
      </c>
      <c r="C372" t="s">
        <v>562</v>
      </c>
      <c r="D372" t="s">
        <v>577</v>
      </c>
      <c r="E372" t="s">
        <v>613</v>
      </c>
      <c r="G372" t="s">
        <v>620</v>
      </c>
      <c r="H372" s="7" t="s">
        <v>1008</v>
      </c>
      <c r="I372"/>
    </row>
    <row r="373" spans="1:10">
      <c r="A373" s="1" t="s">
        <v>258</v>
      </c>
      <c r="B373" t="s">
        <v>560</v>
      </c>
      <c r="C373" t="s">
        <v>562</v>
      </c>
      <c r="D373" t="s">
        <v>594</v>
      </c>
      <c r="E373" t="s">
        <v>595</v>
      </c>
      <c r="F373" t="s">
        <v>2138</v>
      </c>
      <c r="G373" t="s">
        <v>622</v>
      </c>
      <c r="H373" s="7" t="s">
        <v>1009</v>
      </c>
      <c r="I373"/>
    </row>
    <row r="374" spans="1:10">
      <c r="A374" s="1" t="s">
        <v>99</v>
      </c>
      <c r="B374" t="s">
        <v>560</v>
      </c>
      <c r="C374" t="s">
        <v>562</v>
      </c>
      <c r="D374" t="s">
        <v>575</v>
      </c>
      <c r="E374" t="s">
        <v>780</v>
      </c>
      <c r="F374" t="s">
        <v>2480</v>
      </c>
      <c r="G374" t="s">
        <v>618</v>
      </c>
      <c r="H374" s="7" t="s">
        <v>1010</v>
      </c>
      <c r="I374" s="139">
        <v>972.95</v>
      </c>
    </row>
    <row r="375" spans="1:10">
      <c r="A375" s="1" t="s">
        <v>72</v>
      </c>
      <c r="B375" t="s">
        <v>560</v>
      </c>
      <c r="C375" t="s">
        <v>562</v>
      </c>
      <c r="D375" t="s">
        <v>573</v>
      </c>
      <c r="E375" t="s">
        <v>952</v>
      </c>
      <c r="G375" t="s">
        <v>618</v>
      </c>
      <c r="H375" s="7" t="s">
        <v>1011</v>
      </c>
      <c r="I375"/>
    </row>
    <row r="376" spans="1:10">
      <c r="A376" s="1" t="s">
        <v>500</v>
      </c>
      <c r="B376" t="s">
        <v>560</v>
      </c>
      <c r="C376" t="s">
        <v>562</v>
      </c>
      <c r="D376" t="s">
        <v>579</v>
      </c>
      <c r="E376" t="s">
        <v>1013</v>
      </c>
      <c r="G376" t="s">
        <v>620</v>
      </c>
      <c r="H376" s="7" t="s">
        <v>1012</v>
      </c>
      <c r="I376"/>
    </row>
    <row r="377" spans="1:10">
      <c r="A377" s="1" t="s">
        <v>379</v>
      </c>
      <c r="B377" t="s">
        <v>560</v>
      </c>
      <c r="C377" t="s">
        <v>562</v>
      </c>
      <c r="D377" t="s">
        <v>573</v>
      </c>
      <c r="E377" t="s">
        <v>574</v>
      </c>
      <c r="G377" t="s">
        <v>618</v>
      </c>
      <c r="H377" s="7">
        <v>596</v>
      </c>
      <c r="I377"/>
    </row>
    <row r="378" spans="1:10">
      <c r="A378" s="1" t="s">
        <v>175</v>
      </c>
      <c r="B378" t="s">
        <v>560</v>
      </c>
      <c r="C378" t="s">
        <v>562</v>
      </c>
      <c r="D378" t="s">
        <v>569</v>
      </c>
      <c r="E378" t="s">
        <v>572</v>
      </c>
      <c r="G378" t="s">
        <v>616</v>
      </c>
      <c r="H378" s="7" t="s">
        <v>1014</v>
      </c>
      <c r="I378"/>
    </row>
    <row r="379" spans="1:10">
      <c r="A379" s="1" t="s">
        <v>353</v>
      </c>
      <c r="B379" t="s">
        <v>560</v>
      </c>
      <c r="C379" t="s">
        <v>562</v>
      </c>
      <c r="D379" t="s">
        <v>577</v>
      </c>
      <c r="E379" t="s">
        <v>608</v>
      </c>
      <c r="G379" t="s">
        <v>618</v>
      </c>
      <c r="H379" s="7" t="s">
        <v>1015</v>
      </c>
      <c r="I379"/>
    </row>
    <row r="380" spans="1:10">
      <c r="A380" s="1" t="s">
        <v>501</v>
      </c>
      <c r="B380" t="s">
        <v>560</v>
      </c>
      <c r="C380" t="s">
        <v>562</v>
      </c>
      <c r="D380" t="s">
        <v>579</v>
      </c>
      <c r="E380" t="s">
        <v>739</v>
      </c>
      <c r="G380" t="s">
        <v>622</v>
      </c>
      <c r="H380" s="7" t="s">
        <v>1016</v>
      </c>
      <c r="I380"/>
    </row>
    <row r="381" spans="1:10">
      <c r="A381" s="1" t="s">
        <v>502</v>
      </c>
      <c r="B381" t="s">
        <v>560</v>
      </c>
      <c r="C381" t="s">
        <v>566</v>
      </c>
      <c r="D381" t="s">
        <v>597</v>
      </c>
      <c r="E381" t="s">
        <v>598</v>
      </c>
      <c r="G381" t="s">
        <v>618</v>
      </c>
      <c r="H381" s="7" t="s">
        <v>1017</v>
      </c>
      <c r="I381"/>
    </row>
    <row r="382" spans="1:10">
      <c r="A382" s="1" t="s">
        <v>323</v>
      </c>
      <c r="B382" t="s">
        <v>560</v>
      </c>
      <c r="C382" t="s">
        <v>562</v>
      </c>
      <c r="D382" t="s">
        <v>569</v>
      </c>
      <c r="E382" t="s">
        <v>617</v>
      </c>
      <c r="G382" t="s">
        <v>618</v>
      </c>
      <c r="H382" s="7" t="s">
        <v>1018</v>
      </c>
      <c r="I382"/>
    </row>
    <row r="383" spans="1:10">
      <c r="A383" s="1" t="s">
        <v>355</v>
      </c>
      <c r="B383" t="s">
        <v>560</v>
      </c>
      <c r="C383" t="s">
        <v>566</v>
      </c>
      <c r="D383" t="s">
        <v>573</v>
      </c>
      <c r="E383" t="s">
        <v>768</v>
      </c>
      <c r="G383" t="s">
        <v>618</v>
      </c>
      <c r="H383" s="7" t="s">
        <v>1019</v>
      </c>
      <c r="I383"/>
    </row>
    <row r="384" spans="1:10">
      <c r="A384" s="1" t="s">
        <v>291</v>
      </c>
      <c r="B384" t="s">
        <v>560</v>
      </c>
      <c r="C384" t="s">
        <v>566</v>
      </c>
      <c r="D384" t="s">
        <v>594</v>
      </c>
      <c r="E384" t="s">
        <v>702</v>
      </c>
      <c r="F384" t="s">
        <v>2110</v>
      </c>
      <c r="G384" t="s">
        <v>618</v>
      </c>
      <c r="H384" s="7" t="s">
        <v>1020</v>
      </c>
      <c r="I384" s="59">
        <v>102.1</v>
      </c>
      <c r="J384">
        <v>1</v>
      </c>
    </row>
    <row r="385" spans="1:9">
      <c r="A385" s="1" t="s">
        <v>231</v>
      </c>
      <c r="B385" t="s">
        <v>560</v>
      </c>
      <c r="C385" t="s">
        <v>566</v>
      </c>
      <c r="D385" t="s">
        <v>569</v>
      </c>
      <c r="E385" t="s">
        <v>583</v>
      </c>
      <c r="G385" t="s">
        <v>618</v>
      </c>
      <c r="H385" s="7" t="s">
        <v>1021</v>
      </c>
      <c r="I385"/>
    </row>
    <row r="386" spans="1:9">
      <c r="A386" s="1" t="s">
        <v>503</v>
      </c>
      <c r="B386" t="s">
        <v>560</v>
      </c>
      <c r="C386" t="s">
        <v>562</v>
      </c>
      <c r="I386"/>
    </row>
    <row r="387" spans="1:9">
      <c r="A387" s="1" t="s">
        <v>322</v>
      </c>
      <c r="B387" t="s">
        <v>560</v>
      </c>
      <c r="C387" t="s">
        <v>566</v>
      </c>
      <c r="D387" t="s">
        <v>577</v>
      </c>
      <c r="E387" t="s">
        <v>806</v>
      </c>
      <c r="G387" t="s">
        <v>618</v>
      </c>
      <c r="H387" s="7">
        <v>583</v>
      </c>
      <c r="I387"/>
    </row>
    <row r="388" spans="1:9">
      <c r="A388" s="1" t="s">
        <v>33</v>
      </c>
      <c r="B388" t="s">
        <v>560</v>
      </c>
      <c r="C388" t="s">
        <v>562</v>
      </c>
      <c r="D388" t="s">
        <v>594</v>
      </c>
      <c r="E388" t="s">
        <v>702</v>
      </c>
      <c r="F388" t="s">
        <v>2111</v>
      </c>
      <c r="G388" t="s">
        <v>618</v>
      </c>
      <c r="H388" s="7" t="s">
        <v>1022</v>
      </c>
      <c r="I388"/>
    </row>
    <row r="389" spans="1:9">
      <c r="A389" s="1" t="s">
        <v>241</v>
      </c>
      <c r="B389" t="s">
        <v>560</v>
      </c>
      <c r="C389" t="s">
        <v>566</v>
      </c>
      <c r="D389" t="s">
        <v>573</v>
      </c>
      <c r="E389" t="s">
        <v>591</v>
      </c>
      <c r="F389" t="s">
        <v>2463</v>
      </c>
      <c r="G389" t="s">
        <v>618</v>
      </c>
      <c r="H389" s="7" t="s">
        <v>1023</v>
      </c>
      <c r="I389"/>
    </row>
    <row r="390" spans="1:9">
      <c r="A390" s="1" t="s">
        <v>504</v>
      </c>
      <c r="B390" t="s">
        <v>560</v>
      </c>
      <c r="C390" t="s">
        <v>566</v>
      </c>
      <c r="D390" t="s">
        <v>573</v>
      </c>
      <c r="E390" t="s">
        <v>591</v>
      </c>
      <c r="F390" t="s">
        <v>2463</v>
      </c>
      <c r="G390" t="s">
        <v>618</v>
      </c>
      <c r="H390" s="7" t="s">
        <v>1024</v>
      </c>
      <c r="I390"/>
    </row>
    <row r="391" spans="1:9">
      <c r="A391" s="1" t="s">
        <v>505</v>
      </c>
      <c r="B391" t="s">
        <v>560</v>
      </c>
      <c r="C391" t="s">
        <v>562</v>
      </c>
      <c r="D391" t="s">
        <v>597</v>
      </c>
      <c r="E391" t="s">
        <v>821</v>
      </c>
      <c r="G391" t="s">
        <v>620</v>
      </c>
      <c r="H391" s="7" t="s">
        <v>1025</v>
      </c>
      <c r="I391"/>
    </row>
    <row r="392" spans="1:9">
      <c r="A392" s="1" t="s">
        <v>199</v>
      </c>
      <c r="B392" t="s">
        <v>560</v>
      </c>
      <c r="C392" t="s">
        <v>562</v>
      </c>
      <c r="D392" t="s">
        <v>573</v>
      </c>
      <c r="E392" t="s">
        <v>977</v>
      </c>
      <c r="G392" t="s">
        <v>618</v>
      </c>
      <c r="H392" s="7" t="s">
        <v>1026</v>
      </c>
      <c r="I392"/>
    </row>
    <row r="393" spans="1:9">
      <c r="A393" s="1" t="s">
        <v>101</v>
      </c>
      <c r="B393" t="s">
        <v>560</v>
      </c>
      <c r="C393" t="s">
        <v>562</v>
      </c>
      <c r="D393" t="s">
        <v>579</v>
      </c>
      <c r="E393" t="s">
        <v>580</v>
      </c>
      <c r="G393" t="s">
        <v>618</v>
      </c>
      <c r="H393" s="7" t="s">
        <v>1027</v>
      </c>
      <c r="I393"/>
    </row>
    <row r="394" spans="1:9">
      <c r="A394" s="1" t="s">
        <v>160</v>
      </c>
      <c r="B394" t="s">
        <v>560</v>
      </c>
      <c r="C394" t="s">
        <v>562</v>
      </c>
      <c r="D394" t="s">
        <v>699</v>
      </c>
      <c r="E394" t="s">
        <v>728</v>
      </c>
      <c r="G394" t="s">
        <v>618</v>
      </c>
      <c r="H394" s="7" t="s">
        <v>1028</v>
      </c>
      <c r="I394"/>
    </row>
    <row r="395" spans="1:9">
      <c r="A395" s="1" t="s">
        <v>301</v>
      </c>
      <c r="B395" t="s">
        <v>560</v>
      </c>
      <c r="C395" t="s">
        <v>562</v>
      </c>
      <c r="D395" t="s">
        <v>573</v>
      </c>
      <c r="E395" t="s">
        <v>744</v>
      </c>
      <c r="G395" t="s">
        <v>618</v>
      </c>
      <c r="H395" s="7" t="s">
        <v>1029</v>
      </c>
      <c r="I395"/>
    </row>
    <row r="396" spans="1:9">
      <c r="A396" s="1" t="s">
        <v>506</v>
      </c>
      <c r="B396" t="s">
        <v>560</v>
      </c>
      <c r="C396" t="s">
        <v>566</v>
      </c>
      <c r="D396" t="s">
        <v>579</v>
      </c>
      <c r="E396" t="s">
        <v>592</v>
      </c>
      <c r="G396" t="s">
        <v>618</v>
      </c>
      <c r="H396" s="7" t="s">
        <v>1030</v>
      </c>
      <c r="I396"/>
    </row>
    <row r="397" spans="1:9">
      <c r="A397" s="1" t="s">
        <v>135</v>
      </c>
      <c r="B397" t="s">
        <v>560</v>
      </c>
      <c r="C397" t="s">
        <v>562</v>
      </c>
      <c r="D397" t="s">
        <v>2491</v>
      </c>
      <c r="E397" t="s">
        <v>2492</v>
      </c>
      <c r="F397" t="s">
        <v>2466</v>
      </c>
      <c r="G397" t="s">
        <v>618</v>
      </c>
      <c r="H397" s="7" t="s">
        <v>1031</v>
      </c>
      <c r="I397" s="139">
        <v>238.49</v>
      </c>
    </row>
    <row r="398" spans="1:9">
      <c r="A398" s="1" t="s">
        <v>507</v>
      </c>
      <c r="B398" t="s">
        <v>568</v>
      </c>
      <c r="C398" t="s">
        <v>566</v>
      </c>
      <c r="D398" s="8" t="s">
        <v>567</v>
      </c>
      <c r="E398" s="8" t="s">
        <v>567</v>
      </c>
      <c r="F398" s="8"/>
      <c r="G398" s="8" t="s">
        <v>654</v>
      </c>
      <c r="H398" s="9" t="s">
        <v>654</v>
      </c>
      <c r="I398"/>
    </row>
    <row r="399" spans="1:9">
      <c r="A399" s="1" t="s">
        <v>76</v>
      </c>
      <c r="B399" t="s">
        <v>560</v>
      </c>
      <c r="C399" t="s">
        <v>562</v>
      </c>
      <c r="D399" t="s">
        <v>579</v>
      </c>
      <c r="E399" t="s">
        <v>580</v>
      </c>
      <c r="G399" t="s">
        <v>618</v>
      </c>
      <c r="H399" s="7" t="s">
        <v>1032</v>
      </c>
      <c r="I399"/>
    </row>
    <row r="400" spans="1:9">
      <c r="A400" s="1" t="s">
        <v>508</v>
      </c>
      <c r="B400" t="s">
        <v>560</v>
      </c>
      <c r="C400" t="s">
        <v>566</v>
      </c>
      <c r="D400" t="s">
        <v>577</v>
      </c>
      <c r="E400" t="s">
        <v>770</v>
      </c>
      <c r="G400" t="s">
        <v>618</v>
      </c>
      <c r="H400" s="7" t="s">
        <v>1033</v>
      </c>
      <c r="I400"/>
    </row>
    <row r="401" spans="1:9">
      <c r="A401" s="1" t="s">
        <v>509</v>
      </c>
      <c r="B401" t="s">
        <v>568</v>
      </c>
      <c r="C401" t="s">
        <v>566</v>
      </c>
      <c r="D401" s="8" t="s">
        <v>567</v>
      </c>
      <c r="E401" s="8" t="s">
        <v>567</v>
      </c>
      <c r="F401" s="8"/>
      <c r="G401" s="8" t="s">
        <v>654</v>
      </c>
      <c r="H401" s="9" t="s">
        <v>654</v>
      </c>
      <c r="I401"/>
    </row>
    <row r="402" spans="1:9">
      <c r="A402" s="1" t="s">
        <v>350</v>
      </c>
      <c r="B402" t="s">
        <v>560</v>
      </c>
      <c r="C402" t="s">
        <v>566</v>
      </c>
      <c r="D402" t="s">
        <v>607</v>
      </c>
      <c r="E402" t="s">
        <v>1002</v>
      </c>
      <c r="G402" t="s">
        <v>618</v>
      </c>
      <c r="H402" s="7" t="s">
        <v>1034</v>
      </c>
      <c r="I402"/>
    </row>
    <row r="403" spans="1:9">
      <c r="A403" s="1" t="s">
        <v>289</v>
      </c>
      <c r="B403" t="s">
        <v>560</v>
      </c>
      <c r="C403" t="s">
        <v>566</v>
      </c>
      <c r="D403" t="s">
        <v>577</v>
      </c>
      <c r="E403" t="s">
        <v>613</v>
      </c>
      <c r="G403" t="s">
        <v>618</v>
      </c>
      <c r="H403" s="7" t="s">
        <v>1035</v>
      </c>
      <c r="I403"/>
    </row>
    <row r="404" spans="1:9">
      <c r="A404" s="1" t="s">
        <v>53</v>
      </c>
      <c r="B404" t="s">
        <v>560</v>
      </c>
      <c r="C404" t="s">
        <v>562</v>
      </c>
      <c r="D404" t="s">
        <v>585</v>
      </c>
      <c r="E404" t="s">
        <v>705</v>
      </c>
      <c r="G404" t="s">
        <v>620</v>
      </c>
      <c r="H404" s="7" t="s">
        <v>1036</v>
      </c>
      <c r="I404"/>
    </row>
    <row r="405" spans="1:9">
      <c r="A405" s="1" t="s">
        <v>118</v>
      </c>
      <c r="B405" t="s">
        <v>560</v>
      </c>
      <c r="C405" t="s">
        <v>562</v>
      </c>
      <c r="D405" t="s">
        <v>585</v>
      </c>
      <c r="E405" t="s">
        <v>705</v>
      </c>
      <c r="G405" t="s">
        <v>620</v>
      </c>
      <c r="H405" s="7" t="s">
        <v>1037</v>
      </c>
      <c r="I405"/>
    </row>
    <row r="406" spans="1:9">
      <c r="A406" s="1" t="s">
        <v>2132</v>
      </c>
      <c r="B406" t="s">
        <v>2106</v>
      </c>
      <c r="C406" t="s">
        <v>566</v>
      </c>
      <c r="D406" t="s">
        <v>594</v>
      </c>
      <c r="E406" t="s">
        <v>595</v>
      </c>
      <c r="F406" t="s">
        <v>2130</v>
      </c>
      <c r="G406" t="s">
        <v>618</v>
      </c>
      <c r="H406" s="7" t="s">
        <v>2131</v>
      </c>
      <c r="I406"/>
    </row>
    <row r="407" spans="1:9">
      <c r="A407" s="1" t="s">
        <v>37</v>
      </c>
      <c r="B407" t="s">
        <v>560</v>
      </c>
      <c r="C407" t="s">
        <v>562</v>
      </c>
      <c r="D407" t="s">
        <v>579</v>
      </c>
      <c r="E407" t="s">
        <v>939</v>
      </c>
      <c r="G407" t="s">
        <v>621</v>
      </c>
      <c r="H407" s="7" t="s">
        <v>1038</v>
      </c>
      <c r="I407"/>
    </row>
    <row r="408" spans="1:9">
      <c r="A408" s="1" t="s">
        <v>510</v>
      </c>
      <c r="B408" t="s">
        <v>560</v>
      </c>
      <c r="C408" t="s">
        <v>562</v>
      </c>
      <c r="D408" t="s">
        <v>573</v>
      </c>
      <c r="E408" t="s">
        <v>574</v>
      </c>
      <c r="G408" t="s">
        <v>618</v>
      </c>
      <c r="H408" s="7" t="s">
        <v>1039</v>
      </c>
      <c r="I408"/>
    </row>
    <row r="409" spans="1:9">
      <c r="A409" s="1" t="s">
        <v>318</v>
      </c>
      <c r="B409" t="s">
        <v>560</v>
      </c>
      <c r="C409" t="s">
        <v>562</v>
      </c>
      <c r="D409" t="s">
        <v>585</v>
      </c>
      <c r="E409" t="s">
        <v>604</v>
      </c>
      <c r="G409" t="s">
        <v>618</v>
      </c>
      <c r="H409" s="7" t="s">
        <v>1040</v>
      </c>
      <c r="I409"/>
    </row>
    <row r="410" spans="1:9">
      <c r="A410" s="1" t="s">
        <v>511</v>
      </c>
      <c r="B410" t="s">
        <v>560</v>
      </c>
      <c r="C410" t="s">
        <v>566</v>
      </c>
      <c r="D410" t="s">
        <v>579</v>
      </c>
      <c r="E410" t="s">
        <v>580</v>
      </c>
      <c r="G410" t="s">
        <v>618</v>
      </c>
      <c r="H410" s="7" t="s">
        <v>1041</v>
      </c>
      <c r="I410"/>
    </row>
    <row r="411" spans="1:9">
      <c r="A411" s="1" t="s">
        <v>262</v>
      </c>
      <c r="B411" t="s">
        <v>560</v>
      </c>
      <c r="C411" t="s">
        <v>562</v>
      </c>
      <c r="D411" t="s">
        <v>575</v>
      </c>
      <c r="E411" t="s">
        <v>883</v>
      </c>
      <c r="G411" t="s">
        <v>700</v>
      </c>
      <c r="H411" s="7" t="s">
        <v>1042</v>
      </c>
      <c r="I411"/>
    </row>
    <row r="412" spans="1:9">
      <c r="A412" s="1" t="s">
        <v>85</v>
      </c>
      <c r="B412" t="s">
        <v>560</v>
      </c>
      <c r="C412" t="s">
        <v>562</v>
      </c>
      <c r="D412" t="s">
        <v>2487</v>
      </c>
      <c r="E412" t="s">
        <v>2488</v>
      </c>
      <c r="F412" t="s">
        <v>2478</v>
      </c>
      <c r="G412" t="s">
        <v>620</v>
      </c>
      <c r="H412" s="7" t="s">
        <v>1043</v>
      </c>
      <c r="I412" s="139">
        <v>613.36</v>
      </c>
    </row>
    <row r="413" spans="1:9">
      <c r="A413" s="1" t="s">
        <v>209</v>
      </c>
      <c r="B413" t="s">
        <v>560</v>
      </c>
      <c r="C413" t="s">
        <v>566</v>
      </c>
      <c r="D413" t="s">
        <v>575</v>
      </c>
      <c r="E413" t="s">
        <v>731</v>
      </c>
      <c r="G413" t="s">
        <v>621</v>
      </c>
      <c r="H413" s="7" t="s">
        <v>1044</v>
      </c>
      <c r="I413"/>
    </row>
    <row r="414" spans="1:9">
      <c r="A414" s="1" t="s">
        <v>63</v>
      </c>
      <c r="B414" t="s">
        <v>560</v>
      </c>
      <c r="C414" t="s">
        <v>566</v>
      </c>
      <c r="D414" t="s">
        <v>577</v>
      </c>
      <c r="E414" t="s">
        <v>770</v>
      </c>
      <c r="G414" t="s">
        <v>618</v>
      </c>
      <c r="H414" s="11" t="s">
        <v>1045</v>
      </c>
      <c r="I414"/>
    </row>
    <row r="415" spans="1:9">
      <c r="A415" s="1" t="s">
        <v>378</v>
      </c>
      <c r="B415" t="s">
        <v>560</v>
      </c>
      <c r="C415" t="s">
        <v>566</v>
      </c>
      <c r="D415" t="s">
        <v>569</v>
      </c>
      <c r="E415" t="s">
        <v>617</v>
      </c>
      <c r="G415" t="s">
        <v>618</v>
      </c>
      <c r="H415" s="7">
        <v>580</v>
      </c>
      <c r="I415"/>
    </row>
    <row r="416" spans="1:9">
      <c r="A416" s="1" t="s">
        <v>512</v>
      </c>
      <c r="B416" t="s">
        <v>560</v>
      </c>
      <c r="C416" t="s">
        <v>562</v>
      </c>
      <c r="D416" t="s">
        <v>577</v>
      </c>
      <c r="E416" t="s">
        <v>593</v>
      </c>
      <c r="G416" t="s">
        <v>622</v>
      </c>
      <c r="H416" s="7" t="s">
        <v>1046</v>
      </c>
      <c r="I416"/>
    </row>
    <row r="417" spans="1:9">
      <c r="A417" s="1" t="s">
        <v>120</v>
      </c>
      <c r="B417" t="s">
        <v>560</v>
      </c>
      <c r="C417" t="s">
        <v>562</v>
      </c>
      <c r="D417" t="s">
        <v>569</v>
      </c>
      <c r="E417" t="s">
        <v>570</v>
      </c>
      <c r="G417" t="s">
        <v>620</v>
      </c>
      <c r="H417" s="7" t="s">
        <v>1047</v>
      </c>
      <c r="I417"/>
    </row>
    <row r="418" spans="1:9">
      <c r="A418" s="1" t="s">
        <v>22</v>
      </c>
      <c r="B418" t="s">
        <v>560</v>
      </c>
      <c r="C418" t="s">
        <v>562</v>
      </c>
      <c r="D418" t="s">
        <v>577</v>
      </c>
      <c r="E418" t="s">
        <v>1048</v>
      </c>
      <c r="F418" t="s">
        <v>2475</v>
      </c>
      <c r="G418" t="s">
        <v>618</v>
      </c>
      <c r="H418" s="7" t="s">
        <v>1049</v>
      </c>
      <c r="I418" s="139">
        <v>5480</v>
      </c>
    </row>
    <row r="419" spans="1:9">
      <c r="A419" s="1" t="s">
        <v>141</v>
      </c>
      <c r="B419" t="s">
        <v>560</v>
      </c>
      <c r="C419" t="s">
        <v>562</v>
      </c>
      <c r="D419" t="s">
        <v>577</v>
      </c>
      <c r="E419" t="s">
        <v>746</v>
      </c>
      <c r="F419" t="s">
        <v>2461</v>
      </c>
      <c r="G419" t="s">
        <v>618</v>
      </c>
      <c r="H419" s="7" t="s">
        <v>1050</v>
      </c>
      <c r="I419"/>
    </row>
    <row r="420" spans="1:9">
      <c r="A420" s="1" t="s">
        <v>513</v>
      </c>
      <c r="B420" t="s">
        <v>568</v>
      </c>
      <c r="C420" t="s">
        <v>566</v>
      </c>
      <c r="D420" s="8" t="s">
        <v>567</v>
      </c>
      <c r="E420" s="8" t="s">
        <v>567</v>
      </c>
      <c r="F420" s="8"/>
      <c r="G420" s="8" t="s">
        <v>654</v>
      </c>
      <c r="H420" s="9" t="s">
        <v>654</v>
      </c>
      <c r="I420"/>
    </row>
    <row r="421" spans="1:9">
      <c r="A421" s="1" t="s">
        <v>25</v>
      </c>
      <c r="B421" t="s">
        <v>560</v>
      </c>
      <c r="C421" t="s">
        <v>562</v>
      </c>
      <c r="D421" t="s">
        <v>585</v>
      </c>
      <c r="E421" t="s">
        <v>586</v>
      </c>
      <c r="G421" t="s">
        <v>618</v>
      </c>
      <c r="H421" s="11" t="s">
        <v>1051</v>
      </c>
      <c r="I421"/>
    </row>
    <row r="422" spans="1:9">
      <c r="A422" s="1" t="s">
        <v>190</v>
      </c>
      <c r="B422" t="s">
        <v>560</v>
      </c>
      <c r="C422" t="s">
        <v>566</v>
      </c>
      <c r="D422" t="s">
        <v>577</v>
      </c>
      <c r="E422" t="s">
        <v>590</v>
      </c>
      <c r="G422" t="s">
        <v>618</v>
      </c>
      <c r="H422" s="7" t="s">
        <v>1052</v>
      </c>
      <c r="I422"/>
    </row>
    <row r="423" spans="1:9">
      <c r="A423" s="1" t="s">
        <v>12</v>
      </c>
      <c r="B423" t="s">
        <v>560</v>
      </c>
      <c r="C423" t="s">
        <v>562</v>
      </c>
      <c r="D423" t="s">
        <v>577</v>
      </c>
      <c r="E423" t="s">
        <v>589</v>
      </c>
      <c r="G423" t="s">
        <v>618</v>
      </c>
      <c r="H423" s="7" t="s">
        <v>1053</v>
      </c>
      <c r="I423"/>
    </row>
    <row r="424" spans="1:9">
      <c r="A424" s="1" t="s">
        <v>514</v>
      </c>
      <c r="B424" t="s">
        <v>568</v>
      </c>
      <c r="C424" t="s">
        <v>566</v>
      </c>
      <c r="D424" s="8" t="s">
        <v>567</v>
      </c>
      <c r="E424" s="8" t="s">
        <v>567</v>
      </c>
      <c r="F424" s="8"/>
      <c r="G424" s="8" t="s">
        <v>654</v>
      </c>
      <c r="H424" s="9" t="s">
        <v>654</v>
      </c>
      <c r="I424"/>
    </row>
    <row r="425" spans="1:9">
      <c r="A425" s="1" t="s">
        <v>515</v>
      </c>
      <c r="B425" t="s">
        <v>560</v>
      </c>
      <c r="C425" t="s">
        <v>566</v>
      </c>
      <c r="D425" t="s">
        <v>569</v>
      </c>
      <c r="E425" t="s">
        <v>572</v>
      </c>
      <c r="G425" t="s">
        <v>620</v>
      </c>
      <c r="H425" s="7" t="s">
        <v>1054</v>
      </c>
      <c r="I425"/>
    </row>
    <row r="426" spans="1:9">
      <c r="A426" s="1" t="s">
        <v>266</v>
      </c>
      <c r="B426" t="s">
        <v>560</v>
      </c>
      <c r="C426" t="s">
        <v>562</v>
      </c>
      <c r="D426" t="s">
        <v>569</v>
      </c>
      <c r="E426" t="s">
        <v>733</v>
      </c>
      <c r="G426" t="s">
        <v>620</v>
      </c>
      <c r="H426" s="7" t="s">
        <v>1055</v>
      </c>
      <c r="I426"/>
    </row>
    <row r="427" spans="1:9">
      <c r="A427" s="1" t="s">
        <v>516</v>
      </c>
      <c r="B427" t="s">
        <v>560</v>
      </c>
      <c r="C427" t="s">
        <v>566</v>
      </c>
      <c r="D427" t="s">
        <v>577</v>
      </c>
      <c r="E427" t="s">
        <v>593</v>
      </c>
      <c r="G427" t="s">
        <v>618</v>
      </c>
      <c r="H427" s="7" t="s">
        <v>1056</v>
      </c>
      <c r="I427"/>
    </row>
    <row r="428" spans="1:9">
      <c r="A428" s="1" t="s">
        <v>7</v>
      </c>
      <c r="B428" t="s">
        <v>560</v>
      </c>
      <c r="C428" t="s">
        <v>562</v>
      </c>
      <c r="D428" t="s">
        <v>597</v>
      </c>
      <c r="E428" t="s">
        <v>752</v>
      </c>
      <c r="G428" t="s">
        <v>618</v>
      </c>
      <c r="H428" s="7" t="s">
        <v>1057</v>
      </c>
      <c r="I428"/>
    </row>
    <row r="429" spans="1:9">
      <c r="A429" s="1" t="s">
        <v>517</v>
      </c>
      <c r="B429" t="s">
        <v>560</v>
      </c>
      <c r="C429" t="s">
        <v>566</v>
      </c>
      <c r="D429" t="s">
        <v>577</v>
      </c>
      <c r="E429" t="s">
        <v>770</v>
      </c>
      <c r="G429" t="s">
        <v>618</v>
      </c>
      <c r="H429" s="7" t="s">
        <v>1058</v>
      </c>
      <c r="I429"/>
    </row>
    <row r="430" spans="1:9">
      <c r="A430" s="1" t="s">
        <v>518</v>
      </c>
      <c r="B430" t="s">
        <v>560</v>
      </c>
      <c r="C430" t="s">
        <v>566</v>
      </c>
      <c r="D430" t="s">
        <v>577</v>
      </c>
      <c r="E430" t="s">
        <v>581</v>
      </c>
      <c r="G430" t="s">
        <v>622</v>
      </c>
      <c r="H430" s="7" t="s">
        <v>1059</v>
      </c>
      <c r="I430"/>
    </row>
    <row r="431" spans="1:9">
      <c r="A431" s="1" t="s">
        <v>519</v>
      </c>
      <c r="B431" t="s">
        <v>560</v>
      </c>
      <c r="C431" t="s">
        <v>566</v>
      </c>
      <c r="D431" t="s">
        <v>573</v>
      </c>
      <c r="E431" t="s">
        <v>591</v>
      </c>
      <c r="F431" t="s">
        <v>2463</v>
      </c>
      <c r="G431" t="s">
        <v>620</v>
      </c>
      <c r="H431" s="7" t="s">
        <v>1060</v>
      </c>
      <c r="I431"/>
    </row>
    <row r="432" spans="1:9">
      <c r="A432" s="1" t="s">
        <v>520</v>
      </c>
      <c r="B432" t="s">
        <v>560</v>
      </c>
      <c r="C432" t="s">
        <v>566</v>
      </c>
      <c r="D432" t="s">
        <v>577</v>
      </c>
      <c r="E432" t="s">
        <v>588</v>
      </c>
      <c r="G432" t="s">
        <v>620</v>
      </c>
      <c r="H432" s="7" t="s">
        <v>1061</v>
      </c>
      <c r="I432"/>
    </row>
    <row r="433" spans="1:9">
      <c r="A433" s="1" t="s">
        <v>521</v>
      </c>
      <c r="B433" t="s">
        <v>560</v>
      </c>
      <c r="C433" t="s">
        <v>566</v>
      </c>
      <c r="D433" t="s">
        <v>575</v>
      </c>
      <c r="E433" t="s">
        <v>741</v>
      </c>
      <c r="G433" t="s">
        <v>618</v>
      </c>
      <c r="H433" s="7" t="s">
        <v>1062</v>
      </c>
      <c r="I433"/>
    </row>
    <row r="434" spans="1:9">
      <c r="A434" s="1" t="s">
        <v>43</v>
      </c>
      <c r="B434" t="s">
        <v>560</v>
      </c>
      <c r="C434" t="s">
        <v>562</v>
      </c>
      <c r="D434" t="s">
        <v>699</v>
      </c>
      <c r="E434" t="s">
        <v>764</v>
      </c>
      <c r="G434" t="s">
        <v>618</v>
      </c>
      <c r="H434" s="7" t="s">
        <v>1193</v>
      </c>
      <c r="I434"/>
    </row>
    <row r="435" spans="1:9">
      <c r="A435" s="1" t="s">
        <v>299</v>
      </c>
      <c r="B435" t="s">
        <v>560</v>
      </c>
      <c r="C435" t="s">
        <v>562</v>
      </c>
      <c r="D435" t="s">
        <v>699</v>
      </c>
      <c r="E435" t="s">
        <v>698</v>
      </c>
      <c r="G435" t="s">
        <v>622</v>
      </c>
      <c r="H435" s="7" t="s">
        <v>1063</v>
      </c>
      <c r="I435"/>
    </row>
    <row r="436" spans="1:9">
      <c r="A436" s="1" t="s">
        <v>522</v>
      </c>
      <c r="B436" t="s">
        <v>560</v>
      </c>
      <c r="C436" t="s">
        <v>566</v>
      </c>
      <c r="D436" t="s">
        <v>625</v>
      </c>
      <c r="E436" t="s">
        <v>1065</v>
      </c>
      <c r="G436" t="s">
        <v>621</v>
      </c>
      <c r="H436" s="7" t="s">
        <v>1064</v>
      </c>
      <c r="I436"/>
    </row>
    <row r="437" spans="1:9">
      <c r="A437" s="1" t="s">
        <v>268</v>
      </c>
      <c r="B437" t="s">
        <v>560</v>
      </c>
      <c r="C437" t="s">
        <v>562</v>
      </c>
      <c r="D437" t="s">
        <v>577</v>
      </c>
      <c r="E437" t="s">
        <v>714</v>
      </c>
      <c r="G437" t="s">
        <v>618</v>
      </c>
      <c r="H437" s="7">
        <v>566</v>
      </c>
      <c r="I437"/>
    </row>
    <row r="438" spans="1:9">
      <c r="A438" s="1" t="s">
        <v>13</v>
      </c>
      <c r="B438" t="s">
        <v>560</v>
      </c>
      <c r="C438" t="s">
        <v>562</v>
      </c>
      <c r="D438" t="s">
        <v>577</v>
      </c>
      <c r="E438" t="s">
        <v>1067</v>
      </c>
      <c r="F438" t="s">
        <v>2467</v>
      </c>
      <c r="G438" t="s">
        <v>618</v>
      </c>
      <c r="H438" s="7" t="s">
        <v>1066</v>
      </c>
      <c r="I438" s="139">
        <v>21380</v>
      </c>
    </row>
    <row r="439" spans="1:9">
      <c r="A439" s="1" t="s">
        <v>66</v>
      </c>
      <c r="B439" t="s">
        <v>560</v>
      </c>
      <c r="C439" t="s">
        <v>562</v>
      </c>
      <c r="D439" t="s">
        <v>577</v>
      </c>
      <c r="E439" t="s">
        <v>1048</v>
      </c>
      <c r="F439" t="s">
        <v>2476</v>
      </c>
      <c r="G439" t="s">
        <v>618</v>
      </c>
      <c r="H439" s="7" t="s">
        <v>1068</v>
      </c>
      <c r="I439" s="139">
        <v>3760</v>
      </c>
    </row>
    <row r="440" spans="1:9">
      <c r="A440" s="1" t="s">
        <v>221</v>
      </c>
      <c r="B440" t="s">
        <v>560</v>
      </c>
      <c r="C440" t="s">
        <v>562</v>
      </c>
      <c r="D440" t="s">
        <v>607</v>
      </c>
      <c r="E440" t="s">
        <v>723</v>
      </c>
      <c r="G440" t="s">
        <v>618</v>
      </c>
      <c r="H440" s="7" t="s">
        <v>1069</v>
      </c>
      <c r="I440"/>
    </row>
    <row r="441" spans="1:9">
      <c r="A441" s="1" t="s">
        <v>523</v>
      </c>
      <c r="B441" t="s">
        <v>560</v>
      </c>
      <c r="C441" t="s">
        <v>566</v>
      </c>
      <c r="D441" t="s">
        <v>573</v>
      </c>
      <c r="E441" t="s">
        <v>744</v>
      </c>
      <c r="G441" t="s">
        <v>621</v>
      </c>
      <c r="H441" s="7" t="s">
        <v>1070</v>
      </c>
      <c r="I441"/>
    </row>
    <row r="442" spans="1:9">
      <c r="A442" s="1" t="s">
        <v>524</v>
      </c>
      <c r="B442" t="s">
        <v>560</v>
      </c>
      <c r="C442" t="s">
        <v>562</v>
      </c>
      <c r="D442" t="s">
        <v>577</v>
      </c>
      <c r="E442" t="s">
        <v>1071</v>
      </c>
      <c r="G442" t="s">
        <v>618</v>
      </c>
      <c r="H442" s="7" t="s">
        <v>1072</v>
      </c>
      <c r="I442"/>
    </row>
    <row r="443" spans="1:9">
      <c r="A443" s="1" t="s">
        <v>525</v>
      </c>
      <c r="B443" t="s">
        <v>568</v>
      </c>
      <c r="C443" t="s">
        <v>566</v>
      </c>
      <c r="D443" s="8" t="s">
        <v>567</v>
      </c>
      <c r="E443" s="8" t="s">
        <v>567</v>
      </c>
      <c r="F443" s="8"/>
      <c r="G443" s="8" t="s">
        <v>654</v>
      </c>
      <c r="H443" s="9" t="s">
        <v>654</v>
      </c>
      <c r="I443"/>
    </row>
    <row r="444" spans="1:9">
      <c r="A444" s="1" t="s">
        <v>83</v>
      </c>
      <c r="B444" t="s">
        <v>560</v>
      </c>
      <c r="C444" t="s">
        <v>562</v>
      </c>
      <c r="D444" t="s">
        <v>597</v>
      </c>
      <c r="E444" t="s">
        <v>890</v>
      </c>
      <c r="G444" t="s">
        <v>618</v>
      </c>
      <c r="H444" s="7" t="s">
        <v>1073</v>
      </c>
      <c r="I444"/>
    </row>
    <row r="445" spans="1:9">
      <c r="A445" s="1" t="s">
        <v>320</v>
      </c>
      <c r="B445" t="s">
        <v>560</v>
      </c>
      <c r="C445" t="s">
        <v>566</v>
      </c>
      <c r="D445" t="s">
        <v>1075</v>
      </c>
      <c r="E445" t="s">
        <v>1075</v>
      </c>
      <c r="G445" t="s">
        <v>1075</v>
      </c>
      <c r="H445" s="7" t="s">
        <v>1074</v>
      </c>
      <c r="I445"/>
    </row>
    <row r="446" spans="1:9">
      <c r="A446" s="1" t="s">
        <v>526</v>
      </c>
      <c r="B446" t="s">
        <v>568</v>
      </c>
      <c r="C446" t="s">
        <v>566</v>
      </c>
      <c r="D446" s="8" t="s">
        <v>567</v>
      </c>
      <c r="E446" s="8" t="s">
        <v>567</v>
      </c>
      <c r="F446" s="8"/>
      <c r="G446" s="8" t="s">
        <v>654</v>
      </c>
      <c r="H446" s="9" t="s">
        <v>654</v>
      </c>
      <c r="I446"/>
    </row>
    <row r="447" spans="1:9">
      <c r="A447" s="1" t="s">
        <v>84</v>
      </c>
      <c r="B447" t="s">
        <v>560</v>
      </c>
      <c r="C447" t="s">
        <v>562</v>
      </c>
      <c r="D447" t="s">
        <v>594</v>
      </c>
      <c r="E447" t="s">
        <v>596</v>
      </c>
      <c r="F447" t="s">
        <v>2472</v>
      </c>
      <c r="G447" t="s">
        <v>618</v>
      </c>
      <c r="H447" s="7" t="s">
        <v>1076</v>
      </c>
      <c r="I447" s="139">
        <v>5290</v>
      </c>
    </row>
    <row r="448" spans="1:9">
      <c r="A448" s="1" t="s">
        <v>98</v>
      </c>
      <c r="B448" t="s">
        <v>560</v>
      </c>
      <c r="C448" t="s">
        <v>562</v>
      </c>
      <c r="D448" t="s">
        <v>594</v>
      </c>
      <c r="E448" t="s">
        <v>702</v>
      </c>
      <c r="F448" t="s">
        <v>2482</v>
      </c>
      <c r="G448" t="s">
        <v>618</v>
      </c>
      <c r="H448" s="7" t="s">
        <v>1077</v>
      </c>
      <c r="I448" s="139">
        <v>266.66000000000003</v>
      </c>
    </row>
    <row r="449" spans="1:10" ht="19.8" customHeight="1">
      <c r="A449" s="1" t="s">
        <v>3</v>
      </c>
      <c r="B449" t="s">
        <v>560</v>
      </c>
      <c r="C449" t="s">
        <v>562</v>
      </c>
      <c r="D449" t="s">
        <v>577</v>
      </c>
      <c r="E449" t="s">
        <v>610</v>
      </c>
      <c r="F449" s="37" t="s">
        <v>2437</v>
      </c>
      <c r="G449" t="s">
        <v>618</v>
      </c>
      <c r="H449" s="7" t="s">
        <v>1078</v>
      </c>
      <c r="I449">
        <v>810.46</v>
      </c>
      <c r="J449">
        <v>1</v>
      </c>
    </row>
    <row r="450" spans="1:10">
      <c r="A450" s="1" t="s">
        <v>213</v>
      </c>
      <c r="B450" t="s">
        <v>560</v>
      </c>
      <c r="C450" t="s">
        <v>562</v>
      </c>
      <c r="D450" t="s">
        <v>577</v>
      </c>
      <c r="E450" t="s">
        <v>613</v>
      </c>
      <c r="G450" t="s">
        <v>620</v>
      </c>
      <c r="H450" s="7" t="s">
        <v>1079</v>
      </c>
      <c r="I450"/>
    </row>
    <row r="451" spans="1:10">
      <c r="A451" s="1" t="s">
        <v>4</v>
      </c>
      <c r="B451" t="s">
        <v>560</v>
      </c>
      <c r="C451" t="s">
        <v>562</v>
      </c>
      <c r="D451" t="s">
        <v>625</v>
      </c>
      <c r="E451" t="s">
        <v>709</v>
      </c>
      <c r="G451" t="s">
        <v>618</v>
      </c>
      <c r="H451" s="7" t="s">
        <v>1080</v>
      </c>
      <c r="I451"/>
    </row>
    <row r="452" spans="1:10">
      <c r="A452" s="1" t="s">
        <v>89</v>
      </c>
      <c r="B452" t="s">
        <v>560</v>
      </c>
      <c r="C452" t="s">
        <v>562</v>
      </c>
      <c r="D452" t="s">
        <v>625</v>
      </c>
      <c r="E452" t="s">
        <v>709</v>
      </c>
      <c r="G452" t="s">
        <v>618</v>
      </c>
      <c r="H452" s="7" t="s">
        <v>1081</v>
      </c>
      <c r="I452"/>
    </row>
    <row r="453" spans="1:10">
      <c r="A453" s="1" t="s">
        <v>527</v>
      </c>
      <c r="B453" t="s">
        <v>568</v>
      </c>
      <c r="C453" t="s">
        <v>566</v>
      </c>
      <c r="D453" s="8" t="s">
        <v>567</v>
      </c>
      <c r="E453" s="8" t="s">
        <v>567</v>
      </c>
      <c r="F453" s="8"/>
      <c r="G453" s="8" t="s">
        <v>654</v>
      </c>
      <c r="H453" s="9" t="s">
        <v>654</v>
      </c>
      <c r="I453"/>
    </row>
    <row r="454" spans="1:10">
      <c r="A454" s="1" t="s">
        <v>528</v>
      </c>
      <c r="B454" t="s">
        <v>560</v>
      </c>
      <c r="C454" t="s">
        <v>566</v>
      </c>
      <c r="D454" t="s">
        <v>569</v>
      </c>
      <c r="E454" t="s">
        <v>612</v>
      </c>
      <c r="G454" t="s">
        <v>616</v>
      </c>
      <c r="H454" s="7" t="s">
        <v>1082</v>
      </c>
      <c r="I454"/>
    </row>
    <row r="455" spans="1:10">
      <c r="A455" s="1" t="s">
        <v>361</v>
      </c>
      <c r="B455" t="s">
        <v>560</v>
      </c>
      <c r="C455" t="s">
        <v>562</v>
      </c>
      <c r="D455" t="s">
        <v>585</v>
      </c>
      <c r="E455" t="s">
        <v>705</v>
      </c>
      <c r="G455" t="s">
        <v>622</v>
      </c>
      <c r="H455" s="7" t="s">
        <v>1083</v>
      </c>
      <c r="I455"/>
    </row>
    <row r="456" spans="1:10">
      <c r="A456" s="1" t="s">
        <v>272</v>
      </c>
      <c r="B456" t="s">
        <v>560</v>
      </c>
      <c r="C456" t="s">
        <v>566</v>
      </c>
      <c r="D456" t="s">
        <v>573</v>
      </c>
      <c r="E456" t="s">
        <v>711</v>
      </c>
      <c r="G456" t="s">
        <v>618</v>
      </c>
      <c r="H456" s="7" t="s">
        <v>1084</v>
      </c>
      <c r="I456"/>
    </row>
    <row r="457" spans="1:10">
      <c r="A457" s="1" t="s">
        <v>48</v>
      </c>
      <c r="B457" t="s">
        <v>560</v>
      </c>
      <c r="C457" t="s">
        <v>562</v>
      </c>
      <c r="D457" t="s">
        <v>577</v>
      </c>
      <c r="E457" t="s">
        <v>593</v>
      </c>
      <c r="G457" t="s">
        <v>618</v>
      </c>
      <c r="H457" s="7" t="s">
        <v>1192</v>
      </c>
      <c r="I457"/>
    </row>
    <row r="458" spans="1:10">
      <c r="A458" s="1" t="s">
        <v>212</v>
      </c>
      <c r="B458" t="s">
        <v>560</v>
      </c>
      <c r="C458" t="s">
        <v>566</v>
      </c>
      <c r="D458" t="s">
        <v>575</v>
      </c>
      <c r="E458" t="s">
        <v>602</v>
      </c>
      <c r="G458" t="s">
        <v>618</v>
      </c>
      <c r="H458" s="7" t="s">
        <v>1085</v>
      </c>
      <c r="I458"/>
    </row>
    <row r="459" spans="1:10">
      <c r="A459" s="1" t="s">
        <v>312</v>
      </c>
      <c r="B459" t="s">
        <v>560</v>
      </c>
      <c r="C459" t="s">
        <v>562</v>
      </c>
      <c r="D459" t="s">
        <v>573</v>
      </c>
      <c r="E459" t="s">
        <v>574</v>
      </c>
      <c r="G459" t="s">
        <v>618</v>
      </c>
      <c r="H459" s="7" t="s">
        <v>1086</v>
      </c>
      <c r="I459"/>
    </row>
    <row r="460" spans="1:10">
      <c r="A460" s="1" t="s">
        <v>305</v>
      </c>
      <c r="B460" t="s">
        <v>560</v>
      </c>
      <c r="C460" t="s">
        <v>562</v>
      </c>
      <c r="D460" t="s">
        <v>577</v>
      </c>
      <c r="E460" t="s">
        <v>609</v>
      </c>
      <c r="F460" t="s">
        <v>2438</v>
      </c>
      <c r="G460" t="s">
        <v>618</v>
      </c>
      <c r="H460" s="7" t="s">
        <v>1087</v>
      </c>
      <c r="I460">
        <v>27.57</v>
      </c>
      <c r="J460">
        <v>1</v>
      </c>
    </row>
    <row r="461" spans="1:10">
      <c r="A461" s="1" t="s">
        <v>315</v>
      </c>
      <c r="B461" t="s">
        <v>560</v>
      </c>
      <c r="C461" t="s">
        <v>562</v>
      </c>
      <c r="D461" t="s">
        <v>573</v>
      </c>
      <c r="E461" t="s">
        <v>977</v>
      </c>
      <c r="G461" t="s">
        <v>622</v>
      </c>
      <c r="H461" s="7" t="s">
        <v>1088</v>
      </c>
      <c r="I461"/>
    </row>
    <row r="462" spans="1:10">
      <c r="A462" s="1" t="s">
        <v>529</v>
      </c>
      <c r="B462" t="s">
        <v>560</v>
      </c>
      <c r="C462" t="s">
        <v>566</v>
      </c>
      <c r="D462" t="s">
        <v>575</v>
      </c>
      <c r="E462" t="s">
        <v>600</v>
      </c>
      <c r="G462" t="s">
        <v>621</v>
      </c>
      <c r="H462" s="7" t="s">
        <v>1089</v>
      </c>
      <c r="I462"/>
    </row>
    <row r="463" spans="1:10">
      <c r="A463" s="1" t="s">
        <v>530</v>
      </c>
      <c r="B463" t="s">
        <v>560</v>
      </c>
      <c r="C463" t="s">
        <v>566</v>
      </c>
      <c r="D463" t="s">
        <v>625</v>
      </c>
      <c r="E463" t="s">
        <v>811</v>
      </c>
      <c r="G463" t="s">
        <v>620</v>
      </c>
      <c r="H463" s="7" t="s">
        <v>1090</v>
      </c>
      <c r="I463"/>
    </row>
    <row r="464" spans="1:10">
      <c r="A464" s="1" t="s">
        <v>195</v>
      </c>
      <c r="B464" t="s">
        <v>560</v>
      </c>
      <c r="C464" t="s">
        <v>562</v>
      </c>
      <c r="D464" t="s">
        <v>577</v>
      </c>
      <c r="E464" t="s">
        <v>1091</v>
      </c>
      <c r="G464" t="s">
        <v>618</v>
      </c>
      <c r="H464" s="7">
        <v>564</v>
      </c>
      <c r="I464"/>
    </row>
    <row r="465" spans="1:10">
      <c r="A465" s="1" t="s">
        <v>233</v>
      </c>
      <c r="B465" t="s">
        <v>560</v>
      </c>
      <c r="C465" t="s">
        <v>562</v>
      </c>
      <c r="D465" t="s">
        <v>597</v>
      </c>
      <c r="E465" t="s">
        <v>890</v>
      </c>
      <c r="G465" t="s">
        <v>618</v>
      </c>
      <c r="H465" s="7" t="s">
        <v>1092</v>
      </c>
      <c r="I465"/>
    </row>
    <row r="466" spans="1:10">
      <c r="A466" s="1" t="s">
        <v>274</v>
      </c>
      <c r="B466" t="s">
        <v>560</v>
      </c>
      <c r="C466" t="s">
        <v>562</v>
      </c>
      <c r="D466" t="s">
        <v>575</v>
      </c>
      <c r="E466" t="s">
        <v>731</v>
      </c>
      <c r="G466" t="s">
        <v>1093</v>
      </c>
      <c r="H466" s="7" t="s">
        <v>1094</v>
      </c>
      <c r="I466"/>
    </row>
    <row r="467" spans="1:10">
      <c r="A467" s="1" t="s">
        <v>531</v>
      </c>
      <c r="B467" t="s">
        <v>560</v>
      </c>
      <c r="C467" t="s">
        <v>562</v>
      </c>
      <c r="D467" t="s">
        <v>575</v>
      </c>
      <c r="E467" t="s">
        <v>731</v>
      </c>
      <c r="G467" t="s">
        <v>1093</v>
      </c>
      <c r="H467" s="7" t="s">
        <v>1095</v>
      </c>
      <c r="I467"/>
    </row>
    <row r="468" spans="1:10">
      <c r="A468" s="1" t="s">
        <v>8</v>
      </c>
      <c r="B468" t="s">
        <v>560</v>
      </c>
      <c r="C468" t="s">
        <v>562</v>
      </c>
      <c r="D468" t="s">
        <v>2485</v>
      </c>
      <c r="E468" t="s">
        <v>2486</v>
      </c>
      <c r="F468" t="s">
        <v>2477</v>
      </c>
      <c r="G468" t="s">
        <v>618</v>
      </c>
      <c r="H468" s="7" t="s">
        <v>1096</v>
      </c>
      <c r="I468" s="139">
        <v>31950</v>
      </c>
    </row>
    <row r="469" spans="1:10">
      <c r="A469" s="1" t="s">
        <v>532</v>
      </c>
      <c r="B469" t="s">
        <v>560</v>
      </c>
      <c r="C469" t="s">
        <v>566</v>
      </c>
      <c r="D469" t="s">
        <v>573</v>
      </c>
      <c r="E469" t="s">
        <v>574</v>
      </c>
      <c r="G469" t="s">
        <v>619</v>
      </c>
      <c r="H469" s="7" t="s">
        <v>1097</v>
      </c>
      <c r="I469"/>
    </row>
    <row r="470" spans="1:10">
      <c r="A470" s="1" t="s">
        <v>150</v>
      </c>
      <c r="B470" t="s">
        <v>560</v>
      </c>
      <c r="C470" t="s">
        <v>562</v>
      </c>
      <c r="D470" t="s">
        <v>573</v>
      </c>
      <c r="E470" t="s">
        <v>591</v>
      </c>
      <c r="F470" t="s">
        <v>2463</v>
      </c>
      <c r="G470" t="s">
        <v>618</v>
      </c>
      <c r="H470" s="7" t="s">
        <v>1098</v>
      </c>
      <c r="I470"/>
    </row>
    <row r="471" spans="1:10">
      <c r="A471" s="1" t="s">
        <v>226</v>
      </c>
      <c r="B471" t="s">
        <v>560</v>
      </c>
      <c r="C471" t="s">
        <v>562</v>
      </c>
      <c r="D471" t="s">
        <v>573</v>
      </c>
      <c r="E471" t="s">
        <v>584</v>
      </c>
      <c r="G471" t="s">
        <v>618</v>
      </c>
      <c r="H471" s="7" t="s">
        <v>1099</v>
      </c>
      <c r="I471"/>
    </row>
    <row r="472" spans="1:10">
      <c r="A472" s="1" t="s">
        <v>55</v>
      </c>
      <c r="B472" t="s">
        <v>560</v>
      </c>
      <c r="C472" t="s">
        <v>562</v>
      </c>
      <c r="D472" t="s">
        <v>625</v>
      </c>
      <c r="E472" t="s">
        <v>709</v>
      </c>
      <c r="G472" t="s">
        <v>618</v>
      </c>
      <c r="H472" s="7" t="s">
        <v>1100</v>
      </c>
      <c r="I472"/>
    </row>
    <row r="473" spans="1:10">
      <c r="A473" s="1" t="s">
        <v>261</v>
      </c>
      <c r="B473" t="s">
        <v>560</v>
      </c>
      <c r="C473" t="s">
        <v>562</v>
      </c>
      <c r="D473" t="s">
        <v>573</v>
      </c>
      <c r="E473" t="s">
        <v>744</v>
      </c>
      <c r="G473" t="s">
        <v>618</v>
      </c>
      <c r="H473" s="7" t="s">
        <v>1101</v>
      </c>
      <c r="I473"/>
    </row>
    <row r="474" spans="1:10">
      <c r="A474" s="1" t="s">
        <v>159</v>
      </c>
      <c r="B474" t="s">
        <v>560</v>
      </c>
      <c r="C474" t="s">
        <v>562</v>
      </c>
      <c r="D474" t="s">
        <v>575</v>
      </c>
      <c r="E474" t="s">
        <v>605</v>
      </c>
      <c r="G474" t="s">
        <v>618</v>
      </c>
      <c r="H474" s="7" t="s">
        <v>1102</v>
      </c>
      <c r="I474"/>
    </row>
    <row r="475" spans="1:10">
      <c r="A475" s="1" t="s">
        <v>148</v>
      </c>
      <c r="B475" t="s">
        <v>560</v>
      </c>
      <c r="C475" t="s">
        <v>562</v>
      </c>
      <c r="D475" t="s">
        <v>699</v>
      </c>
      <c r="E475" t="s">
        <v>704</v>
      </c>
      <c r="G475" t="s">
        <v>618</v>
      </c>
      <c r="H475" s="7" t="s">
        <v>1103</v>
      </c>
      <c r="I475"/>
    </row>
    <row r="476" spans="1:10">
      <c r="A476" s="1" t="s">
        <v>29</v>
      </c>
      <c r="B476" t="s">
        <v>560</v>
      </c>
      <c r="C476" t="s">
        <v>562</v>
      </c>
      <c r="D476" t="s">
        <v>607</v>
      </c>
      <c r="E476" t="s">
        <v>606</v>
      </c>
      <c r="G476" t="s">
        <v>622</v>
      </c>
      <c r="H476" s="7" t="s">
        <v>1104</v>
      </c>
      <c r="I476"/>
    </row>
    <row r="477" spans="1:10">
      <c r="A477" s="1" t="s">
        <v>533</v>
      </c>
      <c r="B477" t="s">
        <v>560</v>
      </c>
      <c r="C477" t="s">
        <v>562</v>
      </c>
      <c r="D477" t="s">
        <v>569</v>
      </c>
      <c r="E477" t="s">
        <v>819</v>
      </c>
      <c r="G477" t="s">
        <v>618</v>
      </c>
      <c r="H477" s="7" t="s">
        <v>1105</v>
      </c>
      <c r="I477"/>
    </row>
    <row r="478" spans="1:10">
      <c r="A478" s="1" t="s">
        <v>245</v>
      </c>
      <c r="B478" t="s">
        <v>560</v>
      </c>
      <c r="C478" t="s">
        <v>566</v>
      </c>
      <c r="D478" t="s">
        <v>594</v>
      </c>
      <c r="E478" t="s">
        <v>702</v>
      </c>
      <c r="F478" t="s">
        <v>2133</v>
      </c>
      <c r="G478" t="s">
        <v>618</v>
      </c>
      <c r="H478" s="7">
        <v>581</v>
      </c>
      <c r="I478" s="59">
        <v>8.26</v>
      </c>
      <c r="J478">
        <v>1</v>
      </c>
    </row>
    <row r="479" spans="1:10">
      <c r="A479" s="1" t="s">
        <v>534</v>
      </c>
      <c r="B479" t="s">
        <v>560</v>
      </c>
      <c r="C479" t="s">
        <v>562</v>
      </c>
      <c r="D479" t="s">
        <v>699</v>
      </c>
      <c r="E479" t="s">
        <v>728</v>
      </c>
      <c r="G479" t="s">
        <v>622</v>
      </c>
      <c r="H479" s="7" t="s">
        <v>1106</v>
      </c>
      <c r="I479"/>
    </row>
    <row r="480" spans="1:10">
      <c r="A480" s="1" t="s">
        <v>216</v>
      </c>
      <c r="B480" t="s">
        <v>560</v>
      </c>
      <c r="C480" t="s">
        <v>562</v>
      </c>
      <c r="D480" t="s">
        <v>573</v>
      </c>
      <c r="E480" t="s">
        <v>744</v>
      </c>
      <c r="G480" t="s">
        <v>618</v>
      </c>
      <c r="H480" s="7" t="s">
        <v>1107</v>
      </c>
      <c r="I480"/>
    </row>
    <row r="481" spans="1:10">
      <c r="A481" s="1" t="s">
        <v>535</v>
      </c>
      <c r="B481" t="s">
        <v>568</v>
      </c>
      <c r="C481" t="s">
        <v>566</v>
      </c>
      <c r="D481" s="8" t="s">
        <v>567</v>
      </c>
      <c r="E481" s="8" t="s">
        <v>567</v>
      </c>
      <c r="F481" s="8"/>
      <c r="G481" s="8" t="s">
        <v>654</v>
      </c>
      <c r="H481" s="9" t="s">
        <v>654</v>
      </c>
      <c r="I481"/>
    </row>
    <row r="482" spans="1:10">
      <c r="A482" s="1" t="s">
        <v>202</v>
      </c>
      <c r="B482" t="s">
        <v>560</v>
      </c>
      <c r="C482" t="s">
        <v>562</v>
      </c>
      <c r="D482" t="s">
        <v>577</v>
      </c>
      <c r="E482" t="s">
        <v>635</v>
      </c>
      <c r="G482" t="s">
        <v>618</v>
      </c>
      <c r="H482" s="7">
        <v>500</v>
      </c>
      <c r="I482"/>
    </row>
    <row r="483" spans="1:10">
      <c r="A483" s="1" t="s">
        <v>285</v>
      </c>
      <c r="B483" t="s">
        <v>560</v>
      </c>
      <c r="C483" t="s">
        <v>566</v>
      </c>
      <c r="D483" t="s">
        <v>573</v>
      </c>
      <c r="E483" t="s">
        <v>611</v>
      </c>
      <c r="G483" t="s">
        <v>618</v>
      </c>
      <c r="H483" s="7" t="s">
        <v>1108</v>
      </c>
      <c r="I483"/>
    </row>
    <row r="484" spans="1:10">
      <c r="A484" s="1" t="s">
        <v>329</v>
      </c>
      <c r="B484" t="s">
        <v>560</v>
      </c>
      <c r="C484" t="s">
        <v>562</v>
      </c>
      <c r="D484" t="s">
        <v>573</v>
      </c>
      <c r="E484" t="s">
        <v>977</v>
      </c>
      <c r="G484" t="s">
        <v>618</v>
      </c>
      <c r="H484" s="7" t="s">
        <v>1109</v>
      </c>
      <c r="I484"/>
    </row>
    <row r="485" spans="1:10">
      <c r="A485" s="1" t="s">
        <v>280</v>
      </c>
      <c r="B485" t="s">
        <v>560</v>
      </c>
      <c r="C485" t="s">
        <v>566</v>
      </c>
      <c r="D485" t="s">
        <v>573</v>
      </c>
      <c r="E485" t="s">
        <v>721</v>
      </c>
      <c r="G485" t="s">
        <v>622</v>
      </c>
      <c r="H485" s="7" t="s">
        <v>1110</v>
      </c>
      <c r="I485"/>
    </row>
    <row r="486" spans="1:10">
      <c r="A486" s="1" t="s">
        <v>143</v>
      </c>
      <c r="B486" t="s">
        <v>560</v>
      </c>
      <c r="C486" t="s">
        <v>566</v>
      </c>
      <c r="D486" t="s">
        <v>573</v>
      </c>
      <c r="E486" t="s">
        <v>721</v>
      </c>
      <c r="G486" t="s">
        <v>616</v>
      </c>
      <c r="H486" s="7" t="s">
        <v>1111</v>
      </c>
      <c r="I486"/>
    </row>
    <row r="487" spans="1:10">
      <c r="A487" s="1" t="s">
        <v>536</v>
      </c>
      <c r="B487" t="s">
        <v>560</v>
      </c>
      <c r="C487" t="s">
        <v>566</v>
      </c>
      <c r="D487" t="s">
        <v>585</v>
      </c>
      <c r="E487" t="s">
        <v>586</v>
      </c>
      <c r="G487" t="s">
        <v>618</v>
      </c>
      <c r="H487" s="7" t="s">
        <v>1112</v>
      </c>
      <c r="I487"/>
    </row>
    <row r="488" spans="1:10">
      <c r="A488" s="1" t="s">
        <v>537</v>
      </c>
      <c r="B488" t="s">
        <v>560</v>
      </c>
      <c r="C488" t="s">
        <v>562</v>
      </c>
      <c r="D488" t="s">
        <v>625</v>
      </c>
      <c r="E488" t="s">
        <v>709</v>
      </c>
      <c r="G488" t="s">
        <v>618</v>
      </c>
      <c r="H488" s="7" t="s">
        <v>1113</v>
      </c>
      <c r="I488"/>
    </row>
    <row r="489" spans="1:10">
      <c r="A489" s="1" t="s">
        <v>34</v>
      </c>
      <c r="B489" t="s">
        <v>560</v>
      </c>
      <c r="C489" t="s">
        <v>562</v>
      </c>
      <c r="D489" t="s">
        <v>699</v>
      </c>
      <c r="E489" t="s">
        <v>777</v>
      </c>
      <c r="G489" t="s">
        <v>1093</v>
      </c>
      <c r="H489" s="7" t="s">
        <v>1114</v>
      </c>
      <c r="I489"/>
    </row>
    <row r="490" spans="1:10">
      <c r="A490" s="1" t="s">
        <v>161</v>
      </c>
      <c r="B490" t="s">
        <v>560</v>
      </c>
      <c r="C490" t="s">
        <v>562</v>
      </c>
      <c r="D490" t="s">
        <v>573</v>
      </c>
      <c r="E490" t="s">
        <v>768</v>
      </c>
      <c r="G490" t="s">
        <v>618</v>
      </c>
      <c r="H490" s="7" t="s">
        <v>1115</v>
      </c>
      <c r="I490"/>
    </row>
    <row r="491" spans="1:10">
      <c r="A491" s="1" t="s">
        <v>197</v>
      </c>
      <c r="B491" t="s">
        <v>560</v>
      </c>
      <c r="C491" t="s">
        <v>562</v>
      </c>
      <c r="D491" t="s">
        <v>625</v>
      </c>
      <c r="E491" t="s">
        <v>1065</v>
      </c>
      <c r="G491" t="s">
        <v>618</v>
      </c>
      <c r="H491" s="7" t="s">
        <v>1116</v>
      </c>
      <c r="I491"/>
    </row>
    <row r="492" spans="1:10">
      <c r="A492" s="1" t="s">
        <v>102</v>
      </c>
      <c r="B492" t="s">
        <v>560</v>
      </c>
      <c r="C492" t="s">
        <v>562</v>
      </c>
      <c r="D492" t="s">
        <v>573</v>
      </c>
      <c r="E492" t="s">
        <v>611</v>
      </c>
      <c r="G492" t="s">
        <v>618</v>
      </c>
      <c r="H492" s="7" t="s">
        <v>1117</v>
      </c>
      <c r="I492"/>
    </row>
    <row r="493" spans="1:10">
      <c r="A493" s="1" t="s">
        <v>110</v>
      </c>
      <c r="B493" t="s">
        <v>560</v>
      </c>
      <c r="C493" t="s">
        <v>562</v>
      </c>
      <c r="D493" t="s">
        <v>579</v>
      </c>
      <c r="E493" t="s">
        <v>580</v>
      </c>
      <c r="G493" t="s">
        <v>618</v>
      </c>
      <c r="H493" s="7" t="s">
        <v>1118</v>
      </c>
      <c r="I493"/>
    </row>
    <row r="494" spans="1:10">
      <c r="A494" s="1" t="s">
        <v>354</v>
      </c>
      <c r="B494" t="s">
        <v>560</v>
      </c>
      <c r="C494" t="s">
        <v>562</v>
      </c>
      <c r="D494" t="s">
        <v>597</v>
      </c>
      <c r="E494" t="s">
        <v>598</v>
      </c>
      <c r="G494" t="s">
        <v>618</v>
      </c>
      <c r="H494" s="7" t="s">
        <v>1119</v>
      </c>
      <c r="I494"/>
    </row>
    <row r="495" spans="1:10">
      <c r="A495" s="1" t="s">
        <v>538</v>
      </c>
      <c r="B495" t="s">
        <v>560</v>
      </c>
      <c r="C495" t="s">
        <v>562</v>
      </c>
      <c r="D495" t="s">
        <v>577</v>
      </c>
      <c r="E495" t="s">
        <v>593</v>
      </c>
      <c r="G495" t="s">
        <v>7</v>
      </c>
      <c r="H495" s="7" t="s">
        <v>1120</v>
      </c>
      <c r="I495"/>
    </row>
    <row r="496" spans="1:10">
      <c r="A496" s="1" t="s">
        <v>201</v>
      </c>
      <c r="B496" t="s">
        <v>560</v>
      </c>
      <c r="C496" t="s">
        <v>562</v>
      </c>
      <c r="D496" t="s">
        <v>577</v>
      </c>
      <c r="E496" t="s">
        <v>578</v>
      </c>
      <c r="F496" t="s">
        <v>2439</v>
      </c>
      <c r="G496" t="s">
        <v>618</v>
      </c>
      <c r="H496" s="7" t="s">
        <v>1121</v>
      </c>
      <c r="I496">
        <v>234.15</v>
      </c>
      <c r="J496">
        <v>1</v>
      </c>
    </row>
    <row r="497" spans="1:9">
      <c r="A497" s="1" t="s">
        <v>96</v>
      </c>
      <c r="B497" t="s">
        <v>560</v>
      </c>
      <c r="C497" t="s">
        <v>562</v>
      </c>
      <c r="D497" t="s">
        <v>579</v>
      </c>
      <c r="E497" t="s">
        <v>739</v>
      </c>
      <c r="G497" t="s">
        <v>622</v>
      </c>
      <c r="H497" s="7" t="s">
        <v>1122</v>
      </c>
      <c r="I497"/>
    </row>
    <row r="498" spans="1:9">
      <c r="A498" s="1" t="s">
        <v>94</v>
      </c>
      <c r="B498" t="s">
        <v>560</v>
      </c>
      <c r="C498" t="s">
        <v>562</v>
      </c>
      <c r="D498" t="s">
        <v>579</v>
      </c>
      <c r="E498" t="s">
        <v>939</v>
      </c>
      <c r="G498" t="s">
        <v>621</v>
      </c>
      <c r="H498" s="7" t="s">
        <v>1123</v>
      </c>
      <c r="I498"/>
    </row>
    <row r="499" spans="1:9">
      <c r="A499" s="1" t="s">
        <v>539</v>
      </c>
      <c r="B499" t="s">
        <v>560</v>
      </c>
      <c r="C499" t="s">
        <v>566</v>
      </c>
      <c r="D499" t="s">
        <v>594</v>
      </c>
      <c r="E499" t="s">
        <v>596</v>
      </c>
      <c r="F499" t="s">
        <v>2139</v>
      </c>
      <c r="G499" t="s">
        <v>932</v>
      </c>
      <c r="H499" s="7" t="s">
        <v>1124</v>
      </c>
      <c r="I499"/>
    </row>
    <row r="500" spans="1:9">
      <c r="A500" s="1" t="s">
        <v>82</v>
      </c>
      <c r="B500" t="s">
        <v>560</v>
      </c>
      <c r="C500" t="s">
        <v>566</v>
      </c>
      <c r="D500" t="s">
        <v>569</v>
      </c>
      <c r="E500" t="s">
        <v>1006</v>
      </c>
      <c r="G500" t="s">
        <v>618</v>
      </c>
      <c r="H500" s="7" t="s">
        <v>1125</v>
      </c>
      <c r="I500"/>
    </row>
    <row r="501" spans="1:9">
      <c r="A501" s="1" t="s">
        <v>540</v>
      </c>
      <c r="B501" t="s">
        <v>560</v>
      </c>
      <c r="C501" t="s">
        <v>562</v>
      </c>
      <c r="D501" t="s">
        <v>573</v>
      </c>
      <c r="E501" t="s">
        <v>952</v>
      </c>
      <c r="G501" t="s">
        <v>618</v>
      </c>
      <c r="H501" s="7" t="s">
        <v>1126</v>
      </c>
      <c r="I501"/>
    </row>
    <row r="502" spans="1:9">
      <c r="A502" s="1" t="s">
        <v>296</v>
      </c>
      <c r="B502" t="s">
        <v>560</v>
      </c>
      <c r="C502" t="s">
        <v>562</v>
      </c>
      <c r="D502" t="s">
        <v>569</v>
      </c>
      <c r="E502" t="s">
        <v>583</v>
      </c>
      <c r="G502" t="s">
        <v>620</v>
      </c>
      <c r="H502" s="7" t="s">
        <v>1127</v>
      </c>
      <c r="I502"/>
    </row>
    <row r="503" spans="1:9">
      <c r="A503" s="1" t="s">
        <v>147</v>
      </c>
      <c r="B503" t="s">
        <v>560</v>
      </c>
      <c r="C503" t="s">
        <v>566</v>
      </c>
      <c r="D503" t="s">
        <v>597</v>
      </c>
      <c r="E503" t="s">
        <v>598</v>
      </c>
      <c r="G503" t="s">
        <v>620</v>
      </c>
      <c r="H503" s="7" t="s">
        <v>1128</v>
      </c>
      <c r="I503"/>
    </row>
    <row r="504" spans="1:9">
      <c r="A504" s="1" t="s">
        <v>251</v>
      </c>
      <c r="B504" t="s">
        <v>560</v>
      </c>
      <c r="C504" t="s">
        <v>566</v>
      </c>
      <c r="D504" t="s">
        <v>569</v>
      </c>
      <c r="E504" t="s">
        <v>617</v>
      </c>
      <c r="G504" t="s">
        <v>620</v>
      </c>
      <c r="H504" s="7" t="s">
        <v>1129</v>
      </c>
      <c r="I504"/>
    </row>
    <row r="505" spans="1:9">
      <c r="A505" s="1" t="s">
        <v>180</v>
      </c>
      <c r="B505" t="s">
        <v>560</v>
      </c>
      <c r="C505" t="s">
        <v>566</v>
      </c>
      <c r="D505" t="s">
        <v>577</v>
      </c>
      <c r="E505" t="s">
        <v>593</v>
      </c>
      <c r="G505" t="s">
        <v>618</v>
      </c>
      <c r="H505" s="7" t="s">
        <v>1130</v>
      </c>
      <c r="I505"/>
    </row>
    <row r="506" spans="1:9">
      <c r="A506" s="1" t="s">
        <v>541</v>
      </c>
      <c r="B506" t="s">
        <v>568</v>
      </c>
      <c r="C506" t="s">
        <v>566</v>
      </c>
      <c r="D506" s="8" t="s">
        <v>567</v>
      </c>
      <c r="E506" s="8" t="s">
        <v>567</v>
      </c>
      <c r="F506" s="8"/>
      <c r="G506" s="8" t="s">
        <v>654</v>
      </c>
      <c r="H506" s="9" t="s">
        <v>654</v>
      </c>
      <c r="I506"/>
    </row>
    <row r="507" spans="1:9">
      <c r="A507" s="1" t="s">
        <v>326</v>
      </c>
      <c r="B507" t="s">
        <v>560</v>
      </c>
      <c r="C507" t="s">
        <v>562</v>
      </c>
      <c r="D507" t="s">
        <v>573</v>
      </c>
      <c r="E507" t="s">
        <v>574</v>
      </c>
      <c r="G507" t="s">
        <v>618</v>
      </c>
      <c r="H507" s="7" t="s">
        <v>1131</v>
      </c>
      <c r="I507"/>
    </row>
    <row r="508" spans="1:9">
      <c r="A508" s="1" t="s">
        <v>295</v>
      </c>
      <c r="B508" t="s">
        <v>560</v>
      </c>
      <c r="C508" t="s">
        <v>566</v>
      </c>
      <c r="D508" t="s">
        <v>699</v>
      </c>
      <c r="E508" t="s">
        <v>698</v>
      </c>
      <c r="G508" t="s">
        <v>621</v>
      </c>
      <c r="H508" s="7" t="s">
        <v>326</v>
      </c>
      <c r="I508"/>
    </row>
    <row r="509" spans="1:9">
      <c r="A509" s="1" t="s">
        <v>542</v>
      </c>
      <c r="B509" t="s">
        <v>568</v>
      </c>
      <c r="C509" t="s">
        <v>566</v>
      </c>
      <c r="D509" s="8" t="s">
        <v>567</v>
      </c>
      <c r="E509" s="8" t="s">
        <v>567</v>
      </c>
      <c r="F509" s="8"/>
      <c r="G509" s="8" t="s">
        <v>654</v>
      </c>
      <c r="H509" s="9" t="s">
        <v>654</v>
      </c>
      <c r="I509"/>
    </row>
    <row r="510" spans="1:9">
      <c r="A510" s="1" t="s">
        <v>167</v>
      </c>
      <c r="B510" t="s">
        <v>560</v>
      </c>
      <c r="C510" t="s">
        <v>562</v>
      </c>
      <c r="D510" t="s">
        <v>594</v>
      </c>
      <c r="E510" t="s">
        <v>596</v>
      </c>
      <c r="F510" t="s">
        <v>2129</v>
      </c>
      <c r="G510" t="s">
        <v>618</v>
      </c>
      <c r="H510" s="7" t="s">
        <v>1132</v>
      </c>
      <c r="I510">
        <v>1</v>
      </c>
    </row>
    <row r="511" spans="1:9">
      <c r="A511" s="1" t="s">
        <v>373</v>
      </c>
      <c r="B511" t="s">
        <v>560</v>
      </c>
      <c r="C511" t="s">
        <v>566</v>
      </c>
      <c r="D511" t="s">
        <v>573</v>
      </c>
      <c r="E511" t="s">
        <v>574</v>
      </c>
      <c r="G511" t="s">
        <v>618</v>
      </c>
      <c r="H511" s="7">
        <v>540</v>
      </c>
      <c r="I511"/>
    </row>
    <row r="512" spans="1:9">
      <c r="A512" s="1" t="s">
        <v>543</v>
      </c>
      <c r="B512" t="s">
        <v>560</v>
      </c>
      <c r="C512" t="s">
        <v>562</v>
      </c>
      <c r="D512" t="s">
        <v>577</v>
      </c>
      <c r="E512" t="s">
        <v>615</v>
      </c>
      <c r="G512" t="s">
        <v>618</v>
      </c>
      <c r="H512" s="7" t="s">
        <v>1133</v>
      </c>
      <c r="I512"/>
    </row>
    <row r="513" spans="1:10">
      <c r="A513" s="1" t="s">
        <v>186</v>
      </c>
      <c r="B513" t="s">
        <v>560</v>
      </c>
      <c r="C513" t="s">
        <v>566</v>
      </c>
      <c r="D513" t="s">
        <v>579</v>
      </c>
      <c r="E513" t="s">
        <v>939</v>
      </c>
      <c r="G513" t="s">
        <v>618</v>
      </c>
      <c r="H513" s="7" t="s">
        <v>1134</v>
      </c>
      <c r="I513"/>
    </row>
    <row r="514" spans="1:10">
      <c r="A514" s="1" t="s">
        <v>31</v>
      </c>
      <c r="B514" t="s">
        <v>560</v>
      </c>
      <c r="C514" t="s">
        <v>562</v>
      </c>
      <c r="D514" t="s">
        <v>569</v>
      </c>
      <c r="E514" t="s">
        <v>587</v>
      </c>
      <c r="G514" t="s">
        <v>618</v>
      </c>
      <c r="H514" s="7">
        <v>558</v>
      </c>
      <c r="I514"/>
    </row>
    <row r="515" spans="1:10">
      <c r="A515" s="1" t="s">
        <v>253</v>
      </c>
      <c r="B515" t="s">
        <v>560</v>
      </c>
      <c r="C515" t="s">
        <v>562</v>
      </c>
      <c r="D515" t="s">
        <v>577</v>
      </c>
      <c r="E515" t="s">
        <v>613</v>
      </c>
      <c r="G515" t="s">
        <v>620</v>
      </c>
      <c r="H515" s="7" t="s">
        <v>1135</v>
      </c>
      <c r="I515"/>
    </row>
    <row r="516" spans="1:10">
      <c r="A516" s="1" t="s">
        <v>171</v>
      </c>
      <c r="B516" t="s">
        <v>560</v>
      </c>
      <c r="C516" t="s">
        <v>562</v>
      </c>
      <c r="D516" t="s">
        <v>573</v>
      </c>
      <c r="E516" t="s">
        <v>768</v>
      </c>
      <c r="G516" t="s">
        <v>618</v>
      </c>
      <c r="H516" s="7" t="s">
        <v>1136</v>
      </c>
      <c r="I516"/>
    </row>
    <row r="517" spans="1:10">
      <c r="A517" s="1" t="s">
        <v>544</v>
      </c>
      <c r="B517" t="s">
        <v>560</v>
      </c>
      <c r="C517" t="s">
        <v>562</v>
      </c>
      <c r="D517" t="s">
        <v>577</v>
      </c>
      <c r="E517" t="s">
        <v>770</v>
      </c>
      <c r="G517" t="s">
        <v>618</v>
      </c>
      <c r="H517" s="7" t="s">
        <v>1137</v>
      </c>
      <c r="I517"/>
    </row>
    <row r="518" spans="1:10">
      <c r="A518" s="1" t="s">
        <v>545</v>
      </c>
      <c r="B518" t="s">
        <v>568</v>
      </c>
      <c r="C518" t="s">
        <v>566</v>
      </c>
      <c r="D518" s="8" t="s">
        <v>567</v>
      </c>
      <c r="E518" s="8" t="s">
        <v>567</v>
      </c>
      <c r="F518" s="8"/>
      <c r="G518" s="8" t="s">
        <v>654</v>
      </c>
      <c r="H518" s="9" t="s">
        <v>654</v>
      </c>
      <c r="I518"/>
    </row>
    <row r="519" spans="1:10">
      <c r="A519" s="1" t="s">
        <v>546</v>
      </c>
      <c r="B519" t="s">
        <v>568</v>
      </c>
      <c r="C519" t="s">
        <v>566</v>
      </c>
      <c r="D519" s="8" t="s">
        <v>567</v>
      </c>
      <c r="E519" s="8" t="s">
        <v>567</v>
      </c>
      <c r="F519" s="8"/>
      <c r="G519" s="8" t="s">
        <v>654</v>
      </c>
      <c r="H519" s="9" t="s">
        <v>654</v>
      </c>
      <c r="I519"/>
    </row>
    <row r="520" spans="1:10">
      <c r="A520" s="1" t="s">
        <v>547</v>
      </c>
      <c r="B520" t="s">
        <v>560</v>
      </c>
      <c r="C520" t="s">
        <v>566</v>
      </c>
      <c r="D520" t="s">
        <v>2483</v>
      </c>
      <c r="E520" t="s">
        <v>2484</v>
      </c>
      <c r="F520" t="s">
        <v>2465</v>
      </c>
      <c r="G520" t="s">
        <v>618</v>
      </c>
      <c r="H520" s="7" t="s">
        <v>1138</v>
      </c>
      <c r="I520" s="139">
        <v>29.59</v>
      </c>
    </row>
    <row r="521" spans="1:10">
      <c r="A521" s="1" t="s">
        <v>331</v>
      </c>
      <c r="B521" t="s">
        <v>560</v>
      </c>
      <c r="C521" t="s">
        <v>562</v>
      </c>
      <c r="D521" t="s">
        <v>594</v>
      </c>
      <c r="E521" t="s">
        <v>595</v>
      </c>
      <c r="F521" t="s">
        <v>2140</v>
      </c>
      <c r="G521" t="s">
        <v>619</v>
      </c>
      <c r="H521" s="7" t="s">
        <v>1139</v>
      </c>
      <c r="I521"/>
    </row>
    <row r="522" spans="1:10">
      <c r="A522" s="1" t="s">
        <v>1</v>
      </c>
      <c r="B522" t="s">
        <v>560</v>
      </c>
      <c r="C522" t="s">
        <v>562</v>
      </c>
      <c r="D522" t="s">
        <v>597</v>
      </c>
      <c r="E522" t="s">
        <v>757</v>
      </c>
      <c r="G522" t="s">
        <v>618</v>
      </c>
      <c r="H522" s="7" t="s">
        <v>1140</v>
      </c>
      <c r="I522"/>
    </row>
    <row r="523" spans="1:10">
      <c r="A523" s="1" t="s">
        <v>18</v>
      </c>
      <c r="B523" t="s">
        <v>560</v>
      </c>
      <c r="C523" t="s">
        <v>562</v>
      </c>
      <c r="D523" t="s">
        <v>597</v>
      </c>
      <c r="E523" t="s">
        <v>985</v>
      </c>
      <c r="G523" t="s">
        <v>618</v>
      </c>
      <c r="H523" s="7" t="s">
        <v>1141</v>
      </c>
      <c r="I523"/>
    </row>
    <row r="524" spans="1:10">
      <c r="A524" s="1" t="s">
        <v>229</v>
      </c>
      <c r="B524" t="s">
        <v>560</v>
      </c>
      <c r="C524" t="s">
        <v>562</v>
      </c>
      <c r="D524" t="s">
        <v>597</v>
      </c>
      <c r="E524" t="s">
        <v>1143</v>
      </c>
      <c r="G524" t="s">
        <v>618</v>
      </c>
      <c r="H524" s="7" t="s">
        <v>1142</v>
      </c>
      <c r="I524"/>
    </row>
    <row r="525" spans="1:10">
      <c r="A525" s="1" t="s">
        <v>11</v>
      </c>
      <c r="B525" t="s">
        <v>560</v>
      </c>
      <c r="C525" t="s">
        <v>562</v>
      </c>
      <c r="D525" t="s">
        <v>594</v>
      </c>
      <c r="E525" t="s">
        <v>595</v>
      </c>
      <c r="F525" t="s">
        <v>2125</v>
      </c>
      <c r="G525" t="s">
        <v>618</v>
      </c>
      <c r="H525" s="7" t="s">
        <v>1144</v>
      </c>
      <c r="I525" s="59">
        <v>9260</v>
      </c>
      <c r="J525">
        <v>1</v>
      </c>
    </row>
    <row r="526" spans="1:10">
      <c r="A526" s="1" t="s">
        <v>548</v>
      </c>
      <c r="B526" t="s">
        <v>560</v>
      </c>
      <c r="C526" t="s">
        <v>562</v>
      </c>
      <c r="D526" t="s">
        <v>577</v>
      </c>
      <c r="E526" t="s">
        <v>589</v>
      </c>
      <c r="G526" t="s">
        <v>618</v>
      </c>
      <c r="H526" s="7" t="s">
        <v>1145</v>
      </c>
      <c r="I526"/>
    </row>
    <row r="527" spans="1:10">
      <c r="A527" s="1" t="s">
        <v>549</v>
      </c>
      <c r="B527" t="s">
        <v>560</v>
      </c>
      <c r="C527" t="s">
        <v>566</v>
      </c>
      <c r="D527" t="s">
        <v>577</v>
      </c>
      <c r="E527" t="s">
        <v>609</v>
      </c>
      <c r="F527" t="s">
        <v>2440</v>
      </c>
      <c r="G527" t="s">
        <v>618</v>
      </c>
      <c r="H527" s="7" t="s">
        <v>1146</v>
      </c>
      <c r="I527">
        <v>3.71</v>
      </c>
      <c r="J527">
        <v>1</v>
      </c>
    </row>
    <row r="528" spans="1:10">
      <c r="A528" s="1" t="s">
        <v>550</v>
      </c>
      <c r="B528" t="s">
        <v>560</v>
      </c>
      <c r="C528" t="s">
        <v>566</v>
      </c>
      <c r="D528" t="s">
        <v>577</v>
      </c>
      <c r="E528" t="s">
        <v>613</v>
      </c>
      <c r="G528" t="s">
        <v>620</v>
      </c>
      <c r="H528" s="7" t="s">
        <v>1147</v>
      </c>
      <c r="I528"/>
    </row>
    <row r="529" spans="1:10">
      <c r="A529" s="1" t="s">
        <v>127</v>
      </c>
      <c r="B529" t="s">
        <v>560</v>
      </c>
      <c r="C529" t="s">
        <v>562</v>
      </c>
      <c r="D529" t="s">
        <v>573</v>
      </c>
      <c r="E529" t="s">
        <v>611</v>
      </c>
      <c r="G529" t="s">
        <v>618</v>
      </c>
      <c r="H529" s="7" t="s">
        <v>1148</v>
      </c>
      <c r="I529"/>
    </row>
    <row r="530" spans="1:10">
      <c r="A530" s="1" t="s">
        <v>92</v>
      </c>
      <c r="B530" t="s">
        <v>560</v>
      </c>
      <c r="C530" t="s">
        <v>562</v>
      </c>
      <c r="D530" t="s">
        <v>569</v>
      </c>
      <c r="E530" t="s">
        <v>617</v>
      </c>
      <c r="G530" t="s">
        <v>616</v>
      </c>
      <c r="H530" s="7" t="s">
        <v>1149</v>
      </c>
      <c r="I530"/>
    </row>
    <row r="531" spans="1:10">
      <c r="A531" s="1" t="s">
        <v>551</v>
      </c>
      <c r="B531" t="s">
        <v>560</v>
      </c>
      <c r="C531" t="s">
        <v>566</v>
      </c>
      <c r="D531" t="s">
        <v>577</v>
      </c>
      <c r="E531" t="s">
        <v>614</v>
      </c>
      <c r="F531" t="s">
        <v>2441</v>
      </c>
      <c r="G531" t="s">
        <v>618</v>
      </c>
      <c r="H531" s="7" t="s">
        <v>1150</v>
      </c>
      <c r="I531">
        <v>17.010000000000002</v>
      </c>
      <c r="J531">
        <v>1</v>
      </c>
    </row>
    <row r="532" spans="1:10">
      <c r="A532" s="1" t="s">
        <v>36</v>
      </c>
      <c r="B532" t="s">
        <v>560</v>
      </c>
      <c r="C532" t="s">
        <v>562</v>
      </c>
      <c r="D532" t="s">
        <v>569</v>
      </c>
      <c r="E532" t="s">
        <v>617</v>
      </c>
      <c r="G532" t="s">
        <v>618</v>
      </c>
      <c r="H532" s="7" t="s">
        <v>1151</v>
      </c>
      <c r="I532"/>
    </row>
    <row r="533" spans="1:10">
      <c r="A533" s="1" t="s">
        <v>348</v>
      </c>
      <c r="B533" t="s">
        <v>560</v>
      </c>
      <c r="C533" t="s">
        <v>566</v>
      </c>
      <c r="D533" t="s">
        <v>577</v>
      </c>
      <c r="E533" t="s">
        <v>1153</v>
      </c>
      <c r="G533" t="s">
        <v>621</v>
      </c>
      <c r="H533" s="7" t="s">
        <v>1152</v>
      </c>
      <c r="I533"/>
    </row>
    <row r="534" spans="1:10">
      <c r="A534" s="1" t="s">
        <v>137</v>
      </c>
      <c r="B534" t="s">
        <v>560</v>
      </c>
      <c r="C534" t="s">
        <v>562</v>
      </c>
      <c r="D534" t="s">
        <v>577</v>
      </c>
      <c r="E534" t="s">
        <v>610</v>
      </c>
      <c r="F534" t="s">
        <v>2442</v>
      </c>
      <c r="G534" t="s">
        <v>618</v>
      </c>
      <c r="H534" s="7" t="s">
        <v>1154</v>
      </c>
      <c r="I534">
        <v>105</v>
      </c>
      <c r="J534">
        <v>1</v>
      </c>
    </row>
    <row r="535" spans="1:10">
      <c r="A535" s="1" t="s">
        <v>552</v>
      </c>
      <c r="B535" t="s">
        <v>560</v>
      </c>
      <c r="C535" t="s">
        <v>562</v>
      </c>
      <c r="D535" t="s">
        <v>577</v>
      </c>
      <c r="E535" t="s">
        <v>581</v>
      </c>
      <c r="G535" t="s">
        <v>618</v>
      </c>
      <c r="H535" s="7" t="s">
        <v>1155</v>
      </c>
      <c r="I535"/>
    </row>
    <row r="536" spans="1:10">
      <c r="A536" s="1" t="s">
        <v>152</v>
      </c>
      <c r="B536" t="s">
        <v>560</v>
      </c>
      <c r="C536" t="s">
        <v>562</v>
      </c>
      <c r="D536" t="s">
        <v>573</v>
      </c>
      <c r="E536" t="s">
        <v>721</v>
      </c>
      <c r="G536" t="s">
        <v>618</v>
      </c>
      <c r="H536" s="7" t="s">
        <v>1156</v>
      </c>
      <c r="I536"/>
    </row>
    <row r="537" spans="1:10">
      <c r="A537" s="1" t="s">
        <v>293</v>
      </c>
      <c r="B537" t="s">
        <v>560</v>
      </c>
      <c r="C537" t="s">
        <v>562</v>
      </c>
      <c r="D537" t="s">
        <v>579</v>
      </c>
      <c r="E537" t="s">
        <v>1157</v>
      </c>
      <c r="G537" t="s">
        <v>618</v>
      </c>
      <c r="H537" s="7">
        <v>569</v>
      </c>
      <c r="I537"/>
    </row>
    <row r="538" spans="1:10">
      <c r="A538" s="1" t="s">
        <v>553</v>
      </c>
      <c r="B538" t="s">
        <v>560</v>
      </c>
      <c r="C538" t="s">
        <v>566</v>
      </c>
      <c r="D538" t="s">
        <v>573</v>
      </c>
      <c r="E538" t="s">
        <v>721</v>
      </c>
      <c r="G538" t="s">
        <v>618</v>
      </c>
      <c r="H538" s="7" t="s">
        <v>1158</v>
      </c>
      <c r="I538"/>
    </row>
    <row r="539" spans="1:10">
      <c r="A539" s="1" t="s">
        <v>265</v>
      </c>
      <c r="B539" t="s">
        <v>560</v>
      </c>
      <c r="C539" t="s">
        <v>566</v>
      </c>
      <c r="D539" t="s">
        <v>625</v>
      </c>
      <c r="E539" t="s">
        <v>811</v>
      </c>
      <c r="G539" t="s">
        <v>618</v>
      </c>
      <c r="H539" s="7" t="s">
        <v>1159</v>
      </c>
      <c r="I539"/>
    </row>
    <row r="540" spans="1:10">
      <c r="A540" s="1" t="s">
        <v>40</v>
      </c>
      <c r="B540" t="s">
        <v>560</v>
      </c>
      <c r="C540" t="s">
        <v>562</v>
      </c>
      <c r="D540" t="s">
        <v>577</v>
      </c>
      <c r="E540" t="s">
        <v>593</v>
      </c>
      <c r="G540" t="s">
        <v>618</v>
      </c>
      <c r="H540" s="7" t="s">
        <v>1191</v>
      </c>
      <c r="I540"/>
    </row>
    <row r="541" spans="1:10">
      <c r="A541" s="1" t="s">
        <v>215</v>
      </c>
      <c r="B541" t="s">
        <v>560</v>
      </c>
      <c r="C541" t="s">
        <v>562</v>
      </c>
      <c r="D541" t="s">
        <v>569</v>
      </c>
      <c r="E541" t="s">
        <v>733</v>
      </c>
      <c r="G541" t="s">
        <v>616</v>
      </c>
      <c r="H541" s="7" t="s">
        <v>1160</v>
      </c>
      <c r="I541"/>
    </row>
    <row r="542" spans="1:10">
      <c r="A542" s="1" t="s">
        <v>16</v>
      </c>
      <c r="B542" t="s">
        <v>560</v>
      </c>
      <c r="C542" t="s">
        <v>562</v>
      </c>
      <c r="D542" t="s">
        <v>699</v>
      </c>
      <c r="E542" t="s">
        <v>728</v>
      </c>
      <c r="G542" t="s">
        <v>620</v>
      </c>
      <c r="H542" s="7" t="s">
        <v>1161</v>
      </c>
      <c r="I542"/>
    </row>
    <row r="543" spans="1:10">
      <c r="A543" s="1" t="s">
        <v>114</v>
      </c>
      <c r="B543" t="s">
        <v>560</v>
      </c>
      <c r="C543" t="s">
        <v>566</v>
      </c>
      <c r="D543" t="s">
        <v>575</v>
      </c>
      <c r="E543" t="s">
        <v>741</v>
      </c>
      <c r="G543" t="s">
        <v>700</v>
      </c>
      <c r="H543" s="7" t="s">
        <v>1162</v>
      </c>
      <c r="I543"/>
    </row>
    <row r="544" spans="1:10">
      <c r="A544" s="1" t="s">
        <v>151</v>
      </c>
      <c r="B544" t="s">
        <v>560</v>
      </c>
      <c r="C544" t="s">
        <v>562</v>
      </c>
      <c r="D544" t="s">
        <v>594</v>
      </c>
      <c r="E544" t="s">
        <v>595</v>
      </c>
      <c r="F544" t="s">
        <v>2112</v>
      </c>
      <c r="G544" t="s">
        <v>618</v>
      </c>
      <c r="H544" s="7" t="s">
        <v>1163</v>
      </c>
      <c r="I544" s="59">
        <v>1250</v>
      </c>
      <c r="J544">
        <v>1</v>
      </c>
    </row>
    <row r="545" spans="1:8" customFormat="1">
      <c r="A545" s="1" t="s">
        <v>275</v>
      </c>
      <c r="B545" t="s">
        <v>560</v>
      </c>
      <c r="C545" t="s">
        <v>566</v>
      </c>
      <c r="D545" t="s">
        <v>625</v>
      </c>
      <c r="E545" t="s">
        <v>1165</v>
      </c>
      <c r="G545" t="s">
        <v>620</v>
      </c>
      <c r="H545" s="7" t="s">
        <v>1164</v>
      </c>
    </row>
    <row r="546" spans="1:8" customFormat="1">
      <c r="A546" s="1" t="s">
        <v>554</v>
      </c>
      <c r="B546" t="s">
        <v>560</v>
      </c>
      <c r="C546" t="s">
        <v>566</v>
      </c>
      <c r="D546" t="s">
        <v>577</v>
      </c>
      <c r="E546" t="s">
        <v>1166</v>
      </c>
      <c r="G546" t="s">
        <v>618</v>
      </c>
      <c r="H546" s="7" t="s">
        <v>1167</v>
      </c>
    </row>
    <row r="547" spans="1:8" customFormat="1">
      <c r="A547" s="1" t="s">
        <v>340</v>
      </c>
      <c r="B547" t="s">
        <v>560</v>
      </c>
      <c r="C547" t="s">
        <v>562</v>
      </c>
      <c r="D547" t="s">
        <v>577</v>
      </c>
      <c r="E547" t="s">
        <v>581</v>
      </c>
      <c r="G547" t="s">
        <v>622</v>
      </c>
      <c r="H547" s="7" t="s">
        <v>1168</v>
      </c>
    </row>
    <row r="548" spans="1:8" customFormat="1">
      <c r="A548" s="1" t="s">
        <v>131</v>
      </c>
      <c r="B548" t="s">
        <v>560</v>
      </c>
      <c r="C548" t="s">
        <v>562</v>
      </c>
      <c r="D548" t="s">
        <v>577</v>
      </c>
      <c r="E548" t="s">
        <v>581</v>
      </c>
      <c r="G548" t="s">
        <v>618</v>
      </c>
      <c r="H548" s="7" t="s">
        <v>1169</v>
      </c>
    </row>
    <row r="549" spans="1:8" customFormat="1">
      <c r="A549" s="1" t="s">
        <v>138</v>
      </c>
      <c r="B549" t="s">
        <v>560</v>
      </c>
      <c r="C549" t="s">
        <v>566</v>
      </c>
      <c r="D549" t="s">
        <v>573</v>
      </c>
      <c r="E549" t="s">
        <v>1171</v>
      </c>
      <c r="G549" t="s">
        <v>620</v>
      </c>
      <c r="H549" s="7" t="s">
        <v>1170</v>
      </c>
    </row>
    <row r="550" spans="1:8" customFormat="1">
      <c r="A550" s="1" t="s">
        <v>555</v>
      </c>
      <c r="B550" t="s">
        <v>560</v>
      </c>
      <c r="C550" t="s">
        <v>562</v>
      </c>
      <c r="D550" t="s">
        <v>594</v>
      </c>
      <c r="E550" t="s">
        <v>596</v>
      </c>
      <c r="F550" t="s">
        <v>2141</v>
      </c>
      <c r="G550" t="s">
        <v>622</v>
      </c>
      <c r="H550" s="7" t="s">
        <v>1172</v>
      </c>
    </row>
    <row r="551" spans="1:8" customFormat="1">
      <c r="A551" s="1" t="s">
        <v>46</v>
      </c>
      <c r="B551" t="s">
        <v>560</v>
      </c>
      <c r="C551" t="s">
        <v>562</v>
      </c>
      <c r="D551" t="s">
        <v>594</v>
      </c>
      <c r="E551" t="s">
        <v>595</v>
      </c>
      <c r="F551" t="s">
        <v>2118</v>
      </c>
      <c r="G551" t="s">
        <v>622</v>
      </c>
      <c r="H551" s="7" t="s">
        <v>1190</v>
      </c>
    </row>
    <row r="552" spans="1:8" customFormat="1">
      <c r="A552" s="1" t="s">
        <v>304</v>
      </c>
      <c r="B552" t="s">
        <v>560</v>
      </c>
      <c r="C552" t="s">
        <v>562</v>
      </c>
      <c r="D552" t="s">
        <v>699</v>
      </c>
      <c r="E552" t="s">
        <v>1189</v>
      </c>
      <c r="G552" t="s">
        <v>618</v>
      </c>
      <c r="H552" s="7" t="s">
        <v>1173</v>
      </c>
    </row>
    <row r="553" spans="1:8" customFormat="1">
      <c r="A553" s="1" t="s">
        <v>288</v>
      </c>
      <c r="B553" t="s">
        <v>560</v>
      </c>
      <c r="C553" t="s">
        <v>562</v>
      </c>
      <c r="D553" t="s">
        <v>573</v>
      </c>
      <c r="E553" t="s">
        <v>584</v>
      </c>
      <c r="G553" t="s">
        <v>618</v>
      </c>
      <c r="H553" s="7" t="s">
        <v>1174</v>
      </c>
    </row>
    <row r="554" spans="1:8" customFormat="1">
      <c r="A554" s="1" t="s">
        <v>264</v>
      </c>
      <c r="B554" t="s">
        <v>560</v>
      </c>
      <c r="C554" t="s">
        <v>562</v>
      </c>
      <c r="D554" t="s">
        <v>594</v>
      </c>
      <c r="E554" t="s">
        <v>702</v>
      </c>
      <c r="F554" t="s">
        <v>2133</v>
      </c>
      <c r="G554" t="s">
        <v>622</v>
      </c>
      <c r="H554" s="7" t="s">
        <v>1175</v>
      </c>
    </row>
    <row r="555" spans="1:8" customFormat="1">
      <c r="A555" s="1" t="s">
        <v>192</v>
      </c>
      <c r="B555" t="s">
        <v>560</v>
      </c>
      <c r="C555" t="s">
        <v>566</v>
      </c>
      <c r="D555" t="s">
        <v>573</v>
      </c>
      <c r="E555" t="s">
        <v>574</v>
      </c>
      <c r="G555" t="s">
        <v>618</v>
      </c>
      <c r="H555" s="7" t="s">
        <v>1176</v>
      </c>
    </row>
    <row r="556" spans="1:8" customFormat="1">
      <c r="A556" s="1" t="s">
        <v>109</v>
      </c>
      <c r="B556" t="s">
        <v>560</v>
      </c>
      <c r="C556" t="s">
        <v>562</v>
      </c>
      <c r="D556" t="s">
        <v>577</v>
      </c>
      <c r="E556" t="s">
        <v>589</v>
      </c>
      <c r="G556" t="s">
        <v>620</v>
      </c>
      <c r="H556" s="7" t="s">
        <v>1177</v>
      </c>
    </row>
    <row r="557" spans="1:8" customFormat="1">
      <c r="A557" s="1" t="s">
        <v>556</v>
      </c>
      <c r="B557" t="s">
        <v>560</v>
      </c>
      <c r="C557" t="s">
        <v>562</v>
      </c>
      <c r="D557" t="s">
        <v>577</v>
      </c>
      <c r="E557" t="s">
        <v>1071</v>
      </c>
      <c r="G557" t="s">
        <v>622</v>
      </c>
      <c r="H557" s="7" t="s">
        <v>1178</v>
      </c>
    </row>
    <row r="558" spans="1:8" customFormat="1">
      <c r="A558" s="1" t="s">
        <v>557</v>
      </c>
      <c r="B558" t="s">
        <v>560</v>
      </c>
      <c r="C558" t="s">
        <v>566</v>
      </c>
      <c r="D558" t="s">
        <v>569</v>
      </c>
      <c r="E558" t="s">
        <v>824</v>
      </c>
      <c r="G558" t="s">
        <v>616</v>
      </c>
      <c r="H558" s="7" t="s">
        <v>1179</v>
      </c>
    </row>
    <row r="559" spans="1:8" customFormat="1">
      <c r="A559" s="1" t="s">
        <v>19</v>
      </c>
      <c r="B559" t="s">
        <v>560</v>
      </c>
      <c r="C559" t="s">
        <v>562</v>
      </c>
      <c r="D559" t="s">
        <v>597</v>
      </c>
      <c r="E559" t="s">
        <v>598</v>
      </c>
      <c r="G559" t="s">
        <v>618</v>
      </c>
      <c r="H559" s="7" t="s">
        <v>1180</v>
      </c>
    </row>
    <row r="560" spans="1:8" customFormat="1">
      <c r="A560" s="1" t="s">
        <v>558</v>
      </c>
      <c r="B560" t="s">
        <v>560</v>
      </c>
      <c r="C560" t="s">
        <v>566</v>
      </c>
      <c r="D560" t="s">
        <v>577</v>
      </c>
      <c r="E560" t="s">
        <v>608</v>
      </c>
      <c r="G560" t="s">
        <v>622</v>
      </c>
      <c r="H560" s="7" t="s">
        <v>1181</v>
      </c>
    </row>
    <row r="561" spans="1:10">
      <c r="A561" s="1" t="s">
        <v>6</v>
      </c>
      <c r="B561" t="s">
        <v>560</v>
      </c>
      <c r="C561" t="s">
        <v>562</v>
      </c>
      <c r="D561" t="s">
        <v>577</v>
      </c>
      <c r="E561" t="s">
        <v>608</v>
      </c>
      <c r="G561" t="s">
        <v>622</v>
      </c>
      <c r="H561" s="7" t="s">
        <v>1182</v>
      </c>
      <c r="I561"/>
    </row>
    <row r="562" spans="1:10">
      <c r="A562" s="1" t="s">
        <v>281</v>
      </c>
      <c r="B562" t="s">
        <v>560</v>
      </c>
      <c r="C562" t="s">
        <v>562</v>
      </c>
      <c r="D562" t="s">
        <v>607</v>
      </c>
      <c r="E562" t="s">
        <v>950</v>
      </c>
      <c r="G562" t="s">
        <v>622</v>
      </c>
      <c r="H562" s="7" t="s">
        <v>1183</v>
      </c>
      <c r="I562"/>
    </row>
    <row r="563" spans="1:10">
      <c r="A563" s="1" t="s">
        <v>324</v>
      </c>
      <c r="B563" t="s">
        <v>560</v>
      </c>
      <c r="C563" t="s">
        <v>562</v>
      </c>
      <c r="D563" t="s">
        <v>573</v>
      </c>
      <c r="E563" t="s">
        <v>952</v>
      </c>
      <c r="G563" t="s">
        <v>622</v>
      </c>
      <c r="H563" s="7" t="s">
        <v>1184</v>
      </c>
      <c r="I563"/>
    </row>
    <row r="564" spans="1:10">
      <c r="A564" s="1" t="s">
        <v>136</v>
      </c>
      <c r="B564" t="s">
        <v>560</v>
      </c>
      <c r="C564" t="s">
        <v>566</v>
      </c>
      <c r="D564" t="s">
        <v>699</v>
      </c>
      <c r="E564" t="s">
        <v>1185</v>
      </c>
      <c r="G564" t="s">
        <v>622</v>
      </c>
      <c r="H564" s="7" t="s">
        <v>1186</v>
      </c>
      <c r="I564"/>
    </row>
    <row r="565" spans="1:10" ht="17.399999999999999" customHeight="1">
      <c r="A565" s="1" t="s">
        <v>559</v>
      </c>
      <c r="B565" t="s">
        <v>560</v>
      </c>
      <c r="C565" t="s">
        <v>566</v>
      </c>
      <c r="D565" t="s">
        <v>577</v>
      </c>
      <c r="E565" t="s">
        <v>609</v>
      </c>
      <c r="F565" s="37" t="s">
        <v>2443</v>
      </c>
      <c r="G565" t="s">
        <v>618</v>
      </c>
      <c r="H565" s="7" t="s">
        <v>1187</v>
      </c>
      <c r="I565">
        <v>29.56</v>
      </c>
      <c r="J565">
        <v>1</v>
      </c>
    </row>
    <row r="566" spans="1:10">
      <c r="A566" s="1" t="s">
        <v>155</v>
      </c>
      <c r="B566" t="s">
        <v>560</v>
      </c>
      <c r="C566" t="s">
        <v>566</v>
      </c>
      <c r="D566" t="s">
        <v>699</v>
      </c>
      <c r="E566" t="s">
        <v>1189</v>
      </c>
      <c r="G566" t="s">
        <v>622</v>
      </c>
      <c r="H566" s="7" t="s">
        <v>1188</v>
      </c>
      <c r="I566"/>
    </row>
    <row r="568" spans="1:10">
      <c r="J568" s="59"/>
    </row>
  </sheetData>
  <autoFilter ref="A1:J566" xr:uid="{B6B28DDA-63C9-49A0-B59D-9009E2BC0D07}"/>
  <conditionalFormatting sqref="A1:A17 A19:A30 A32:A91 A93:A120 A122:A162 A164:A166 A168:A186 A188:A199 A201:A233 A235:A252 A254:A405 A407:A433 A435:A456 A458:A539 A541:A550 A552:A567">
    <cfRule type="containsText" dxfId="4" priority="1" operator="containsText" text="hyperlink">
      <formula>NOT(ISERROR(SEARCH("hyperlink",A1)))</formula>
    </cfRule>
  </conditionalFormatting>
  <hyperlinks>
    <hyperlink ref="A130" r:id="rId1" tooltip="DBS" display="https://investors.sgx.com/market/securities?code=D05&amp;type=stocks&amp;lang=en" xr:uid="{5A2B6E35-E4AA-4D4A-BA59-BC15AEE5DB73}"/>
    <hyperlink ref="A522" r:id="rId2" tooltip="UOB" display="https://investors.sgx.com/market/securities?code=U11&amp;type=stocks&amp;lang=en" xr:uid="{8B65552F-D019-42D0-98C7-3318A24DCA30}"/>
    <hyperlink ref="A352" r:id="rId3" tooltip="OCBC Bank" display="https://investors.sgx.com/market/securities?code=O39&amp;type=stocks&amp;lang=en" xr:uid="{76D80C69-2918-4ED8-941D-5C907EA1E22E}"/>
    <hyperlink ref="A449" r:id="rId4" tooltip="SingPost" display="https://investors.sgx.com/market/securities?code=S08&amp;type=stocks&amp;lang=en" xr:uid="{34C3FCC2-46F2-48A3-BAEB-AFAD6CA5D1D0}"/>
    <hyperlink ref="A451" r:id="rId5" tooltip="Singtel" display="https://investors.sgx.com/market/securities?code=Z74&amp;type=stocks&amp;lang=en" xr:uid="{F0F59833-F086-4FEA-8598-9C6C1EE196D4}"/>
    <hyperlink ref="A176" r:id="rId6" tooltip="Genting Sing" display="https://investors.sgx.com/market/securities?code=G13&amp;type=stocks&amp;lang=en" xr:uid="{86EDD783-186A-4B99-953A-4B1A73198EE6}"/>
    <hyperlink ref="A561" r:id="rId7" tooltip="YZJ Shipbldg SGD" display="https://investors.sgx.com/market/securities?code=BS6&amp;type=stocks&amp;lang=en" xr:uid="{4F722D41-C20E-44D0-B4DA-B1DC6FF59B50}"/>
    <hyperlink ref="A428" r:id="rId8" tooltip="SGX" display="https://investors.sgx.com/market/securities?code=S68&amp;type=stocks&amp;lang=en" xr:uid="{573805BF-AFED-410F-8233-5DCE6EF3F250}"/>
    <hyperlink ref="A468" r:id="rId9" tooltip="ST Engineering" display="https://investors.sgx.com/market/securities?code=S63&amp;type=stocks&amp;lang=en" xr:uid="{215EFF7D-52C2-4A76-A778-D22FA3D0CA7F}"/>
    <hyperlink ref="A259" r:id="rId10" tooltip="JMH USD" display="https://investors.sgx.com/market/securities?code=J36&amp;type=stocks&amp;lang=en" xr:uid="{116A5F76-B651-4EA7-A3CC-455E5A72B055}"/>
    <hyperlink ref="A267" r:id="rId11" tooltip="Keppel" display="https://investors.sgx.com/market/securities?code=BN4&amp;type=stocks&amp;lang=en" xr:uid="{1BB3AF30-C9D4-47B0-8D60-03199050E26E}"/>
    <hyperlink ref="A525" r:id="rId12" tooltip="UOL" display="https://investors.sgx.com/market/securities?code=U14&amp;type=stocks&amp;lang=en" xr:uid="{55B4CC00-35FA-4A2E-90C6-F36A7DC62C0D}"/>
    <hyperlink ref="A423" r:id="rId13" tooltip="Sembcorp Ind" display="https://investors.sgx.com/market/securities?code=U96&amp;type=stocks&amp;lang=en" xr:uid="{7278E4EC-D2D5-4447-9600-84368153574E}"/>
    <hyperlink ref="A438" r:id="rId14" tooltip="SIA" display="https://investors.sgx.com/market/securities?code=C6L&amp;type=stocks&amp;lang=en" xr:uid="{5641C699-5BB3-45A1-AC1E-C2FBD34C905D}"/>
    <hyperlink ref="A221" r:id="rId15" tooltip="HongkongLand USD" display="https://investors.sgx.com/market/securities?code=H78&amp;type=stocks&amp;lang=en" xr:uid="{3AE65F97-6CE5-48AD-886F-5353C896D4A1}"/>
    <hyperlink ref="A542" r:id="rId16" tooltip="Wilmar Intl" display="https://investors.sgx.com/market/securities?code=F34&amp;type=stocks&amp;lang=en" xr:uid="{10A327F8-231A-4551-BF27-054C964488C3}"/>
    <hyperlink ref="A117" r:id="rId17" tooltip="ComfortDelGro" display="https://investors.sgx.com/market/securities?code=C52&amp;type=stocks&amp;lang=en" xr:uid="{000E99E3-14D6-49A3-A43A-6D6266F218F3}"/>
    <hyperlink ref="A523" r:id="rId18" tooltip="UOB Kay Hian" display="https://investors.sgx.com/market/securities?code=U10&amp;type=stocks&amp;lang=en" xr:uid="{48889EDB-E8BD-4008-9344-FB46CEDD425E}"/>
    <hyperlink ref="A559" r:id="rId19" tooltip="YZJ Fin Hldg" display="https://investors.sgx.com/market/securities?code=YF8&amp;type=stocks&amp;lang=en" xr:uid="{D07553D4-5918-4E6A-A1FD-D1281364539D}"/>
    <hyperlink ref="A114" r:id="rId20" tooltip="CNMC Goldmine" display="https://investors.sgx.com/market/securities?code=5TP&amp;type=stocks&amp;lang=en" xr:uid="{CA07B5C1-6413-42E1-8C4C-B5D8A77ED78B}"/>
    <hyperlink ref="A219" r:id="rId21" tooltip="Hong Leong Asia" display="https://investors.sgx.com/market/securities?code=H22&amp;type=stocks&amp;lang=en" xr:uid="{937E28F1-592C-4483-85EB-8028E0CB9D7D}"/>
    <hyperlink ref="A418" r:id="rId22" tooltip="SATS" display="https://investors.sgx.com/market/securities?code=S58&amp;type=stocks&amp;lang=en" xr:uid="{7BF21E62-6BF6-4DBD-A6D3-C85C0150E1D6}"/>
    <hyperlink ref="A181" r:id="rId23" tooltip="Golden Agri-Res" display="https://investors.sgx.com/market/securities?code=E5H&amp;type=stocks&amp;lang=en" xr:uid="{F2A457AF-994A-4D35-B0A9-8ACA355F5672}"/>
    <hyperlink ref="A110" r:id="rId24" tooltip="CityDev" display="https://investors.sgx.com/market/securities?code=C09&amp;type=stocks&amp;lang=en" xr:uid="{2D48FDBB-7CA1-4B3F-B358-E5646096F13A}"/>
    <hyperlink ref="A421" r:id="rId25" tooltip="Seatrium Ltd" display="https://investors.sgx.com/market/securities?code=5E2&amp;type=stocks&amp;lang=en" xr:uid="{2202EB7F-5F78-4245-8C75-B47BDB731CE2}"/>
    <hyperlink ref="A233" r:id="rId26" tooltip="IFAST" display="https://investors.sgx.com/market/securities?code=AIY&amp;type=stocks&amp;lang=en" xr:uid="{5565EDCF-AECC-4DD8-8930-81E23ABC0418}"/>
    <hyperlink ref="A336" r:id="rId27" tooltip="NamCheong" display="https://investors.sgx.com/market/securities?code=1MZ&amp;type=stocks&amp;lang=en" xr:uid="{DE2D1B3F-55E3-4317-ABA8-4B02BBB6CBBC}"/>
    <hyperlink ref="A358" r:id="rId28" tooltip="Olam Group" display="https://investors.sgx.com/market/securities?code=VC2&amp;type=stocks&amp;lang=en" xr:uid="{34E44D1F-90AC-4EBD-8887-2D28AAF0BDFD}"/>
    <hyperlink ref="A476" r:id="rId29" tooltip="Sunpower" display="https://investors.sgx.com/market/securities?code=5GD&amp;type=stocks&amp;lang=en" xr:uid="{94930173-1A70-4C1A-8C90-C6A285F04DFC}"/>
    <hyperlink ref="A135" r:id="rId30" tooltip="DFIRG USD" display="https://investors.sgx.com/market/securities?code=D01&amp;type=stocks&amp;lang=en" xr:uid="{0777157A-F8AB-4E59-9557-B61C3DFA1552}"/>
    <hyperlink ref="A514" r:id="rId31" tooltip="UMS" display="https://investors.sgx.com/market/securities?code=558&amp;type=stocks&amp;lang=en" xr:uid="{7C54203A-8630-42C0-8EE3-ACA45BE13D71}"/>
    <hyperlink ref="A127" r:id="rId32" tooltip="CSE Global" display="https://investors.sgx.com/market/securities?code=544&amp;type=stocks&amp;lang=en" xr:uid="{858261C8-B523-4CFA-8152-1685D8065FC4}"/>
    <hyperlink ref="A388" r:id="rId33" tooltip="PropNex" display="https://investors.sgx.com/market/securities?code=OYY&amp;type=stocks&amp;lang=en" xr:uid="{EBE5E712-FAD9-46A9-A11B-0CFF312C21E8}"/>
    <hyperlink ref="A489" r:id="rId34" tooltip="ThaiBev" display="https://investors.sgx.com/market/securities?code=Y92&amp;type=stocks&amp;lang=en" xr:uid="{FCADB16A-FCB3-4182-AA30-30567A0ACCE9}"/>
    <hyperlink ref="A160" r:id="rId35" tooltip="First Resources" display="https://investors.sgx.com/market/securities?code=EB5&amp;type=stocks&amp;lang=en" xr:uid="{0505B793-4D73-4DBE-8BFA-8EAF72037815}"/>
    <hyperlink ref="A532" r:id="rId36" tooltip="Venture" display="https://investors.sgx.com/market/securities?code=V03&amp;type=stocks&amp;lang=en" xr:uid="{98C2C7FA-122B-42C9-BC0B-EB98248BAF26}"/>
    <hyperlink ref="A407" r:id="rId37" tooltip="Riverstone" display="https://investors.sgx.com/market/securities?code=AP4&amp;type=stocks&amp;lang=en" xr:uid="{B42AF15E-292D-4C24-A3CD-D3E3EACBC886}"/>
    <hyperlink ref="A71" r:id="rId38" tooltip="Beng Kuang" display="https://investors.sgx.com/market/securities?code=BEZ&amp;type=stocks&amp;lang=en" xr:uid="{F49427DC-A21C-4331-95EE-9A09834A19AE}"/>
    <hyperlink ref="A177" r:id="rId39" tooltip="Geo Energy Res" display="https://investors.sgx.com/market/securities?code=RE4&amp;type=stocks&amp;lang=en" xr:uid="{CE8986EF-35E9-45F6-B139-9D8328AC7E07}"/>
    <hyperlink ref="A295" r:id="rId40" tooltip="Lum Chang Creat" display="https://investors.sgx.com/market/securities?code=LCC&amp;type=stocks&amp;lang=en" xr:uid="{6FB11A2B-A12D-436F-8252-D42625C7F2BA}"/>
    <hyperlink ref="A404" r:id="rId41" tooltip="Rex Intl" display="https://investors.sgx.com/market/securities?code=5WH&amp;type=stocks&amp;lang=en" xr:uid="{D35FB65E-F919-463F-97AE-5B94C76234B8}"/>
    <hyperlink ref="A48" r:id="rId42" tooltip="ASL Marine" display="https://investors.sgx.com/market/securities?code=A04&amp;type=stocks&amp;lang=en" xr:uid="{300C9136-9967-4C83-A865-39FC06CE8DB9}"/>
    <hyperlink ref="A472" r:id="rId43" tooltip="StarHub" display="https://investors.sgx.com/market/securities?code=CC3&amp;type=stocks&amp;lang=en" xr:uid="{DE44F7A6-76B6-4350-8F1E-23960E49DE2D}"/>
    <hyperlink ref="A77" r:id="rId44" tooltip="Boustead" display="https://investors.sgx.com/market/securities?code=F9D&amp;type=stocks&amp;lang=en" xr:uid="{0F051C69-56F3-40D9-80D5-F291667F8823}"/>
    <hyperlink ref="A337" r:id="rId45" tooltip="Nanofilm" display="https://investors.sgx.com/market/securities?code=MZH&amp;type=stocks&amp;lang=en" xr:uid="{A0DBF34A-733A-4C1D-B3C3-0F0A7E2FA4DD}"/>
    <hyperlink ref="A355" r:id="rId46" tooltip="Oiltek" display="https://investors.sgx.com/market/securities?code=HQU&amp;type=stocks&amp;lang=en" xr:uid="{672D941F-5B2D-4FF2-8969-71D7BAFBE16D}"/>
    <hyperlink ref="A246" r:id="rId47" tooltip="ISDN" display="https://investors.sgx.com/market/securities?code=I07&amp;type=stocks&amp;lang=en" xr:uid="{B95F2B53-F94A-4E17-A833-1325153B0B3F}"/>
    <hyperlink ref="A53" r:id="rId48" tooltip="Aspial Lifestyle" display="https://investors.sgx.com/market/securities?code=5UF&amp;type=stocks&amp;lang=en" xr:uid="{D01CF413-37C6-4E71-834A-313E2F7321D5}"/>
    <hyperlink ref="A248" r:id="rId49" tooltip="ISOTeam" display="https://investors.sgx.com/market/securities?code=5WF&amp;type=stocks&amp;lang=en" xr:uid="{73337D7A-6720-44C3-9D67-EB55E2BEE621}"/>
    <hyperlink ref="A280" r:id="rId50" tooltip="KSH" display="https://investors.sgx.com/market/securities?code=ER0&amp;type=stocks&amp;lang=en" xr:uid="{8866CAC6-2CE8-44C8-AF77-1731B0A8DA72}"/>
    <hyperlink ref="A414" r:id="rId51" tooltip="Sanli Env" display="https://investors.sgx.com/market/securities?code=1E3&amp;type=stocks&amp;lang=en" xr:uid="{82959077-7707-47D0-9E9C-3D0465DB21EE}"/>
    <hyperlink ref="A300" r:id="rId52" tooltip="MarcoPolo Marine" display="https://investors.sgx.com/market/securities?code=5LY&amp;type=stocks&amp;lang=en" xr:uid="{F9F1BD1E-A442-409A-8556-DE725DEE1F76}"/>
    <hyperlink ref="A33" r:id="rId53" tooltip="AnAn Intl" display="https://investors.sgx.com/market/securities?code=Y35&amp;type=stocks&amp;lang=en" xr:uid="{DE41191A-6873-42F5-AC9A-C66224FAD225}"/>
    <hyperlink ref="A439" r:id="rId54" tooltip="SIA Engineering" display="https://investors.sgx.com/market/securities?code=S59&amp;type=stocks&amp;lang=en" xr:uid="{948341C2-FA31-40DF-8FA6-0DB88226D13A}"/>
    <hyperlink ref="A98" r:id="rId55" tooltip="China Aviation" display="https://investors.sgx.com/market/securities?code=G92&amp;type=stocks&amp;lang=en" xr:uid="{A24C9DAA-94E7-42E6-A1E0-E660F161536C}"/>
    <hyperlink ref="A83" r:id="rId56" tooltip="Bumitama Agri" display="https://investors.sgx.com/market/securities?code=P8Z&amp;type=stocks&amp;lang=en" xr:uid="{43FB0F0A-499F-4190-8937-AE134E5F4337}"/>
    <hyperlink ref="A344" r:id="rId57" tooltip="NIO Inc. USD OV" display="https://investors.sgx.com/market/securities?code=NIO&amp;type=stocks&amp;lang=en" xr:uid="{5F643D72-E417-40C3-BB6E-E96A0AFD24CB}"/>
    <hyperlink ref="A217" r:id="rId58" tooltip="Hong Fok" display="https://investors.sgx.com/market/securities?code=H30&amp;type=stocks&amp;lang=en" xr:uid="{532CB158-A47E-4323-B12A-3822D424E37C}"/>
    <hyperlink ref="A78" r:id="rId59" tooltip="BRC Asia" display="https://investors.sgx.com/market/securities?code=BEC&amp;type=stocks&amp;lang=en" xr:uid="{8482F8C3-AF50-4B2A-8287-829F692721D6}"/>
    <hyperlink ref="A375" r:id="rId60" tooltip="Parkson Retail" display="https://investors.sgx.com/market/securities?code=O9E&amp;type=stocks&amp;lang=en" xr:uid="{0EC44715-5E64-4D70-B65C-B6187975152F}"/>
    <hyperlink ref="A188" r:id="rId61" tooltip="Great Eastern" display="https://investors.sgx.com/market/securities?code=G07&amp;type=stocks&amp;lang=en" xr:uid="{E496A127-FB0B-48C7-A622-4610F4F4C7BD}"/>
    <hyperlink ref="A40" r:id="rId62" tooltip="APAC Realty" display="https://investors.sgx.com/market/securities?code=CLN&amp;type=stocks&amp;lang=en" xr:uid="{17CC5C5C-0FEB-4D72-B8BB-0FA18870DCB1}"/>
    <hyperlink ref="A214" r:id="rId63" tooltip="Ho Bee Land" display="https://investors.sgx.com/market/securities?code=H13&amp;type=stocks&amp;lang=en" xr:uid="{ABD4D90E-D299-42F8-A6D8-A5148B7BB0BF}"/>
    <hyperlink ref="A399" r:id="rId64" tooltip="Raffles Medical" display="https://investors.sgx.com/market/securities?code=BSL&amp;type=stocks&amp;lang=en" xr:uid="{C2C5EFF7-DC5F-4D42-87DF-EDD91EABFA93}"/>
    <hyperlink ref="A46" r:id="rId65" tooltip="AsiaPhos" display="https://investors.sgx.com/market/securities?code=5WV&amp;type=stocks&amp;lang=en" xr:uid="{1E9E3A78-0BF9-4491-8515-D85622B052DE}"/>
    <hyperlink ref="A126" r:id="rId66" tooltip="CSC" display="https://investors.sgx.com/market/securities?code=C06&amp;type=stocks&amp;lang=en" xr:uid="{BA0CD62F-DA12-462B-A665-7E728BB922D7}"/>
    <hyperlink ref="A107" r:id="rId67" tooltip="ChinaSunsine" display="https://investors.sgx.com/market/securities?code=QES&amp;type=stocks&amp;lang=en" xr:uid="{F1B3F13A-EFB8-427C-9F5F-0764D2F8CA75}"/>
    <hyperlink ref="A372" r:id="rId68" tooltip="PacificRadiance" display="https://investors.sgx.com/market/securities?code=RXS&amp;type=stocks&amp;lang=en" xr:uid="{699A02B6-9A7A-479E-9386-A2E6EE8A0059}"/>
    <hyperlink ref="A157" r:id="rId69" tooltip="Far East Orchard" display="https://investors.sgx.com/market/securities?code=O10&amp;type=stocks&amp;lang=en" xr:uid="{03F4F039-1E97-4E75-B6D8-3F681B0D4D80}"/>
    <hyperlink ref="A500" r:id="rId70" tooltip="Totm Tech" display="https://investors.sgx.com/market/securities?code=42F&amp;type=stocks&amp;lang=en" xr:uid="{B63CDD76-CC0F-41C2-9572-324EE5B22230}"/>
    <hyperlink ref="A444" r:id="rId71" tooltip="Sing Inv &amp; Fin" display="https://investors.sgx.com/market/securities?code=S35&amp;type=stocks&amp;lang=en" xr:uid="{7740553B-7CC0-457B-9128-34428B872F39}"/>
    <hyperlink ref="A447" r:id="rId72" tooltip="SingaporeLandGrp" display="https://investors.sgx.com/market/securities?code=U06&amp;type=stocks&amp;lang=en" xr:uid="{B578F289-385F-4D5D-987C-FB998DF2C904}"/>
    <hyperlink ref="A412" r:id="rId73" tooltip="SamuderaShipping" display="https://investors.sgx.com/market/securities?code=S56&amp;type=stocks&amp;lang=en" xr:uid="{8D12A0FC-90D5-427E-8134-8614401D83DC}"/>
    <hyperlink ref="A284" r:id="rId74" tooltip="LHN" display="https://investors.sgx.com/market/securities?code=41O&amp;type=stocks&amp;lang=en" xr:uid="{8A21E5BE-D22E-426C-81BF-548C37F61175}"/>
    <hyperlink ref="A242" r:id="rId75" tooltip="Intl Cement" display="https://investors.sgx.com/market/securities?code=KUO&amp;type=stocks&amp;lang=en" xr:uid="{185FEEA1-3223-496F-9176-CBB83F2AFB43}"/>
    <hyperlink ref="A193" r:id="rId76" tooltip="GSS Energy" display="https://investors.sgx.com/market/securities?code=41F&amp;type=stocks&amp;lang=en" xr:uid="{5FEE66E7-05BB-4E1E-999B-FE66CBFA04B1}"/>
    <hyperlink ref="A452" r:id="rId77" tooltip="Singtel 10" display="https://investors.sgx.com/market/securities?code=Z77&amp;type=stocks&amp;lang=en" xr:uid="{40301CE2-4875-407F-9A9C-716585F90858}"/>
    <hyperlink ref="A21" r:id="rId78" tooltip="AJJ Medtech" display="https://investors.sgx.com/market/securities?code=584&amp;type=stocks&amp;lang=en" xr:uid="{27A73357-D428-4C95-A368-5767E83EB484}"/>
    <hyperlink ref="A326" r:id="rId79" tooltip="MoneyMax Fin" display="https://investors.sgx.com/market/securities?code=5WJ&amp;type=stocks&amp;lang=en" xr:uid="{7522BCA5-208F-4F6D-AD53-B4D32C0DA83E}"/>
    <hyperlink ref="A530" r:id="rId80" tooltip="Valuetronics" display="https://investors.sgx.com/market/securities?code=BN2&amp;type=stocks&amp;lang=en" xr:uid="{E91149D0-088B-4D3F-983A-A2843EE143F1}"/>
    <hyperlink ref="A294" r:id="rId81" tooltip="Lum Chang" display="https://investors.sgx.com/market/securities?code=L19&amp;type=stocks&amp;lang=en" xr:uid="{ECA56B09-511F-4C65-ABED-E09802C48DF6}"/>
    <hyperlink ref="A498" r:id="rId82" tooltip="Top Glove" display="https://investors.sgx.com/market/securities?code=BVA&amp;type=stocks&amp;lang=en" xr:uid="{B5B501F2-2CC5-4666-99AC-88F92CEE44B7}"/>
    <hyperlink ref="A239" r:id="rId83" tooltip="Info-Tech" display="https://investors.sgx.com/market/securities?code=ITS&amp;type=stocks&amp;lang=en" xr:uid="{9CA02D21-DE42-4CA3-A68A-A8E198B26C3F}"/>
    <hyperlink ref="A497" r:id="rId84" tooltip="TJ DaRenTang USD" display="https://investors.sgx.com/market/securities?code=T14&amp;type=stocks&amp;lang=en" xr:uid="{BB35923A-607A-478A-8513-D923D9830A84}"/>
    <hyperlink ref="A82" r:id="rId85" tooltip="Bukit Sembawang" display="https://investors.sgx.com/market/securities?code=B61&amp;type=stocks&amp;lang=en" xr:uid="{6118155D-5A3E-4177-BE4E-F05BF4264C00}"/>
    <hyperlink ref="A448" r:id="rId86" tooltip="SingHoldings" display="https://investors.sgx.com/market/securities?code=5IC&amp;type=stocks&amp;lang=en" xr:uid="{9BF154F7-6EB6-48C9-AAE6-FF6C4744D13D}"/>
    <hyperlink ref="A374" r:id="rId87" tooltip="PanUnited" display="https://investors.sgx.com/market/securities?code=P52&amp;type=stocks&amp;lang=en" xr:uid="{43DC6B0B-C470-4245-8104-96F3CACE8C18}"/>
    <hyperlink ref="A275" r:id="rId88" tooltip="Koh Eco" display="https://investors.sgx.com/market/securities?code=5HV&amp;type=stocks&amp;lang=en" xr:uid="{76EA590A-CB8D-45B5-9CF5-B7F791D61607}"/>
    <hyperlink ref="A393" r:id="rId89" tooltip="Q&amp;M Dental" display="https://investors.sgx.com/market/securities?code=QC7&amp;type=stocks&amp;lang=en" xr:uid="{E41524D4-0CB2-414B-8443-72E0CF50D3A6}"/>
    <hyperlink ref="A492" r:id="rId90" tooltip="TheHourGlass" display="https://investors.sgx.com/market/securities?code=AGS&amp;type=stocks&amp;lang=en" xr:uid="{ADEFA8B9-E36C-4902-9730-414212C3F15E}"/>
    <hyperlink ref="A324" r:id="rId91" tooltip="Miyoshi" display="https://investors.sgx.com/market/securities?code=M03&amp;type=stocks&amp;lang=en" xr:uid="{82D3517E-181E-466C-8166-5B139AF6E0FF}"/>
    <hyperlink ref="A64" r:id="rId92" tooltip="Aztech Gbl" display="https://investors.sgx.com/market/securities?code=8AZ&amp;type=stocks&amp;lang=en" xr:uid="{394AE4F4-5FC0-43AC-9712-A7399CE960E2}"/>
    <hyperlink ref="A16" r:id="rId93" tooltip="Adventus" display="https://investors.sgx.com/market/securities?code=5EF&amp;type=stocks&amp;lang=en" xr:uid="{729D5506-F92F-40E7-A4E2-6687CCF8C65B}"/>
    <hyperlink ref="A272" r:id="rId94" tooltip="KingsmenCreative" display="https://investors.sgx.com/market/securities?code=5MZ&amp;type=stocks&amp;lang=en" xr:uid="{722A9C3E-287C-4CBD-93B9-1DB6927C4F48}"/>
    <hyperlink ref="A368" r:id="rId95" tooltip="Oxley" display="https://investors.sgx.com/market/securities?code=5UX&amp;type=stocks&amp;lang=en" xr:uid="{79C72487-8D29-4192-9F08-8D2383D7CE9B}"/>
    <hyperlink ref="A134" r:id="rId96" tooltip="Dezign Format" display="https://investors.sgx.com/market/securities?code=UZF&amp;type=stocks&amp;lang=en" xr:uid="{035C14D1-D82E-4512-9707-81B0B26FF224}"/>
    <hyperlink ref="A556" r:id="rId97" tooltip="Yoma Strategic" display="https://investors.sgx.com/market/securities?code=Z59&amp;type=stocks&amp;lang=en" xr:uid="{AE0BEC5A-7633-430A-9362-A5B062DA3F3A}"/>
    <hyperlink ref="A493" r:id="rId98" tooltip="Thomson Medical" display="https://investors.sgx.com/market/securities?code=A50&amp;type=stocks&amp;lang=en" xr:uid="{26B3AC7D-275E-4783-A029-1E0AEDF60BD5}"/>
    <hyperlink ref="A340" r:id="rId99" tooltip="Net Pacific Fin" display="https://investors.sgx.com/market/securities?code=5QY&amp;type=stocks&amp;lang=en" xr:uid="{1A7C3CF0-20D9-4FE7-BA10-E47D075176CE}"/>
    <hyperlink ref="A194" r:id="rId100" tooltip="GuocoLand" display="https://investors.sgx.com/market/securities?code=F17&amp;type=stocks&amp;lang=en" xr:uid="{4856AE6B-FAB0-49D3-9490-E8F62754CC6A}"/>
    <hyperlink ref="A311" r:id="rId101" tooltip="Mencast" display="https://investors.sgx.com/market/securities?code=5NF&amp;type=stocks&amp;lang=en" xr:uid="{B5FE4683-50AF-46A3-938A-E59BC0890E67}"/>
    <hyperlink ref="A543" r:id="rId102" tooltip="Wilton Resources" display="https://investors.sgx.com/market/securities?code=5F7&amp;type=stocks&amp;lang=en" xr:uid="{208B042D-8FA2-4029-8C13-FBFA3B47C168}"/>
    <hyperlink ref="A185" r:id="rId103" tooltip="Grand Banks" display="https://investors.sgx.com/market/securities?code=G50&amp;type=stocks&amp;lang=en" xr:uid="{6AFE3983-1C40-4E64-829A-57C7929C543D}"/>
    <hyperlink ref="A133" r:id="rId104" tooltip="Delfi" display="https://investors.sgx.com/market/securities?code=P34&amp;type=stocks&amp;lang=en" xr:uid="{E4F80527-DD87-476A-899A-295598A37D78}"/>
    <hyperlink ref="A195" r:id="rId105" tooltip="H2G Green" display="https://investors.sgx.com/market/securities?code=5AI&amp;type=stocks&amp;lang=en" xr:uid="{38F8CE5D-E9B3-4E65-BFBE-1697AB86921F}"/>
    <hyperlink ref="A405" r:id="rId106" tooltip="RH PetroGas" display="https://investors.sgx.com/market/securities?code=T13&amp;type=stocks&amp;lang=en" xr:uid="{643277D2-06C1-49D2-9B6B-580A2C003B95}"/>
    <hyperlink ref="A166" r:id="rId107" tooltip="Frasers Property" display="https://investors.sgx.com/market/securities?code=TQ5&amp;type=stocks&amp;lang=en" xr:uid="{C5489093-E6BE-4401-803A-589159C9BFC7}"/>
    <hyperlink ref="A417" r:id="rId108" tooltip="Sarine Tech" display="https://investors.sgx.com/market/securities?code=U77&amp;type=stocks&amp;lang=en" xr:uid="{1FE6DFFE-1312-4A45-B14C-ABB503A6999D}"/>
    <hyperlink ref="A111" r:id="rId109" tooltip="Civmec" display="https://investors.sgx.com/market/securities?code=P9D&amp;type=stocks&amp;lang=en" xr:uid="{605BA045-59A1-43B0-B9F9-BDA56B70EA24}"/>
    <hyperlink ref="A258" r:id="rId110" tooltip="Jiutian Chemical" display="https://investors.sgx.com/market/securities?code=C8R&amp;type=stocks&amp;lang=en" xr:uid="{494F71C8-C069-4F8D-BEC1-1EB23A765AF4}"/>
    <hyperlink ref="A220" r:id="rId111" tooltip="Hong Leong Fin" display="https://investors.sgx.com/market/securities?code=S41&amp;type=stocks&amp;lang=en" xr:uid="{302011A2-4373-42D9-B5E5-0C4189CEC94C}"/>
    <hyperlink ref="A52" r:id="rId112" tooltip="Aspial Corp" display="https://investors.sgx.com/market/securities?code=A30&amp;type=stocks&amp;lang=en" xr:uid="{B0D22FDD-9B72-4011-B0DC-E2EEF21D9F40}"/>
    <hyperlink ref="A211" r:id="rId113" tooltip="Hiap Seng Ind" display="https://investors.sgx.com/market/securities?code=1L2&amp;type=stocks&amp;lang=en" xr:uid="{004E7296-95F4-4283-9D62-E4B8A26DC33A}"/>
    <hyperlink ref="A282" r:id="rId114" tooltip="Leader Env" display="https://investors.sgx.com/market/securities?code=LS9&amp;type=stocks&amp;lang=en" xr:uid="{A3FB1E6D-4750-4A0E-BB8A-4B6F21D493EE}"/>
    <hyperlink ref="A529" r:id="rId115" tooltip="ValueMax" display="https://investors.sgx.com/market/securities?code=T6I&amp;type=stocks&amp;lang=en" xr:uid="{8B88FCA8-73AE-424C-A306-0E880AC426F7}"/>
    <hyperlink ref="A14" r:id="rId116" tooltip="AdvancedSystems" display="https://investors.sgx.com/market/securities?code=WJ9&amp;type=stocks&amp;lang=en" xr:uid="{55CD8993-F1B1-49D0-872A-ADB41D816F60}"/>
    <hyperlink ref="A25" r:id="rId117" tooltip="Alpina Holdings" display="https://investors.sgx.com/market/securities?code=ZXY&amp;type=stocks&amp;lang=en" xr:uid="{8CE15148-BC4B-4F93-97F3-43CA77839A2C}"/>
    <hyperlink ref="A228" r:id="rId118" tooltip="HRnetGroup" display="https://investors.sgx.com/market/securities?code=CHZ&amp;type=stocks&amp;lang=en" xr:uid="{37FE3006-5BC3-41D4-A601-43B567BE31CF}"/>
    <hyperlink ref="A548" r:id="rId119" tooltip="XMH" display="https://investors.sgx.com/market/securities?code=BQF&amp;type=stocks&amp;lang=en" xr:uid="{E4D41C0E-0FFC-42A4-98D3-5C348D83BC16}"/>
    <hyperlink ref="A331" r:id="rId120" tooltip="Multi-Chem" display="https://investors.sgx.com/market/securities?code=AWZ&amp;type=stocks&amp;lang=en" xr:uid="{8335C79E-75E3-4B94-80B7-0C1E4B0C8B5A}"/>
    <hyperlink ref="A69" r:id="rId121" tooltip="Banyan Tree" display="https://investors.sgx.com/market/securities?code=B58&amp;type=stocks&amp;lang=en" xr:uid="{563F7CC9-111E-4A74-BA75-58DDEF8F2FA9}"/>
    <hyperlink ref="A208" r:id="rId122" tooltip="HG Metal" display="https://investors.sgx.com/market/securities?code=BTG&amp;type=stocks&amp;lang=en" xr:uid="{9136BEEC-25EF-4B8E-A8CE-F3E1CDE08FE7}"/>
    <hyperlink ref="A397" r:id="rId123" tooltip="Raffles Edu" display="https://investors.sgx.com/market/securities?code=NR7&amp;type=stocks&amp;lang=en" xr:uid="{0A19F4FE-05A3-43AD-8DD6-0B1F593D49B9}"/>
    <hyperlink ref="A564" r:id="rId124" tooltip="Zhongxin Fruit" display="https://investors.sgx.com/market/securities?code=5EG&amp;type=stocks&amp;lang=en" xr:uid="{DA704BE3-DCE7-4D7B-B91C-50A1BF3015B3}"/>
    <hyperlink ref="A534" r:id="rId125" tooltip="Vibrant Group" display="https://investors.sgx.com/market/securities?code=BIP&amp;type=stocks&amp;lang=en" xr:uid="{2331872A-0703-4AD8-9984-7DA717ABFEF5}"/>
    <hyperlink ref="A549" r:id="rId126" tooltip="Y Ventures" display="https://investors.sgx.com/market/securities?code=1F1&amp;type=stocks&amp;lang=en" xr:uid="{E60DFB31-33D2-42F8-BDC8-CCE186A0A556}"/>
    <hyperlink ref="A12" r:id="rId127" tooltip="Addvalue Tech" display="https://investors.sgx.com/market/securities?code=A31&amp;type=stocks&amp;lang=en" xr:uid="{9E63F100-4F47-4FCA-8A4B-A35BE0313653}"/>
    <hyperlink ref="A357" r:id="rId128" tooltip="OKP" display="https://investors.sgx.com/market/securities?code=5CF&amp;type=stocks&amp;lang=en" xr:uid="{98D39A1B-928D-4548-8995-B4AF3BA997BE}"/>
    <hyperlink ref="A419" r:id="rId129" tooltip="SBS Transit" display="https://investors.sgx.com/market/securities?code=S61&amp;type=stocks&amp;lang=en" xr:uid="{BEB0A196-DE2C-446C-896B-80E506C0CF47}"/>
    <hyperlink ref="A172" r:id="rId130" tooltip="G Invacom" display="https://investors.sgx.com/market/securities?code=QS9&amp;type=stocks&amp;lang=en" xr:uid="{D7340FA1-EA06-4548-893A-EC24DE17F9FD}"/>
    <hyperlink ref="A486" r:id="rId131" tooltip="TCIL HK$" display="https://investors.sgx.com/market/securities?code=T15&amp;type=stocks&amp;lang=en" xr:uid="{A521F5D7-D141-4391-BDF9-DD310352C50C}"/>
    <hyperlink ref="A72" r:id="rId132" tooltip="BeverlyJCG" display="https://investors.sgx.com/market/securities?code=9QX&amp;type=stocks&amp;lang=en" xr:uid="{B7E40293-1DF1-4ADD-8FB2-F45E57710FEA}"/>
    <hyperlink ref="A209" r:id="rId133" tooltip="HGH" display="https://investors.sgx.com/market/securities?code=5GZ&amp;type=stocks&amp;lang=en" xr:uid="{BA769799-9408-4F52-8F04-953F1A69A06E}"/>
    <hyperlink ref="A245" r:id="rId134" tooltip="IPS Securex" display="https://investors.sgx.com/market/securities?code=42N&amp;type=stocks&amp;lang=en" xr:uid="{44EFE680-2C9C-4B37-AB30-EF10E471BDFF}"/>
    <hyperlink ref="A503" r:id="rId135" tooltip="Trendlines" display="https://investors.sgx.com/market/securities?code=42T&amp;type=stocks&amp;lang=en" xr:uid="{2284E090-D3AC-472D-B6DB-C2D8A3920445}"/>
    <hyperlink ref="A475" r:id="rId136" tooltip="SunMoonFood" display="https://investors.sgx.com/market/securities?code=AAJ&amp;type=stocks&amp;lang=en" xr:uid="{4B633525-198C-49CE-B1A9-F7EAD6EC7F82}"/>
    <hyperlink ref="A313" r:id="rId137" tooltip="Mermaid Maritime" display="https://investors.sgx.com/market/securities?code=DU4&amp;type=stocks&amp;lang=en" xr:uid="{1E654F65-BC7B-45ED-95DB-A6C3DFE31CA4}"/>
    <hyperlink ref="A470" r:id="rId138" tooltip="Stamford Land" display="https://investors.sgx.com/market/securities?code=H07&amp;type=stocks&amp;lang=en" xr:uid="{5160B6CC-0CAD-4923-85D1-4F41F741C8C9}"/>
    <hyperlink ref="A544" r:id="rId139" tooltip="Wing Tai" display="https://investors.sgx.com/market/securities?code=W05&amp;type=stocks&amp;lang=en" xr:uid="{EB5D07C8-7469-42D9-96FE-5FA120F2FEED}"/>
    <hyperlink ref="A536" r:id="rId140" tooltip="VICOM Ltd" display="https://investors.sgx.com/market/securities?code=WJP&amp;type=stocks&amp;lang=en" xr:uid="{69CAB6CE-F34C-4259-B565-4227E23EF71B}"/>
    <hyperlink ref="A314" r:id="rId141" tooltip="Meta Health" display="https://investors.sgx.com/market/securities?code=5DX&amp;type=stocks&amp;lang=en" xr:uid="{6BBBFA64-CE56-4650-A0FE-50034715278A}"/>
    <hyperlink ref="A335" r:id="rId142" tooltip="Nam Lee Metal" display="https://investors.sgx.com/market/securities?code=G0I&amp;type=stocks&amp;lang=en" xr:uid="{8931B3F5-267D-422A-ADAB-EC22176E8B54}"/>
    <hyperlink ref="A566" r:id="rId143" tooltip="Zixin" display="https://investors.sgx.com/market/securities?code=42W&amp;type=stocks&amp;lang=en" xr:uid="{23C4118C-8B16-4F1D-9761-1844AB582CEB}"/>
    <hyperlink ref="A274" r:id="rId144" tooltip="Koh Bros" display="https://investors.sgx.com/market/securities?code=K75&amp;type=stocks&amp;lang=en" xr:uid="{2DFED297-A0B7-4916-B5BA-B677600D51A6}"/>
    <hyperlink ref="A153" r:id="rId145" tooltip="Ever Glory" display="https://investors.sgx.com/market/securities?code=ZKX&amp;type=stocks&amp;lang=en" xr:uid="{D2677C55-9F86-4EE2-9225-282492F4D28A}"/>
    <hyperlink ref="A240" r:id="rId146" tooltip="InnoTek" display="https://investors.sgx.com/market/securities?code=M14&amp;type=stocks&amp;lang=en" xr:uid="{71E43B8A-4B4E-4E32-B496-A642BF356120}"/>
    <hyperlink ref="A474" r:id="rId147" tooltip="Straits Trading" display="https://investors.sgx.com/market/securities?code=S20&amp;type=stocks&amp;lang=en" xr:uid="{694C46A3-043A-4743-9F27-898F7E053E2D}"/>
    <hyperlink ref="A394" r:id="rId148" tooltip="QAF" display="https://investors.sgx.com/market/securities?code=Q01&amp;type=stocks&amp;lang=en" xr:uid="{44D6B6AB-D648-41B2-9660-B259B0519C5E}"/>
    <hyperlink ref="A490" r:id="rId149" tooltip="Thakral" display="https://investors.sgx.com/market/securities?code=AWI&amp;type=stocks&amp;lang=en" xr:uid="{1F98A761-FD58-4F98-B5E3-3C922B896F8A}"/>
    <hyperlink ref="A364" r:id="rId150" tooltip="OUE" display="https://investors.sgx.com/market/securities?code=LJ3&amp;type=stocks&amp;lang=en" xr:uid="{E9133D43-7799-4BC5-9804-B7F38EAC6927}"/>
    <hyperlink ref="A299" r:id="rId151" tooltip="Man Oriental USD" display="https://investors.sgx.com/market/securities?code=M04&amp;type=stocks&amp;lang=en" xr:uid="{53EC59DF-B72F-478F-ADAE-F2BDEF9B4878}"/>
    <hyperlink ref="A2" r:id="rId152" tooltip="17LIVE GROUP" display="https://investors.sgx.com/market/securities?code=LVR&amp;type=stocks&amp;lang=en" xr:uid="{A241D763-B646-471E-BBB1-7BD61E906F41}"/>
    <hyperlink ref="A94" r:id="rId153" tooltip="CH Offshore" display="https://investors.sgx.com/market/securities?code=C13&amp;type=stocks&amp;lang=en" xr:uid="{0F769CEF-ECBC-4BF3-AF10-25400DE43BB9}"/>
    <hyperlink ref="A321" r:id="rId154" tooltip="Micro-Mechanics" display="https://investors.sgx.com/market/securities?code=5DD&amp;type=stocks&amp;lang=en" xr:uid="{9D45F0DF-6E0D-46EA-8CC2-B6A6AB027101}"/>
    <hyperlink ref="A510" r:id="rId155" tooltip="Tuan Sing" display="https://investors.sgx.com/market/securities?code=T24&amp;type=stocks&amp;lang=en" xr:uid="{428163E8-A2BF-4460-BCAA-A2842CACDF4D}"/>
    <hyperlink ref="A70" r:id="rId156" tooltip="BBR" display="https://investors.sgx.com/market/securities?code=KJ5&amp;type=stocks&amp;lang=en" xr:uid="{441C1885-42D8-4403-8118-DB634CE0B255}"/>
    <hyperlink ref="A230" r:id="rId157" tooltip="Huationg Global" display="https://investors.sgx.com/market/securities?code=41B&amp;type=stocks&amp;lang=en" xr:uid="{B4432AA2-5EE3-4593-927F-200CEE3915AF}"/>
    <hyperlink ref="A100" r:id="rId158" tooltip="China Everbright" display="https://investors.sgx.com/market/securities?code=U9E&amp;type=stocks&amp;lang=en" xr:uid="{D916B4F7-C4CC-42E3-8E2D-9867B5B643A6}"/>
    <hyperlink ref="A516" r:id="rId159" tooltip="Union Gas" display="https://investors.sgx.com/market/securities?code=1F2&amp;type=stocks&amp;lang=en" xr:uid="{ADFD4B62-9BD4-44E0-9E15-1EBB9AD26735}"/>
    <hyperlink ref="A318" r:id="rId160" tooltip="Metro" display="https://investors.sgx.com/market/securities?code=M01&amp;type=stocks&amp;lang=en" xr:uid="{EF3FB8F7-03CB-48CD-A584-C46DB80A7995}"/>
    <hyperlink ref="A179" r:id="rId161" tooltip="GKE" display="https://investors.sgx.com/market/securities?code=595&amp;type=stocks&amp;lang=en" xr:uid="{0211C4F5-F835-47CF-B9D4-E2429CFD965E}"/>
    <hyperlink ref="A113" r:id="rId162" tooltip="CMS" display="https://investors.sgx.com/market/securities?code=8A8&amp;type=stocks&amp;lang=en" xr:uid="{854769F0-FE79-4D44-9D5E-3936D04FBCFC}"/>
    <hyperlink ref="A378" r:id="rId163" tooltip="PC Partner" display="https://investors.sgx.com/market/securities?code=PCT&amp;type=stocks&amp;lang=en" xr:uid="{E9C1D3F9-4283-44FF-816C-14345D19637C}"/>
    <hyperlink ref="A186" r:id="rId164" tooltip="Grand Venture" display="https://investors.sgx.com/market/securities?code=JLB&amp;type=stocks&amp;lang=en" xr:uid="{FCE7A437-0439-42B2-9035-5171978877DD}"/>
    <hyperlink ref="A269" r:id="rId165" tooltip="Kim Heng" display="https://investors.sgx.com/market/securities?code=5G2&amp;type=stocks&amp;lang=en" xr:uid="{5AB109E5-F5FA-4DC0-8D14-5C0B4FC5123B}"/>
    <hyperlink ref="A283" r:id="rId166" tooltip="Ley Choon" display="https://investors.sgx.com/market/securities?code=Q0X&amp;type=stocks&amp;lang=en" xr:uid="{CD806933-A694-4B2D-A75F-95C7B58E16E2}"/>
    <hyperlink ref="A142" r:id="rId167" tooltip="EFH Ltd" display="https://investors.sgx.com/market/securities?code=8YY&amp;type=stocks&amp;lang=en" xr:uid="{840BA240-63FD-40D7-BEFC-97CFAA0ECDB2}"/>
    <hyperlink ref="A505" r:id="rId168" tooltip="Tritech" display="https://investors.sgx.com/market/securities?code=5G9&amp;type=stocks&amp;lang=en" xr:uid="{8261EDE3-5F94-41A6-8316-66BEF97EF3EC}"/>
    <hyperlink ref="A349" r:id="rId169" tooltip="Nordic" display="https://investors.sgx.com/market/securities?code=MR7&amp;type=stocks&amp;lang=en" xr:uid="{555B92A0-0D04-474E-AC5E-4E7343171D1A}"/>
    <hyperlink ref="A369" r:id="rId170" tooltip="OxPay Financial" display="https://investors.sgx.com/market/securities?code=TVV&amp;type=stocks&amp;lang=en" xr:uid="{BA3D4F68-F07A-4EC7-8377-6ED8EFB2D57B}"/>
    <hyperlink ref="A61" r:id="rId171" tooltip="Avarga Ltd" display="https://investors.sgx.com/market/securities?code=X5N&amp;type=stocks&amp;lang=en" xr:uid="{5969E232-C64F-4B88-BA6C-7CF2C130D0CC}"/>
    <hyperlink ref="A162" r:id="rId172" tooltip="FJ Benjamin" display="https://investors.sgx.com/market/securities?code=F10&amp;type=stocks&amp;lang=en" xr:uid="{74483E60-27BC-46E4-9D86-078053F5960C}"/>
    <hyperlink ref="A215" r:id="rId173" tooltip="Hock Lian Seng" display="https://investors.sgx.com/market/securities?code=J2T&amp;type=stocks&amp;lang=en" xr:uid="{48F8E874-1D8E-4D2E-9453-75D6D6E17BE6}"/>
    <hyperlink ref="A513" r:id="rId174" tooltip="UGHealthcare" display="https://investors.sgx.com/market/securities?code=8K7&amp;type=stocks&amp;lang=en" xr:uid="{C0AC0866-AAC9-4200-BFB9-F5337B07790D}"/>
    <hyperlink ref="A371" r:id="rId175" tooltip="Pacific Century" display="https://investors.sgx.com/market/securities?code=P15&amp;type=stocks&amp;lang=en" xr:uid="{322020C6-02DE-478C-9167-7672B152B9C8}"/>
    <hyperlink ref="A62" r:id="rId176" tooltip="Avi-Tech Hldg" display="https://investors.sgx.com/market/securities?code=1R6&amp;type=stocks&amp;lang=en" xr:uid="{97108842-9FF9-4F49-ABA0-3D68CA5C46B1}"/>
    <hyperlink ref="A183" r:id="rId177" tooltip="Goodwill" display="https://investors.sgx.com/market/securities?code=GEH&amp;type=stocks&amp;lang=en" xr:uid="{2D949A42-F242-4F88-B0E7-EAA830E84F08}"/>
    <hyperlink ref="A422" r:id="rId178" tooltip="Secura" display="https://investors.sgx.com/market/securities?code=43B&amp;type=stocks&amp;lang=en" xr:uid="{9F093D6C-04AA-4BA1-A5F5-E318DE0B18D2}"/>
    <hyperlink ref="A57" r:id="rId179" tooltip="Atlantic Nav" display="https://investors.sgx.com/market/securities?code=5UL&amp;type=stocks&amp;lang=en" xr:uid="{AA0379EC-D6C8-4DFE-957B-C3E13A808CAC}"/>
    <hyperlink ref="A555" r:id="rId180" tooltip="YKGI" display="https://investors.sgx.com/market/securities?code=YK9&amp;type=stocks&amp;lang=en" xr:uid="{DC943072-3ADA-455D-B8BB-F74738549610}"/>
    <hyperlink ref="A304" r:id="rId181" tooltip="MDR Limited" display="https://investors.sgx.com/market/securities?code=Y3D&amp;type=stocks&amp;lang=en" xr:uid="{AE6B0115-8C72-45CD-B92B-EF203ED85130}"/>
    <hyperlink ref="A271" r:id="rId182" tooltip="King Wan" display="https://investors.sgx.com/market/securities?code=554&amp;type=stocks&amp;lang=en" xr:uid="{35A3F245-0B75-4543-A3D7-FE49DFC08CBA}"/>
    <hyperlink ref="A464" r:id="rId183" tooltip="Spindex Ind" display="https://investors.sgx.com/market/securities?code=564&amp;type=stocks&amp;lang=en" xr:uid="{2A995BB6-C949-4714-918C-C3846606FBAD}"/>
    <hyperlink ref="A270" r:id="rId184" tooltip="Kimly" display="https://investors.sgx.com/market/securities?code=1D0&amp;type=stocks&amp;lang=en" xr:uid="{2618FB04-E0FD-4AE2-8486-6AE45A302197}"/>
    <hyperlink ref="A491" r:id="rId185" tooltip="The Place Hldg" display="https://investors.sgx.com/market/securities?code=E27&amp;type=stocks&amp;lang=en" xr:uid="{71FFC07B-6BC7-4989-8C07-7647B929A3F1}"/>
    <hyperlink ref="A238" r:id="rId186" tooltip="Indofood Agri" display="https://investors.sgx.com/market/securities?code=5JS&amp;type=stocks&amp;lang=en" xr:uid="{F8F962A6-6375-4985-82E1-32E07D81B818}"/>
    <hyperlink ref="A392" r:id="rId187" tooltip="PSC Corporation" display="https://investors.sgx.com/market/securities?code=DM0&amp;type=stocks&amp;lang=en" xr:uid="{096A2AE8-BD3F-41DE-B348-497B59A70FF3}"/>
    <hyperlink ref="A341" r:id="rId188" tooltip="New Toyo" display="https://investors.sgx.com/market/securities?code=N08&amp;type=stocks&amp;lang=en" xr:uid="{712FDD5E-E5EF-4465-9BEA-80C308FB5F38}"/>
    <hyperlink ref="A496" r:id="rId189" tooltip="Tiong Woon" display="https://investors.sgx.com/market/securities?code=BQM&amp;type=stocks&amp;lang=en" xr:uid="{EF74B9B4-7EA1-42AA-9B6C-7C423253D960}"/>
    <hyperlink ref="A482" r:id="rId190" tooltip="Tai Sin Electric" display="https://investors.sgx.com/market/securities?code=500&amp;type=stocks&amp;lang=en" xr:uid="{174B9457-3B4F-4EC4-BF56-DCB935AC2EF0}"/>
    <hyperlink ref="A148" r:id="rId191" tooltip="Envictus" display="https://investors.sgx.com/market/securities?code=BQD&amp;type=stocks&amp;lang=en" xr:uid="{B714BD54-1922-4667-8A54-AC12D47C06EB}"/>
    <hyperlink ref="A367" r:id="rId192" tooltip="Overseas Edu" display="https://investors.sgx.com/market/securities?code=RQ1&amp;type=stocks&amp;lang=en" xr:uid="{73A33D52-7471-409F-881C-2A9DB0499679}"/>
    <hyperlink ref="A256" r:id="rId193" tooltip="JB Foods" display="https://investors.sgx.com/market/securities?code=BEW&amp;type=stocks&amp;lang=en" xr:uid="{F680B262-EF3A-4888-BC51-E200C7363F42}"/>
    <hyperlink ref="A174" r:id="rId194" tooltip="GCCP" display="https://investors.sgx.com/market/securities?code=41T&amp;type=stocks&amp;lang=en" xr:uid="{8332357D-8040-4C81-8FB2-0A22DB3E3582}"/>
    <hyperlink ref="A11" r:id="rId195" tooltip="AcroMeta" display="https://investors.sgx.com/market/securities?code=43F&amp;type=stocks&amp;lang=en" xr:uid="{32A842D4-C5BC-49C4-9ECE-6396276CD684}"/>
    <hyperlink ref="A224" r:id="rId196" tooltip="Hotel Grand" display="https://investors.sgx.com/market/securities?code=H18&amp;type=stocks&amp;lang=en" xr:uid="{D5A207CA-E257-4DF7-BE76-C0423636A0CE}"/>
    <hyperlink ref="A413" r:id="rId197" tooltip="Samurai 2K" display="https://investors.sgx.com/market/securities?code=Y8E&amp;type=stocks&amp;lang=en" xr:uid="{D73EEBCB-DE24-429C-A37D-6F6DF01C0609}"/>
    <hyperlink ref="A251" r:id="rId198" tooltip="Jadason" display="https://investors.sgx.com/market/securities?code=J03&amp;type=stocks&amp;lang=en" xr:uid="{EA4ABDAC-ABF0-44E8-8AB5-C7FCE81BD31D}"/>
    <hyperlink ref="A146" r:id="rId199" tooltip="Eneco Energy" display="https://investors.sgx.com/market/securities?code=R14&amp;type=stocks&amp;lang=en" xr:uid="{788B3EF6-ABA5-42B6-8F4F-4BBC10927CB5}"/>
    <hyperlink ref="A458" r:id="rId200" tooltip="Soon Lian" display="https://investors.sgx.com/market/securities?code=5MD&amp;type=stocks&amp;lang=en" xr:uid="{4E370FF9-8A29-47BA-8817-5F89308835CB}"/>
    <hyperlink ref="A450" r:id="rId201" tooltip="SingShipping" display="https://investors.sgx.com/market/securities?code=S19&amp;type=stocks&amp;lang=en" xr:uid="{BAE02F5E-D1DC-4545-8DD4-014E13D6E0B1}"/>
    <hyperlink ref="A350" r:id="rId202" tooltip="NSL" display="https://investors.sgx.com/market/securities?code=N02&amp;type=stocks&amp;lang=en" xr:uid="{4B674230-1AB2-4286-A941-3111BAE4A22C}"/>
    <hyperlink ref="A541" r:id="rId203" tooltip="Willas-Array" display="https://investors.sgx.com/market/securities?code=BDR&amp;type=stocks&amp;lang=en" xr:uid="{D9F13D92-8692-42EF-820B-F63D72BADC4F}"/>
    <hyperlink ref="A480" r:id="rId204" tooltip="SUTL Enterprise" display="https://investors.sgx.com/market/securities?code=BHU&amp;type=stocks&amp;lang=en" xr:uid="{B3969CEB-05FA-437A-B71B-3723EB886E75}"/>
    <hyperlink ref="A109" r:id="rId205" tooltip="Chuan Hup" display="https://investors.sgx.com/market/securities?code=C33&amp;type=stocks&amp;lang=en" xr:uid="{AD303E99-CCAB-4D23-9561-60DFE7EE1037}"/>
    <hyperlink ref="A20" r:id="rId206" tooltip="AF Global" display="https://investors.sgx.com/market/securities?code=L38&amp;type=stocks&amp;lang=en" xr:uid="{C756341B-E33D-4DE7-910C-549175DD44F7}"/>
    <hyperlink ref="A287" r:id="rId207" tooltip="Lion Asiapac" display="https://investors.sgx.com/market/securities?code=BAZ&amp;type=stocks&amp;lang=en" xr:uid="{731C3253-E7FC-48AB-8164-DA7414650567}"/>
    <hyperlink ref="A216" r:id="rId208" tooltip="Hoe Leong" display="https://investors.sgx.com/market/securities?code=H20&amp;type=stocks&amp;lang=en" xr:uid="{FB9832FE-EC0E-4451-BE06-ADFB38774B3C}"/>
    <hyperlink ref="A440" r:id="rId209" tooltip="SIIC Environment" display="https://investors.sgx.com/market/securities?code=BHK&amp;type=stocks&amp;lang=en" xr:uid="{1C472F01-D21C-4303-A6E6-38B33F49F110}"/>
    <hyperlink ref="A158" r:id="rId210" tooltip="Federal Int" display="https://investors.sgx.com/market/securities?code=BDU&amp;type=stocks&amp;lang=en" xr:uid="{525B5E1F-096C-4138-8B58-13ECC0F8EB0D}"/>
    <hyperlink ref="A213" r:id="rId211" tooltip="HL Global Ent" display="https://investors.sgx.com/market/securities?code=AVX&amp;type=stocks&amp;lang=en" xr:uid="{66BFCAA6-ECEE-4D14-A086-F94043E38651}"/>
    <hyperlink ref="A175" r:id="rId212" tooltip="GDS Global" display="https://investors.sgx.com/market/securities?code=5VP&amp;type=stocks&amp;lang=en" xr:uid="{AA2B36D9-560F-4C42-9A19-4B282575051D}"/>
    <hyperlink ref="A132" r:id="rId213" tooltip="Del Monte Pac" display="https://investors.sgx.com/market/securities?code=D03&amp;type=stocks&amp;lang=en" xr:uid="{E798EBEF-0666-4ABE-B0A4-3271D79538C0}"/>
    <hyperlink ref="A471" r:id="rId214" tooltip="Stamford Tyres" display="https://investors.sgx.com/market/securities?code=S29&amp;type=stocks&amp;lang=en" xr:uid="{AABF74A4-F310-4B74-82E8-7DBE067A9CBA}"/>
    <hyperlink ref="A84" r:id="rId215" tooltip="Bund Center" display="https://investors.sgx.com/market/securities?code=BTE&amp;type=stocks&amp;lang=en" xr:uid="{2E9A2995-CEDB-418E-A6E9-29A7128AEB20}"/>
    <hyperlink ref="A68" r:id="rId216" tooltip="Baker Technology" display="https://investors.sgx.com/market/securities?code=BTP&amp;type=stocks&amp;lang=en" xr:uid="{B89FF2C7-53DD-496E-ADAF-676221F345B2}"/>
    <hyperlink ref="A524" r:id="rId217" tooltip="UOI" display="https://investors.sgx.com/market/securities?code=U13&amp;type=stocks&amp;lang=en" xr:uid="{8659DD1A-6640-4782-8018-20C1030D37CC}"/>
    <hyperlink ref="A342" r:id="rId218" tooltip="New Wave" display="https://investors.sgx.com/market/securities?code=5FX&amp;type=stocks&amp;lang=en" xr:uid="{9E2738B3-BF33-4701-B20A-BFCD3F87D756}"/>
    <hyperlink ref="A385" r:id="rId219" tooltip="Powermatic Data" display="https://investors.sgx.com/market/securities?code=BCY&amp;type=stocks&amp;lang=en" xr:uid="{671A5E5B-36AA-4663-9526-120640EFEF19}"/>
    <hyperlink ref="A81" r:id="rId220" tooltip="Brook Crompton" display="https://investors.sgx.com/market/securities?code=AWC&amp;type=stocks&amp;lang=en" xr:uid="{05B3147D-41AE-4E81-B5C5-E48C41F4E148}"/>
    <hyperlink ref="A465" r:id="rId221" tooltip="Spura Finance" display="https://investors.sgx.com/market/securities?code=S23&amp;type=stocks&amp;lang=en" xr:uid="{249DB168-F845-4329-9906-82BEE7930F64}"/>
    <hyperlink ref="A264" r:id="rId222" tooltip="Katrina" display="https://investors.sgx.com/market/securities?code=1A0&amp;type=stocks&amp;lang=en" xr:uid="{AF57A488-BE4B-4B87-AD64-C84C3434826D}"/>
    <hyperlink ref="A23" r:id="rId223" tooltip="Alliance HC" display="https://investors.sgx.com/market/securities?code=MIJ&amp;type=stocks&amp;lang=en" xr:uid="{DA727C36-A88F-409D-B10B-75E23A5B6F40}"/>
    <hyperlink ref="A307" r:id="rId224" tooltip="Medtecs Intl" display="https://investors.sgx.com/market/securities?code=546&amp;type=stocks&amp;lang=en" xr:uid="{04882ED0-A197-4F55-97F6-D9FEA945961C}"/>
    <hyperlink ref="A108" r:id="rId225" tooltip="Choo Chiang" display="https://investors.sgx.com/market/securities?code=42E&amp;type=stocks&amp;lang=en" xr:uid="{70E38676-05EF-4A9E-B194-053B655C72D2}"/>
    <hyperlink ref="A41" r:id="rId226" tooltip="Ascent Bridge" display="https://investors.sgx.com/market/securities?code=AWG&amp;type=stocks&amp;lang=en" xr:uid="{C873AEC4-F9F1-4E63-82A7-F25DDEE3B752}"/>
    <hyperlink ref="A305" r:id="rId227" tooltip="MediLifestyle" display="https://investors.sgx.com/market/securities?code=Z4D&amp;type=stocks&amp;lang=en" xr:uid="{40DED1A9-AE3F-4FDD-8D1E-C0528363E5F8}"/>
    <hyperlink ref="A261" r:id="rId228" tooltip="Jubilee" display="https://investors.sgx.com/market/securities?code=NHD&amp;type=stocks&amp;lang=en" xr:uid="{DCD32C92-707C-426D-9BD9-FFF2D0A9B41A}"/>
    <hyperlink ref="A389" r:id="rId229" tooltip="ProsperaGlobal" display="https://investors.sgx.com/market/securities?code=5HH&amp;type=stocks&amp;lang=en" xr:uid="{DC24103E-692D-43BB-9FE9-6F6801314090}"/>
    <hyperlink ref="A262" r:id="rId230" tooltip="Jumbo" display="https://investors.sgx.com/market/securities?code=42R&amp;type=stocks&amp;lang=en" xr:uid="{48FF1000-39C8-403E-B435-82876739C6EF}"/>
    <hyperlink ref="A325" r:id="rId231" tooltip="MM2 Asia" display="https://investors.sgx.com/market/securities?code=1B0&amp;type=stocks&amp;lang=en" xr:uid="{E68602F5-0942-47D8-864F-A2AB0A687AC2}"/>
    <hyperlink ref="A191" r:id="rId232" tooltip="GS Hldg" display="https://investors.sgx.com/market/securities?code=43A&amp;type=stocks&amp;lang=en" xr:uid="{0D8E6CB7-9959-4086-A4BC-99818175E5C3}"/>
    <hyperlink ref="A478" r:id="rId233" tooltip="Sunrise Shares" display="https://investors.sgx.com/market/securities?code=581&amp;type=stocks&amp;lang=en" xr:uid="{F5F04076-1742-42AD-B2F5-77C27ECF1BDC}"/>
    <hyperlink ref="A124" r:id="rId234" tooltip="Creative" display="https://investors.sgx.com/market/securities?code=C76&amp;type=stocks&amp;lang=en" xr:uid="{C1BCC548-EF1C-4FF2-8CA8-EEE11094DB10}"/>
    <hyperlink ref="A103" r:id="rId235" tooltip="China Mining" display="https://investors.sgx.com/market/securities?code=BHD&amp;type=stocks&amp;lang=en" xr:uid="{1EEA2ABD-B824-4A7F-AAED-9AF63B5FCAA7}"/>
    <hyperlink ref="A247" r:id="rId236" tooltip="ISEC" display="https://investors.sgx.com/market/securities?code=40T&amp;type=stocks&amp;lang=en" xr:uid="{3A912AE7-8AED-4B67-B2C0-4A675C83B431}"/>
    <hyperlink ref="A227" r:id="rId237" tooltip="HPL" display="https://investors.sgx.com/market/securities?code=H15&amp;type=stocks&amp;lang=en" xr:uid="{32284473-81B3-4468-8D75-08B430CE46B2}"/>
    <hyperlink ref="A140" r:id="rId238" tooltip="EcoWise" display="https://investors.sgx.com/market/securities?code=5CT&amp;type=stocks&amp;lang=en" xr:uid="{7139B205-5F61-488A-9AD9-0A17B737A24A}"/>
    <hyperlink ref="A504" r:id="rId239" tooltip="TrickleStar" display="https://investors.sgx.com/market/securities?code=CYW&amp;type=stocks&amp;lang=en" xr:uid="{C0D2FBE8-6816-439B-8D7E-9A05E922792F}"/>
    <hyperlink ref="A35" r:id="rId240" tooltip="AnnAik" display="https://investors.sgx.com/market/securities?code=A52&amp;type=stocks&amp;lang=en" xr:uid="{7234ABDC-887F-4E03-A562-37DAA2E887C0}"/>
    <hyperlink ref="A515" r:id="rId241" tooltip="Uni-Asia Grp" display="https://investors.sgx.com/market/securities?code=CHJ&amp;type=stocks&amp;lang=en" xr:uid="{2B5B4CF5-0C04-4E3C-A4C7-5B30D2DCF160}"/>
    <hyperlink ref="A359" r:id="rId242" tooltip="Old Chang Kee" display="https://investors.sgx.com/market/securities?code=5ML&amp;type=stocks&amp;lang=en" xr:uid="{24804805-30D5-43B6-B05D-697F4A57F920}"/>
    <hyperlink ref="A106" r:id="rId243" tooltip="ChinaKundaTech" display="https://investors.sgx.com/market/securities?code=GU5&amp;type=stocks&amp;lang=en" xr:uid="{4711A3BD-D5EF-41F0-A52A-52BA32FB0725}"/>
    <hyperlink ref="A63" r:id="rId244" tooltip="Azeus" display="https://investors.sgx.com/market/securities?code=BBW&amp;type=stocks&amp;lang=en" xr:uid="{BCE36CE9-B141-4D35-B8EA-269DD047BFD5}"/>
    <hyperlink ref="A330" r:id="rId245" tooltip="MTQ" display="https://investors.sgx.com/market/securities?code=M05&amp;type=stocks&amp;lang=en" xr:uid="{FFE29AED-1C78-4093-905F-DB420A6A5704}"/>
    <hyperlink ref="A373" r:id="rId246" tooltip="Pan Hong" display="https://investors.sgx.com/market/securities?code=P36&amp;type=stocks&amp;lang=en" xr:uid="{97AFB15A-A509-4EFE-ACB9-90966A4A393D}"/>
    <hyperlink ref="A168" r:id="rId247" tooltip="Fu Yu" display="https://investors.sgx.com/market/securities?code=F13&amp;type=stocks&amp;lang=en" xr:uid="{2E429BCC-76E2-4DDD-9AAF-F318248DE387}"/>
    <hyperlink ref="A44" r:id="rId248" tooltip="AsiaMedic" display="https://investors.sgx.com/market/securities?code=505&amp;type=stocks&amp;lang=en" xr:uid="{C6569A49-3973-46EC-9B91-27E248B3E521}"/>
    <hyperlink ref="A473" r:id="rId249" tooltip="Straco" display="https://investors.sgx.com/market/securities?code=S85&amp;type=stocks&amp;lang=en" xr:uid="{30B6FBAA-64E0-47D5-A016-F2A1BCB2279E}"/>
    <hyperlink ref="A411" r:id="rId250" tooltip="Samko Timber" display="https://investors.sgx.com/market/securities?code=E6R&amp;type=stocks&amp;lang=en" xr:uid="{71A24365-6DD2-4432-94A8-1DE15D62CAB2}"/>
    <hyperlink ref="A308" r:id="rId251" tooltip="MegaChem" display="https://investors.sgx.com/market/securities?code=5DS&amp;type=stocks&amp;lang=en" xr:uid="{92EA04C9-1440-493A-BD36-B2E9661F9716}"/>
    <hyperlink ref="A554" r:id="rId252" tooltip="Ying Li Intl" display="https://investors.sgx.com/market/securities?code=5DM&amp;type=stocks&amp;lang=en" xr:uid="{D006AFE3-3B35-42CB-BBFB-D887F9BCDEBB}"/>
    <hyperlink ref="A539" r:id="rId253" tooltip="Vividthree" display="https://investors.sgx.com/market/securities?code=OMK&amp;type=stocks&amp;lang=en" xr:uid="{0A976A74-CAA5-4713-8960-39F8161333F0}"/>
    <hyperlink ref="A426" r:id="rId254" tooltip="Serial System" display="https://investors.sgx.com/market/securities?code=S69&amp;type=stocks&amp;lang=en" xr:uid="{6F77A6DC-DA79-4A4A-8E48-A18E065E10D3}"/>
    <hyperlink ref="A210" r:id="rId255" tooltip="Hiap Hoe" display="https://investors.sgx.com/market/securities?code=5JK&amp;type=stocks&amp;lang=en" xr:uid="{9C306620-04BA-453D-83DD-A6C9B2AD3E7A}"/>
    <hyperlink ref="A437" r:id="rId256" tooltip="SHS" display="https://investors.sgx.com/market/securities?code=566&amp;type=stocks&amp;lang=en" xr:uid="{0FF439D2-55AE-4EE8-BF8F-2B1BB0F33C24}"/>
    <hyperlink ref="A9" r:id="rId257" tooltip="Acesian Partners" display="https://investors.sgx.com/market/securities?code=5FW&amp;type=stocks&amp;lang=en" xr:uid="{9E1BC774-E1A4-4384-8075-134681EA4E40}"/>
    <hyperlink ref="A232" r:id="rId258" tooltip="Hyphens Pharma" display="https://investors.sgx.com/market/securities?code=1J5&amp;type=stocks&amp;lang=en" xr:uid="{F3DD0620-CEF5-46FB-8419-86319E728300}"/>
    <hyperlink ref="A42" r:id="rId259" tooltip="Asia Enterprises" display="https://investors.sgx.com/market/securities?code=A55&amp;type=stocks&amp;lang=en" xr:uid="{FD5B0CF7-D389-4784-B258-3E3D1A5EF6C2}"/>
    <hyperlink ref="A456" r:id="rId260" tooltip="Sitra" display="https://investors.sgx.com/market/securities?code=5LE&amp;type=stocks&amp;lang=en" xr:uid="{E1A56BDE-B1E4-48BC-8B40-C221DD82119B}"/>
    <hyperlink ref="A91" r:id="rId261" tooltip="CDW" display="https://investors.sgx.com/market/securities?code=BXE&amp;type=stocks&amp;lang=en" xr:uid="{856902EB-BAA8-4E75-B25B-5F0D0711ED4B}"/>
    <hyperlink ref="A466" r:id="rId262" tooltip="Sri Trang Agro" display="https://investors.sgx.com/market/securities?code=NC2&amp;type=stocks&amp;lang=en" xr:uid="{3FB82B4A-DDC5-47DE-8D85-AEB18F7293E7}"/>
    <hyperlink ref="A545" r:id="rId263" tooltip="WinkingStudios" display="https://investors.sgx.com/market/securities?code=WKS&amp;type=stocks&amp;lang=en" xr:uid="{A3E9322A-393C-4A4B-8EC6-89547ECB00A1}"/>
    <hyperlink ref="A58" r:id="rId264" tooltip="Attika Group" display="https://investors.sgx.com/market/securities?code=53W&amp;type=stocks&amp;lang=en" xr:uid="{FF3ACFC5-FBE1-4456-924B-D778B6EF2B5F}"/>
    <hyperlink ref="A34" r:id="rId265" tooltip="Anchun Intl" display="https://investors.sgx.com/market/securities?code=BTX&amp;type=stocks&amp;lang=en" xr:uid="{47C19E0D-6F54-4B36-A3AB-2CA34D5E6D9A}"/>
    <hyperlink ref="A354" r:id="rId266" tooltip="Oceanus" display="https://investors.sgx.com/market/securities?code=579&amp;type=stocks&amp;lang=en" xr:uid="{58E3D97B-3F52-4A5F-B342-3A5DF5C20441}"/>
    <hyperlink ref="A159" r:id="rId267" tooltip="Figtree" display="https://investors.sgx.com/market/securities?code=5F4&amp;type=stocks&amp;lang=en" xr:uid="{C5B0F3B2-8536-4A15-BB32-BDF1D7F6F608}"/>
    <hyperlink ref="A485" r:id="rId268" tooltip="TC Auto" display="https://investors.sgx.com/market/securities?code=VI2&amp;type=stocks&amp;lang=en" xr:uid="{5B20DAF4-556F-4B1B-932A-A9D8E8773207}"/>
    <hyperlink ref="A562" r:id="rId269" tooltip="Zheneng Jinjiang" display="https://investors.sgx.com/market/securities?code=BWM&amp;type=stocks&amp;lang=en" xr:uid="{561C8565-B2F2-4DD1-B71C-4BD53693BA20}"/>
    <hyperlink ref="A339" r:id="rId270" tooltip="NeraTel" display="https://investors.sgx.com/market/securities?code=N01&amp;type=stocks&amp;lang=en" xr:uid="{248522A3-8DE8-494B-AC1F-7A0A945D5CAB}"/>
    <hyperlink ref="A204" r:id="rId271" tooltip="Heeton" display="https://investors.sgx.com/market/securities?code=5DP&amp;type=stocks&amp;lang=en" xr:uid="{B7A698C4-C3C8-42C9-9E57-6774DC64F0F3}"/>
    <hyperlink ref="A86" r:id="rId272" tooltip="CapAllianz" display="https://investors.sgx.com/market/securities?code=594&amp;type=stocks&amp;lang=en" xr:uid="{11A2CB5E-FBE3-4A93-AF80-C83795063604}"/>
    <hyperlink ref="A483" r:id="rId273" tooltip="Taka Jewellery" display="https://investors.sgx.com/market/securities?code=42L&amp;type=stocks&amp;lang=en" xr:uid="{1F9091F5-F109-4F2A-B51F-46E63B7179F5}"/>
    <hyperlink ref="A218" r:id="rId274" tooltip="Hong Lai Huat" display="https://investors.sgx.com/market/securities?code=CTO&amp;type=stocks&amp;lang=en" xr:uid="{06B1335D-B04E-4A0A-A7EA-A3B46BA4D244}"/>
    <hyperlink ref="A345" r:id="rId275" tooltip="Nippecraft" display="https://investors.sgx.com/market/securities?code=N32&amp;type=stocks&amp;lang=en" xr:uid="{25660BB7-5061-4325-ADD1-F09B39FCE709}"/>
    <hyperlink ref="A553" r:id="rId276" tooltip="YHI Intl" display="https://investors.sgx.com/market/securities?code=BPF&amp;type=stocks&amp;lang=en" xr:uid="{58CE3CE1-2379-417A-96A5-291EC268C986}"/>
    <hyperlink ref="A403" r:id="rId277" tooltip="ResourcesGbl" display="https://investors.sgx.com/market/securities?code=V7R&amp;type=stocks&amp;lang=en" xr:uid="{E771882E-C002-4E66-9842-125FDA451495}"/>
    <hyperlink ref="A196" r:id="rId278" tooltip="Hafary" display="https://investors.sgx.com/market/securities?code=5VS&amp;type=stocks&amp;lang=en" xr:uid="{B6E6B2DB-3F78-4D12-A5B0-155E4EB0A29A}"/>
    <hyperlink ref="A384" r:id="rId279" tooltip="Pollux Prop" display="https://investors.sgx.com/market/securities?code=5AE&amp;type=stocks&amp;lang=en" xr:uid="{19FA82C1-A265-4AB6-925D-FA87DA5A16A8}"/>
    <hyperlink ref="A229" r:id="rId280" tooltip="HS Optimus" display="https://investors.sgx.com/market/securities?code=504&amp;type=stocks&amp;lang=en" xr:uid="{18A28695-72E8-4AD9-834D-CE29BE8CF063}"/>
    <hyperlink ref="A537" r:id="rId281" tooltip="Vicplas Intl" display="https://investors.sgx.com/market/securities?code=569&amp;type=stocks&amp;lang=en" xr:uid="{F5C5D6BD-733A-402C-B7F2-8F455D3BB532}"/>
    <hyperlink ref="A212" r:id="rId282" tooltip="Hiap Tong" display="https://investors.sgx.com/market/securities?code=5PO&amp;type=stocks&amp;lang=en" xr:uid="{13087609-B192-4B7F-9F73-C9F8CA88F963}"/>
    <hyperlink ref="A508" r:id="rId283" tooltip="TSH Resources" display="https://investors.sgx.com/market/securities?code=TSH&amp;type=stocks&amp;lang=en" xr:uid="{9140AB14-B986-481B-B3A4-6DBC61715BEC}"/>
    <hyperlink ref="A502" r:id="rId284" tooltip="Trek 2000 Intl" display="https://investors.sgx.com/market/securities?code=5AB&amp;type=stocks&amp;lang=en" xr:uid="{8E0A50D6-16D9-4102-8301-E00703484841}"/>
    <hyperlink ref="A265" r:id="rId285" tooltip="Kencana Agri" display="https://investors.sgx.com/market/securities?code=BNE&amp;type=stocks&amp;lang=en" xr:uid="{817F7B58-EC35-4D5E-811D-95B04BF1DA72}"/>
    <hyperlink ref="A266" r:id="rId286" tooltip="Keong Hong" display="https://investors.sgx.com/market/securities?code=5TT&amp;type=stocks&amp;lang=en" xr:uid="{0E9F2100-12E9-4F9F-8A27-89E98F749F0A}"/>
    <hyperlink ref="A435" r:id="rId287" tooltip="Shenshan" display="https://investors.sgx.com/market/securities?code=BKV&amp;type=stocks&amp;lang=en" xr:uid="{0B51B1F2-F493-4A90-AE4C-315FE62BB504}"/>
    <hyperlink ref="A178" r:id="rId288" tooltip="GHY Culture" display="https://investors.sgx.com/market/securities?code=XJB&amp;type=stocks&amp;lang=en" xr:uid="{6DFE31B1-2C12-45C2-B502-9831EBA57DF7}"/>
    <hyperlink ref="A395" r:id="rId289" tooltip="Qian Hu" display="https://investors.sgx.com/market/securities?code=BCV&amp;type=stocks&amp;lang=en" xr:uid="{8BE75DCC-23A0-4AE9-9BAB-04E29FEDE594}"/>
    <hyperlink ref="A152" r:id="rId290" tooltip="EuroSports Gbl" display="https://investors.sgx.com/market/securities?code=5G1&amp;type=stocks&amp;lang=en" xr:uid="{E3865306-7CD3-4FD5-8B33-8BD99921C750}"/>
    <hyperlink ref="A310" r:id="rId291" tooltip="Memiontec Hldgs" display="https://investors.sgx.com/market/securities?code=TWL&amp;type=stocks&amp;lang=en" xr:uid="{598FE032-4C39-4A52-AD5C-ACD195AA2B33}"/>
    <hyperlink ref="A552" r:id="rId292" tooltip="Yeo Hiap Seng" display="https://investors.sgx.com/market/securities?code=Y03&amp;type=stocks&amp;lang=en" xr:uid="{B05DB4BB-D810-404B-9F50-756D2328AA0C}"/>
    <hyperlink ref="A460" r:id="rId293" tooltip="Southern Arch" display="https://investors.sgx.com/market/securities?code=A33&amp;type=stocks&amp;lang=en" xr:uid="{63D56FAA-C805-4DC8-8069-9D8F1AE00A6D}"/>
    <hyperlink ref="A285" r:id="rId294" tooltip="LHT" display="https://investors.sgx.com/market/securities?code=BEI&amp;type=stocks&amp;lang=en" xr:uid="{62D646D4-9906-4C0C-8F8B-E0674ECB60B4}"/>
    <hyperlink ref="A226" r:id="rId295" tooltip="Hotung Inv" display="https://investors.sgx.com/market/securities?code=BLS&amp;type=stocks&amp;lang=en" xr:uid="{BA9EC049-FC01-4E43-A045-BFBEB6B5E585}"/>
    <hyperlink ref="A365" r:id="rId296" tooltip="OUE Healthcare" display="https://investors.sgx.com/market/securities?code=5WA&amp;type=stocks&amp;lang=en" xr:uid="{639CC3CD-FF02-4E0E-B87A-283BA84D2E96}"/>
    <hyperlink ref="A155" r:id="rId297" tooltip="F &amp; N" display="https://investors.sgx.com/market/securities?code=F99&amp;type=stocks&amp;lang=en" xr:uid="{6FBD0FE1-9D24-4B23-85BB-48FE0D5B8EA1}"/>
    <hyperlink ref="A45" r:id="rId298" tooltip="Asian Micro" display="https://investors.sgx.com/market/securities?code=585&amp;type=stocks&amp;lang=en" xr:uid="{A8748A30-AF52-44B0-BDAF-5718C10E9BFA}"/>
    <hyperlink ref="A112" r:id="rId299" tooltip="Clearbridge" display="https://investors.sgx.com/market/securities?code=1H3&amp;type=stocks&amp;lang=en" xr:uid="{78F1A315-8C87-4BA6-80C0-736030651A1D}"/>
    <hyperlink ref="A459" r:id="rId300" tooltip="Soup Holdings" display="https://investors.sgx.com/market/securities?code=5KI&amp;type=stocks&amp;lang=en" xr:uid="{D536A9E3-131F-4C16-AEA7-AA335C14BE96}"/>
    <hyperlink ref="A184" r:id="rId301" tooltip="GP Industries" display="https://investors.sgx.com/market/securities?code=G20&amp;type=stocks&amp;lang=en" xr:uid="{80377987-CC5F-402E-8F46-E1251C83A92B}"/>
    <hyperlink ref="A222" r:id="rId302" tooltip="Hor Kew" display="https://investors.sgx.com/market/securities?code=BBP&amp;type=stocks&amp;lang=en" xr:uid="{881D7F5C-0E6F-42EE-8BD6-9BB0500E3A93}"/>
    <hyperlink ref="A461" r:id="rId303" tooltip="Southern Pkg" display="https://investors.sgx.com/market/securities?code=BQP&amp;type=stocks&amp;lang=en" xr:uid="{D0684E69-D2E2-46FB-B3F9-8B37E403C419}"/>
    <hyperlink ref="A95" r:id="rId304" tooltip="CharismaEnergy" display="https://investors.sgx.com/market/securities?code=YSV&amp;type=stocks&amp;lang=en" xr:uid="{A02E7C1B-C6B9-4888-BD8C-E3DFCC6738AF}"/>
    <hyperlink ref="A202" r:id="rId305" tooltip="HealthBank" display="https://investors.sgx.com/market/securities?code=40B&amp;type=stocks&amp;lang=en" xr:uid="{ACF9CAAE-9FE9-478D-A579-94CCAE5EE9F8}"/>
    <hyperlink ref="A409" r:id="rId306" tooltip="Salt Investments" display="https://investors.sgx.com/market/securities?code=FQ7&amp;type=stocks&amp;lang=en" xr:uid="{235E8E46-2CC5-4B0D-955A-B0A11A75ED22}"/>
    <hyperlink ref="A249" r:id="rId307" tooltip="iWOW Tech" display="https://investors.sgx.com/market/securities?code=NXR&amp;type=stocks&amp;lang=en" xr:uid="{0A53514D-1239-49A1-ACE0-266CA209DD44}"/>
    <hyperlink ref="A445" r:id="rId308" tooltip="Sing Paincare" display="https://investors.sgx.com/market/securities?code=FRQ&amp;type=stocks&amp;lang=en" xr:uid="{9C61CBF4-EE35-4CE1-B2CA-1759AF0CDC43}"/>
    <hyperlink ref="A87" r:id="rId309" tooltip="Capital World" display="https://investors.sgx.com/market/securities?code=1D5&amp;type=stocks&amp;lang=en" xr:uid="{D2E68A35-B2FA-4C09-939B-07B44354F2B8}"/>
    <hyperlink ref="A387" r:id="rId310" tooltip="Progen" display="https://investors.sgx.com/market/securities?code=583&amp;type=stocks&amp;lang=en" xr:uid="{C1305D99-B198-461E-A5F6-804A4E61AE08}"/>
    <hyperlink ref="A382" r:id="rId311" tooltip="PNE Industries" display="https://investors.sgx.com/market/securities?code=BDA&amp;type=stocks&amp;lang=en" xr:uid="{398A772E-0182-44B4-A587-0EAE96F18E72}"/>
    <hyperlink ref="A180" r:id="rId312" tooltip="Global Testing" display="https://investors.sgx.com/market/securities?code=AYN&amp;type=stocks&amp;lang=en" xr:uid="{F8FFDAC4-A03A-4D31-9B48-3E1FD476C7AF}"/>
    <hyperlink ref="A563" r:id="rId313" tooltip="Zhongmin Baihui" display="https://investors.sgx.com/market/securities?code=5SR&amp;type=stocks&amp;lang=en" xr:uid="{104563B8-E202-492D-B28F-10B3E939510A}"/>
    <hyperlink ref="A276" r:id="rId314" tooltip="KOP" display="https://investors.sgx.com/market/securities?code=5I1&amp;type=stocks&amp;lang=en" xr:uid="{95471E7C-7139-4461-8729-77E044972814}"/>
    <hyperlink ref="A507" r:id="rId315" tooltip="TSH" display="https://investors.sgx.com/market/securities?code=KUH&amp;type=stocks&amp;lang=en" xr:uid="{48E4A7FD-73A5-4941-8FB8-DFE8062CD554}"/>
    <hyperlink ref="A145" r:id="rId316" tooltip="Emperador Inc." display="https://investors.sgx.com/market/securities?code=EMI&amp;type=stocks&amp;lang=en" xr:uid="{FB2026B7-543C-402F-A76C-F2829E26E0F4}"/>
    <hyperlink ref="A50" r:id="rId317" tooltip="A-Sonic Aero" display="https://investors.sgx.com/market/securities?code=BTJ&amp;type=stocks&amp;lang=en" xr:uid="{DB78E6DE-AEE0-4525-A577-D6073F15CF6E}"/>
    <hyperlink ref="A484" r:id="rId318" tooltip="Tat Seng Pkg" display="https://investors.sgx.com/market/securities?code=T12&amp;type=stocks&amp;lang=en" xr:uid="{B6255779-9F7F-4052-83EC-25ED74228DFD}"/>
    <hyperlink ref="A67" r:id="rId319" tooltip="BACUI TECH" display="https://investors.sgx.com/market/securities?code=YYB&amp;type=stocks&amp;lang=en" xr:uid="{9658F46C-E26E-498D-B8F8-2430FE987A2C}"/>
    <hyperlink ref="A521" r:id="rId320" tooltip="UOA" display="https://investors.sgx.com/market/securities?code=EH5&amp;type=stocks&amp;lang=en" xr:uid="{FA7A09C2-8629-4135-A35E-E9284F209208}"/>
    <hyperlink ref="A235" r:id="rId321" tooltip="IHH" display="https://investors.sgx.com/market/securities?code=Q0F&amp;type=stocks&amp;lang=en" xr:uid="{470A02D2-68A0-4CD6-B9E1-C4E8CC996D89}"/>
    <hyperlink ref="A250" r:id="rId322" tooltip="IX Biopharma" display="https://investors.sgx.com/market/securities?code=42C&amp;type=stocks&amp;lang=en" xr:uid="{82585B53-2C55-4477-B215-FA4F05AEB7EF}"/>
    <hyperlink ref="A96" r:id="rId323" tooltip="Chasen" display="https://investors.sgx.com/market/securities?code=5NV&amp;type=stocks&amp;lang=en" xr:uid="{5924E072-DFCB-481A-8F38-CF159B3A62CD}"/>
    <hyperlink ref="A353" r:id="rId324" tooltip="Ocean Sky Intl" display="https://investors.sgx.com/market/securities?code=1B6&amp;type=stocks&amp;lang=en" xr:uid="{AF996BEE-7A05-4233-9190-2EB83295EBA4}"/>
    <hyperlink ref="A4" r:id="rId325" tooltip="9R" display="https://investors.sgx.com/market/securities?code=1Y1&amp;type=stocks&amp;lang=en" xr:uid="{B0A09CDF-5CA1-49DE-948E-17F4EC36F271}"/>
    <hyperlink ref="A51" r:id="rId326" tooltip="Aspen" display="https://investors.sgx.com/market/securities?code=1F3&amp;type=stocks&amp;lang=en" xr:uid="{6B6A1F61-71F3-4EAF-951D-B980C2A8B1DB}"/>
    <hyperlink ref="A90" r:id="rId327" tooltip="Casa" display="https://investors.sgx.com/market/securities?code=C04&amp;type=stocks&amp;lang=en" xr:uid="{872773F7-2DC3-48CA-ADBE-EE8D0744788F}"/>
    <hyperlink ref="A288" r:id="rId328" tooltip="Livingstone" display="https://investors.sgx.com/market/securities?code=PRH&amp;type=stocks&amp;lang=en" xr:uid="{B8400BD6-832D-4DD5-B1A1-2ADBA130A5C9}"/>
    <hyperlink ref="A547" r:id="rId329" tooltip="World Precision" display="https://investors.sgx.com/market/securities?code=B49&amp;type=stocks&amp;lang=en" xr:uid="{A752ED07-8CD5-4472-8755-A8645A4F1285}"/>
    <hyperlink ref="A15" r:id="rId330" tooltip="Advancer Global" display="https://investors.sgx.com/market/securities?code=43Q&amp;type=stocks&amp;lang=en" xr:uid="{26C3DADD-CA75-485E-81DB-0545B58757DD}"/>
    <hyperlink ref="A252" r:id="rId331" tooltip="Japan Foods" display="https://investors.sgx.com/market/securities?code=5OI&amp;type=stocks&amp;lang=en" xr:uid="{9E551DA1-BFE2-4A97-9507-BF65A3A06F0B}"/>
    <hyperlink ref="A36" r:id="rId332" tooltip="Annica" display="https://investors.sgx.com/market/securities?code=5AL&amp;type=stocks&amp;lang=en" xr:uid="{26E8A6CC-6C9B-4AD0-B9C0-3DB240E29CE4}"/>
    <hyperlink ref="A296" r:id="rId333" tooltip="Luminor" display="https://investors.sgx.com/market/securities?code=5UA&amp;type=stocks&amp;lang=en" xr:uid="{BEB4E337-4C3C-4602-A9D3-A91D6C036C77}"/>
    <hyperlink ref="A363" r:id="rId334" tooltip="OTS Holdings" display="https://investors.sgx.com/market/securities?code=OTS&amp;type=stocks&amp;lang=en" xr:uid="{EA0F09C8-F292-4424-A183-C9F40E82FDF4}"/>
    <hyperlink ref="A189" r:id="rId335" tooltip="Green Build" display="https://investors.sgx.com/market/securities?code=Y06&amp;type=stocks&amp;lang=en" xr:uid="{33ADA0CA-172D-4D2E-9876-1D9EF5EA2681}"/>
    <hyperlink ref="A292" r:id="rId336" tooltip="Low Keng Huat" display="https://investors.sgx.com/market/securities?code=F1E&amp;type=stocks&amp;lang=en" xr:uid="{AEF98997-EBD8-4E5B-BC3F-AEC5C39BA4BA}"/>
    <hyperlink ref="A533" r:id="rId337" tooltip="Versalink" display="https://investors.sgx.com/market/securities?code=40N&amp;type=stocks&amp;lang=en" xr:uid="{45624467-9D12-4AE0-AFF5-FEA0A96A697F}"/>
    <hyperlink ref="A59" r:id="rId338" tooltip="Audience" display="https://investors.sgx.com/market/securities?code=1AZ&amp;type=stocks&amp;lang=en" xr:uid="{4C379609-C940-4C8E-81FB-DA2227F4162F}"/>
    <hyperlink ref="A402" r:id="rId339" tooltip="Renaissance United" display="https://investors.sgx.com/market/securities?code=I11&amp;type=stocks&amp;lang=en" xr:uid="{2DC1E079-A780-4596-8A81-B99575ECD814}"/>
    <hyperlink ref="A147" r:id="rId340" tooltip="EnGro" display="https://investors.sgx.com/market/securities?code=S44&amp;type=stocks&amp;lang=en" xr:uid="{3EC1F3B5-19C6-4AB5-B8B0-C68471476D75}"/>
    <hyperlink ref="A173" r:id="rId341" tooltip="Gallant Venture" display="https://investors.sgx.com/market/securities?code=5IG&amp;type=stocks&amp;lang=en" xr:uid="{81C5884B-30A4-4F8F-BED5-A67C988C2842}"/>
    <hyperlink ref="A379" r:id="rId342" tooltip="Penguin Intl" display="https://investors.sgx.com/market/securities?code=BTM&amp;type=stocks&amp;lang=en" xr:uid="{4F9E8551-A449-4577-96A7-5FA21F94784C}"/>
    <hyperlink ref="A494" r:id="rId343" tooltip="TIH" display="https://investors.sgx.com/market/securities?code=T55&amp;type=stocks&amp;lang=en" xr:uid="{00DDBE1E-9E73-4385-A5B4-E98ED944F291}"/>
    <hyperlink ref="A383" r:id="rId344" tooltip="Polaris" display="https://investors.sgx.com/market/securities?code=5BI&amp;type=stocks&amp;lang=en" xr:uid="{FA3DA7D4-5A55-4755-B38E-E0C073DB88F5}"/>
    <hyperlink ref="A137" r:id="rId345" tooltip="DISA" display="https://investors.sgx.com/market/securities?code=532&amp;type=stocks&amp;lang=en" xr:uid="{76E26365-02D1-4833-B801-1721A1806FB9}"/>
    <hyperlink ref="A139" r:id="rId346" tooltip="Duty Free Intl" display="https://investors.sgx.com/market/securities?code=5SO&amp;type=stocks&amp;lang=en" xr:uid="{B02310D9-1C92-46B7-BC09-FC509375E2C4}"/>
    <hyperlink ref="A144" r:id="rId347" tooltip="Ellipsiz" display="https://investors.sgx.com/market/securities?code=BIX&amp;type=stocks&amp;lang=en" xr:uid="{4443D8A5-DF98-4B8D-A65E-CDE0ECD37118}"/>
    <hyperlink ref="A128" r:id="rId348" tooltip="Darco Water Tech" display="https://investors.sgx.com/market/securities?code=BLR&amp;type=stocks&amp;lang=en" xr:uid="{C6A28758-6862-4292-9CFB-58B414559CE3}"/>
    <hyperlink ref="A277" r:id="rId349" tooltip="Kori" display="https://investors.sgx.com/market/securities?code=5VC&amp;type=stocks&amp;lang=en" xr:uid="{EF44DB7D-251A-4E1F-8BF7-6E74988500BC}"/>
    <hyperlink ref="A455" r:id="rId350" tooltip="Sinostar Pec" display="https://investors.sgx.com/market/securities?code=C9Q&amp;type=stocks&amp;lang=en" xr:uid="{198E6C5E-48B2-4F59-BE95-DF95ABCDD8F4}"/>
    <hyperlink ref="A207" r:id="rId351" tooltip="Heptamax" display="https://investors.sgx.com/market/securities?code=8A1&amp;type=stocks&amp;lang=en" xr:uid="{A597C11B-D9E7-493D-AD8E-1D96E6099182}"/>
    <hyperlink ref="A334" r:id="rId352" tooltip="MYP" display="https://investors.sgx.com/market/securities?code=F86&amp;type=stocks&amp;lang=en" xr:uid="{721B35B4-FB47-428A-BB64-256D65AEC75F}"/>
    <hyperlink ref="A39" r:id="rId353" tooltip="AP Strategic" display="https://investors.sgx.com/market/securities?code=5RA&amp;type=stocks&amp;lang=en" xr:uid="{3557D557-8B14-41C5-A9C2-4678D2C91719}"/>
    <hyperlink ref="A49" r:id="rId354" tooltip="A-Smart" display="https://investors.sgx.com/market/securities?code=BQC&amp;type=stocks&amp;lang=en" xr:uid="{2B2DC5D8-1038-407D-8E85-673F5BF759F5}"/>
    <hyperlink ref="A26" r:id="rId355" tooltip="Alset" display="https://investors.sgx.com/market/securities?code=40V&amp;type=stocks&amp;lang=en" xr:uid="{30418083-84B6-426F-A874-426787D4BD35}"/>
    <hyperlink ref="A143" r:id="rId356" tooltip="Eindec" display="https://investors.sgx.com/market/securities?code=42Z&amp;type=stocks&amp;lang=en" xr:uid="{7975A280-7506-4BB2-B8E5-7B450F93BD99}"/>
    <hyperlink ref="A102" r:id="rId357" tooltip="China Intl" display="https://investors.sgx.com/market/securities?code=BEH&amp;type=stocks&amp;lang=en" xr:uid="{D0AFF779-3387-4059-880F-4AD573C03539}"/>
    <hyperlink ref="A141" r:id="rId358" tooltip="Edition" display="https://investors.sgx.com/market/securities?code=5HG&amp;type=stocks&amp;lang=en" xr:uid="{55FDFFC2-0F56-4AFA-AA73-FEBCF4574D4A}"/>
    <hyperlink ref="A260" r:id="rId359" tooltip="Joyas Intl" display="https://investors.sgx.com/market/securities?code=E9L&amp;type=stocks&amp;lang=en" xr:uid="{5A9A22D7-3087-4E62-A4FE-E77FA80BB605}"/>
    <hyperlink ref="A169" r:id="rId360" tooltip="Fuji Offset" display="https://investors.sgx.com/market/securities?code=508&amp;type=stocks&amp;lang=en" xr:uid="{9D0C5CDE-E106-4E09-9BBF-BC26CA8F1395}"/>
    <hyperlink ref="A5" r:id="rId361" tooltip="ABR" display="https://investors.sgx.com/market/securities?code=533&amp;type=stocks&amp;lang=en" xr:uid="{741474CB-1E71-4F12-888C-7679DA787F43}"/>
    <hyperlink ref="A511" r:id="rId362" tooltip="Tung Lok Rest" display="https://investors.sgx.com/market/securities?code=540&amp;type=stocks&amp;lang=en" xr:uid="{4804A9C9-38DA-48AC-825E-4E47CA34369E}"/>
    <hyperlink ref="A6" r:id="rId363" tooltip="Abundance Intl" display="https://investors.sgx.com/market/securities?code=541&amp;type=stocks&amp;lang=en" xr:uid="{0CB4DACD-23C0-4356-B891-E9C26DB417E5}"/>
    <hyperlink ref="A346" r:id="rId364" tooltip="Noel Gifts Intl" display="https://investors.sgx.com/market/securities?code=543&amp;type=stocks&amp;lang=en" xr:uid="{93BA1309-45AC-43FE-867D-7252ABE1641A}"/>
    <hyperlink ref="A7" r:id="rId365" tooltip="Abundante" display="https://investors.sgx.com/market/securities?code=570&amp;type=stocks&amp;lang=en" xr:uid="{B51300B2-E789-4B59-BADE-B1B1A055BDE4}"/>
    <hyperlink ref="A56" r:id="rId366" tooltip="ASTI" display="https://investors.sgx.com/market/securities?code=575&amp;type=stocks&amp;lang=en" xr:uid="{FB28ED6E-ED26-4E9F-A795-536E261E21EC}"/>
    <hyperlink ref="A415" r:id="rId367" tooltip="Santak" display="https://investors.sgx.com/market/securities?code=580&amp;type=stocks&amp;lang=en" xr:uid="{619E3BCF-A73F-41B8-86E7-BEA184AF54D5}"/>
    <hyperlink ref="A377" r:id="rId368" tooltip="Pavillon" display="https://investors.sgx.com/market/securities?code=596&amp;type=stocks&amp;lang=en" xr:uid="{1390E604-6ECC-452E-A7EB-33239FA4454B}"/>
    <hyperlink ref="A231" r:id="rId369" tooltip="Hyflux" display="https://investors.sgx.com/market/securities?code=600&amp;type=stocks&amp;lang=en" xr:uid="{4641449D-499B-49FD-8A23-76B71594C88F}"/>
    <hyperlink ref="A3" r:id="rId370" tooltip="8Telecom" display="https://investors.sgx.com/market/securities?code=AZG&amp;type=stocks&amp;lang=en" xr:uid="{D756CBEF-2EEF-476D-966E-2B381A2A0921}"/>
    <hyperlink ref="A8" r:id="rId371" tooltip="Accrelist Ltd" display="https://investors.sgx.com/market/securities?code=QZG&amp;type=stocks&amp;lang=en" xr:uid="{271D14FD-0A8E-4CCE-8785-86A0758F6282}"/>
    <hyperlink ref="A10" r:id="rId372" tooltip="Acma" display="https://investors.sgx.com/market/securities?code=AYV&amp;type=stocks&amp;lang=en" xr:uid="{50A51D48-D94F-4F71-A76F-A922B0D3F20E}"/>
    <hyperlink ref="A13" r:id="rId373" tooltip="Advanced" display="https://investors.sgx.com/market/securities?code=BLZ&amp;type=stocks&amp;lang=en" xr:uid="{12B59228-F1C0-433E-A39C-58B6D21BF095}"/>
    <hyperlink ref="A17" r:id="rId374" tooltip="Aedge Group" display="https://investors.sgx.com/market/securities?code=XVG&amp;type=stocks&amp;lang=en" xr:uid="{F6C5ED4A-BA07-4AB2-9CF6-3512981964CB}"/>
    <hyperlink ref="A19" r:id="rId375" tooltip="AEM USD" display="https://investors.sgx.com/market/securities?code=XWA&amp;type=stocks&amp;lang=en" xr:uid="{945D9A51-AFF9-494F-98CA-737B78CD9ABF}"/>
    <hyperlink ref="A22" r:id="rId376" tooltip="Alita Resources" display="https://investors.sgx.com/market/securities?code=40F&amp;type=stocks&amp;lang=en" xr:uid="{0A668D72-00BE-44CC-ADCF-4544E34FDB49}"/>
    <hyperlink ref="A24" r:id="rId377" tooltip="AlphaDX" display="https://investors.sgx.com/market/securities?code=VVL&amp;type=stocks&amp;lang=en" xr:uid="{73C84A82-0843-4C4F-A9AC-2FDA9C19B591}"/>
    <hyperlink ref="A27" r:id="rId378" tooltip="Amcorp Global" display="https://investors.sgx.com/market/securities?code=S9B&amp;type=stocks&amp;lang=en" xr:uid="{EC3E8198-9B7F-4C4F-8144-B37D9B5A0E26}"/>
    <hyperlink ref="A29" r:id="rId379" tooltip="AMOS Group" display="https://investors.sgx.com/market/securities?code=49B&amp;type=stocks&amp;lang=en" xr:uid="{94233165-C45F-4A15-A1BC-628EE3DA56DD}"/>
    <hyperlink ref="A30" r:id="rId380" tooltip="Amplefield Ltd" display="https://investors.sgx.com/market/securities?code=AOF&amp;type=stocks&amp;lang=en" xr:uid="{D680F996-D966-4982-8062-1D047C3BB0B5}"/>
    <hyperlink ref="A32" r:id="rId381" tooltip="AMTD IDEA OV" display="https://investors.sgx.com/market/securities?code=HKB&amp;type=stocks&amp;lang=en" xr:uid="{26D164A7-89C3-4049-89BF-8F84F92AE971}"/>
    <hyperlink ref="A37" r:id="rId382" tooltip="Aoxin Q &amp; M" display="https://investors.sgx.com/market/securities?code=1D4&amp;type=stocks&amp;lang=en" xr:uid="{146ECA6A-BD50-4984-9D1F-02D27EA4E4BD}"/>
    <hyperlink ref="A38" r:id="rId383" tooltip="AP Oil" display="https://investors.sgx.com/market/securities?code=5AU&amp;type=stocks&amp;lang=en" xr:uid="{7EEA6BE6-02BB-4662-A9DE-474FBC0ACB45}"/>
    <hyperlink ref="A43" r:id="rId384" tooltip="Asia Vets" display="https://investors.sgx.com/market/securities?code=5RE&amp;type=stocks&amp;lang=en" xr:uid="{C5393A9F-301E-4567-8898-9AA3E8EE930F}"/>
    <hyperlink ref="A47" r:id="rId385" tooltip="Asiatic" display="https://investors.sgx.com/market/securities?code=5CR&amp;type=stocks&amp;lang=en" xr:uid="{6E7A4F63-0899-4C4F-B58C-6FB0EEA3478F}"/>
    <hyperlink ref="A54" r:id="rId386" tooltip="Assurance HC" display="https://investors.sgx.com/market/securities?code=RCU&amp;type=stocks&amp;lang=en" xr:uid="{1B518620-5DE4-4164-9E61-96DCD9209317}"/>
    <hyperlink ref="A55" r:id="rId387" tooltip="Astaka" display="https://investors.sgx.com/market/securities?code=42S&amp;type=stocks&amp;lang=en" xr:uid="{8D694A19-00BE-496A-9B3A-2B9E8AA6E8F4}"/>
    <hyperlink ref="A60" r:id="rId388" tooltip="AusGroup" display="https://investors.sgx.com/market/securities?code=5GJ&amp;type=stocks&amp;lang=en" xr:uid="{A8BA3CD7-3E4A-48DC-81D2-049E092C7BB4}"/>
    <hyperlink ref="A65" r:id="rId389" tooltip="Autagco" display="https://investors.sgx.com/market/securities?code=1D3&amp;type=stocks&amp;lang=en" xr:uid="{56A27A4A-2640-42A8-B8EB-45641395FB40}"/>
    <hyperlink ref="A66" r:id="rId390" tooltip="B&amp;M Hldg" display="https://investors.sgx.com/market/securities?code=CJN&amp;type=stocks&amp;lang=en" xr:uid="{8A471B6F-596F-43E4-9C77-0E1DED8E3393}"/>
    <hyperlink ref="A73" r:id="rId391" tooltip="BH Global" display="https://investors.sgx.com/market/securities?code=BQN&amp;type=stocks&amp;lang=en" xr:uid="{BC264705-A1DD-4B1A-814B-3C0957F19084}"/>
    <hyperlink ref="A74" r:id="rId392" tooltip="BlackGoldNatural" display="https://investors.sgx.com/market/securities?code=41H&amp;type=stocks&amp;lang=en" xr:uid="{3142B8AC-313A-4628-A597-B1AD3D824F48}"/>
    <hyperlink ref="A75" r:id="rId393" tooltip="Boldtek" display="https://investors.sgx.com/market/securities?code=5VI&amp;type=stocks&amp;lang=en" xr:uid="{6B959935-9A34-4241-906D-4A0CBD81426C}"/>
    <hyperlink ref="A76" r:id="rId394" tooltip="Bonvests" display="https://investors.sgx.com/market/securities?code=B28&amp;type=stocks&amp;lang=en" xr:uid="{522A6DC7-775F-4CD3-AA27-31A5F035AE4A}"/>
    <hyperlink ref="A79" r:id="rId395" tooltip="Broadway Ind" display="https://investors.sgx.com/market/securities?code=B69&amp;type=stocks&amp;lang=en" xr:uid="{C6345F91-E14D-487B-B5F5-EFC35873707C}"/>
    <hyperlink ref="A80" r:id="rId396" tooltip="Bromat" display="https://investors.sgx.com/market/securities?code=9I7&amp;type=stocks&amp;lang=en" xr:uid="{7429DD66-16E8-4EEC-BF4C-E829B2D80146}"/>
    <hyperlink ref="A85" r:id="rId397" tooltip="Camsing Hc" display="https://investors.sgx.com/market/securities?code=BAC&amp;type=stocks&amp;lang=en" xr:uid="{27BD20C7-BFA5-439D-BE4B-AF8CBCBF5C46}"/>
    <hyperlink ref="A89" r:id="rId398" tooltip="Captii" display="https://investors.sgx.com/market/securities?code=AWV&amp;type=stocks&amp;lang=en" xr:uid="{65CFD4F6-89BA-4E98-BE69-F1A838F810DC}"/>
    <hyperlink ref="A93" r:id="rId399" tooltip="CFM" display="https://investors.sgx.com/market/securities?code=5EB&amp;type=stocks&amp;lang=en" xr:uid="{10787400-9B42-437F-A0D1-90EB6D185C49}"/>
    <hyperlink ref="A97" r:id="rId400" tooltip="Chemical Ind" display="https://investors.sgx.com/market/securities?code=C05&amp;type=stocks&amp;lang=en" xr:uid="{7553EB36-D864-4806-97E4-2FF96B3F2EC1}"/>
    <hyperlink ref="A99" r:id="rId401" tooltip="China EnvRes" display="https://investors.sgx.com/market/securities?code=UIX&amp;type=stocks&amp;lang=en" xr:uid="{7C307686-14E9-441B-A9E4-D7EE85A17113}"/>
    <hyperlink ref="A101" r:id="rId402" tooltip="China Fishery" display="https://investors.sgx.com/market/securities?code=B0Z&amp;type=stocks&amp;lang=en" xr:uid="{D0C9805C-4687-43F2-8A7B-46FB3F4FE96D}"/>
    <hyperlink ref="A104" r:id="rId403" tooltip="China Yuanbang" display="https://investors.sgx.com/market/securities?code=BCD&amp;type=stocks&amp;lang=en" xr:uid="{285A3743-2C69-4402-94D1-8305D07E1A85}"/>
    <hyperlink ref="A105" r:id="rId404" tooltip="ChinaKangdaFood" display="https://investors.sgx.com/market/securities?code=P74&amp;type=stocks&amp;lang=en" xr:uid="{E558F397-BA91-472F-A376-91A7A3C0842E}"/>
    <hyperlink ref="A115" r:id="rId405" tooltip="Comba" display="https://investors.sgx.com/market/securities?code=STC&amp;type=stocks&amp;lang=en" xr:uid="{A84D749D-7250-45A2-B57D-01BC31AA1D0B}"/>
    <hyperlink ref="A116" r:id="rId406" tooltip="Combine Will" display="https://investors.sgx.com/market/securities?code=N0Z&amp;type=stocks&amp;lang=en" xr:uid="{A014BA91-6B0F-47AE-8F7F-AE97A3F8E274}"/>
    <hyperlink ref="A118" r:id="rId407" tooltip="Coolan Group" display="https://investors.sgx.com/market/securities?code=BMT&amp;type=stocks&amp;lang=en" xr:uid="{5F4E1E17-588E-4087-825F-F7305902F3E3}"/>
    <hyperlink ref="A119" r:id="rId408" tooltip="Cordlife" display="https://investors.sgx.com/market/securities?code=P8A&amp;type=stocks&amp;lang=en" xr:uid="{6D1EFECC-CCF9-48E9-9183-1105987BB2A5}"/>
    <hyperlink ref="A120" r:id="rId409" tooltip="Cortina" display="https://investors.sgx.com/market/securities?code=C41&amp;type=stocks&amp;lang=en" xr:uid="{0FD37905-3401-4217-A170-3D9F579A6974}"/>
    <hyperlink ref="A122" r:id="rId410" tooltip="CosmoSteel" display="https://investors.sgx.com/market/securities?code=B9S&amp;type=stocks&amp;lang=en" xr:uid="{F994A453-4778-409F-8EDC-A042021EAAF2}"/>
    <hyperlink ref="A123" r:id="rId411" tooltip="Courage Inv" display="https://investors.sgx.com/market/securities?code=CIN&amp;type=stocks&amp;lang=en" xr:uid="{3BC3525A-BBCE-49AD-B4C4-124FA1134131}"/>
    <hyperlink ref="A125" r:id="rId412" tooltip="CreditBureauAsia" display="https://investors.sgx.com/market/securities?code=TCU&amp;type=stocks&amp;lang=en" xr:uid="{288AF348-D48E-4804-9AE5-86957ED04846}"/>
    <hyperlink ref="A129" r:id="rId413" tooltip="Datapulse Tech" display="https://investors.sgx.com/market/securities?code=BKW&amp;type=stocks&amp;lang=en" xr:uid="{3798D611-386C-4371-A11A-BF81CF823E7D}"/>
    <hyperlink ref="A131" r:id="rId414" tooltip="Debao Property" display="https://investors.sgx.com/market/securities?code=BTF&amp;type=stocks&amp;lang=en" xr:uid="{204DE580-5A39-4FA9-89E5-A3B0A761A230}"/>
    <hyperlink ref="A136" r:id="rId415" tooltip="Digilife Tech" display="https://investors.sgx.com/market/securities?code=BAI&amp;type=stocks&amp;lang=en" xr:uid="{2F149023-4BBF-47F5-8B07-6C1F30659AD8}"/>
    <hyperlink ref="A138" r:id="rId416" tooltip="Don Agro" display="https://investors.sgx.com/market/securities?code=GRQ&amp;type=stocks&amp;lang=en" xr:uid="{724E7F2F-D5DC-436E-88D5-48F49E0BE107}"/>
    <hyperlink ref="A149" r:id="rId417" tooltip="Enviro-Hub" display="https://investors.sgx.com/market/securities?code=L23&amp;type=stocks&amp;lang=en" xr:uid="{AFCBA74B-E773-4F5D-9218-C98265E37B41}"/>
    <hyperlink ref="A150" r:id="rId418" tooltip="ES" display="https://investors.sgx.com/market/securities?code=5RC&amp;type=stocks&amp;lang=en" xr:uid="{048A91B7-1A02-40B4-B20C-93C0983C7E9B}"/>
    <hyperlink ref="A151" r:id="rId419" tooltip="ETC Singapore" display="https://investors.sgx.com/market/securities?code=1C0&amp;type=stocks&amp;lang=en" xr:uid="{F2498A19-2332-4F61-9CB2-A76CCF322E80}"/>
    <hyperlink ref="A154" r:id="rId420" tooltip="Ezra" display="https://investors.sgx.com/market/securities?code=5DN&amp;type=stocks&amp;lang=en" xr:uid="{A8D301C8-6F49-4001-8879-DB073C1DACB2}"/>
    <hyperlink ref="A156" r:id="rId421" tooltip="Far East" display="https://investors.sgx.com/market/securities?code=5TJ&amp;type=stocks&amp;lang=en" xr:uid="{C29D620D-040D-46B9-9BC8-714F003D5D59}"/>
    <hyperlink ref="A161" r:id="rId422" tooltip="First Sponsor" display="https://investors.sgx.com/market/securities?code=ADN&amp;type=stocks&amp;lang=en" xr:uid="{EA550783-9389-4007-A9F6-AB0799F5A476}"/>
    <hyperlink ref="A164" r:id="rId423" tooltip="FoodInnovators" display="https://investors.sgx.com/market/securities?code=KYB&amp;type=stocks&amp;lang=en" xr:uid="{A9737DD3-FD56-4E9F-91E3-123EB4B1FFD2}"/>
    <hyperlink ref="A165" r:id="rId424" tooltip="FortressMinerals" display="https://investors.sgx.com/market/securities?code=OAJ&amp;type=stocks&amp;lang=en" xr:uid="{BF10D188-A7A3-41CE-88DC-8BA55D04112D}"/>
    <hyperlink ref="A170" r:id="rId425" tooltip="Full Apex" display="https://investors.sgx.com/market/securities?code=BTY&amp;type=stocks&amp;lang=en" xr:uid="{8779E072-02EE-4884-92C0-D7FFCA62528A}"/>
    <hyperlink ref="A171" r:id="rId426" tooltip="Fuxing China" display="https://investors.sgx.com/market/securities?code=AWK&amp;type=stocks&amp;lang=en" xr:uid="{061A1C12-D4CD-4372-8688-406129719E16}"/>
    <hyperlink ref="A182" r:id="rId427" tooltip="Goodland" display="https://investors.sgx.com/market/securities?code=5PC&amp;type=stocks&amp;lang=en" xr:uid="{23161C1C-795E-4B20-8341-7597131B2ADB}"/>
    <hyperlink ref="A190" r:id="rId428" tooltip="GRP" display="https://investors.sgx.com/market/securities?code=BLU&amp;type=stocks&amp;lang=en" xr:uid="{16C87378-8175-45DD-8A67-6D8C69258406}"/>
    <hyperlink ref="A192" r:id="rId429" tooltip="GSH" display="https://investors.sgx.com/market/securities?code=BDX&amp;type=stocks&amp;lang=en" xr:uid="{6B7BF044-CE6B-47F4-9873-43C41F15A05E}"/>
    <hyperlink ref="A197" r:id="rId430" tooltip="Hai Leck" display="https://investors.sgx.com/market/securities?code=BLH&amp;type=stocks&amp;lang=en" xr:uid="{DB8E8262-A5A1-4D08-B92D-9FB31E1451A6}"/>
    <hyperlink ref="A198" r:id="rId431" tooltip="Halcyon Agri" display="https://investors.sgx.com/market/securities?code=5VJ&amp;type=stocks&amp;lang=en" xr:uid="{4C9A6C47-359D-466E-9948-30D925AF2413}"/>
    <hyperlink ref="A199" r:id="rId432" tooltip="Hatten Land" display="https://investors.sgx.com/market/securities?code=PH0&amp;type=stocks&amp;lang=en" xr:uid="{1F23A432-79BA-4584-9F60-7E3DC69F90C5}"/>
    <hyperlink ref="A201" r:id="rId433" tooltip="HC Surgical" display="https://investors.sgx.com/market/securities?code=1B1&amp;type=stocks&amp;lang=en" xr:uid="{F527C1F3-884A-4DB4-BEEE-E028305A1E4A}"/>
    <hyperlink ref="A203" r:id="rId434" tooltip="Heatec Jietong" display="https://investors.sgx.com/market/securities?code=5OR&amp;type=stocks&amp;lang=en" xr:uid="{C3553C1A-EAA6-4797-B535-0D61A66A603E}"/>
    <hyperlink ref="A205" r:id="rId435" tooltip="Helens" display="https://investors.sgx.com/market/securities?code=HLS&amp;type=stocks&amp;lang=en" xr:uid="{0BA78FD5-2376-408B-800C-AD0D31B322B3}"/>
    <hyperlink ref="A206" r:id="rId436" tooltip="Hengyang Petro" display="https://investors.sgx.com/market/securities?code=5PD&amp;type=stocks&amp;lang=en" xr:uid="{5B4D11BB-904D-42A2-A6BC-2E17432FCA8F}"/>
    <hyperlink ref="A223" r:id="rId437" tooltip="Hosen" display="https://investors.sgx.com/market/securities?code=5EV&amp;type=stocks&amp;lang=en" xr:uid="{1D13D2CF-7E12-4DFB-A9C3-F6CB18940AED}"/>
    <hyperlink ref="A225" r:id="rId438" tooltip="Hotel Royal" display="https://investors.sgx.com/market/securities?code=H12&amp;type=stocks&amp;lang=en" xr:uid="{4F61E396-89A8-4709-9DBC-7AAAE0408C79}"/>
    <hyperlink ref="A236" r:id="rId439" tooltip="Imperium Crown" display="https://investors.sgx.com/market/securities?code=5HT&amp;type=stocks&amp;lang=en" xr:uid="{E27BD82F-93E7-4BCD-9C8B-215FDAF257D8}"/>
    <hyperlink ref="A237" r:id="rId440" tooltip="Incredible" display="https://investors.sgx.com/market/securities?code=RDR&amp;type=stocks&amp;lang=en" xr:uid="{2ECE2467-174C-4931-888D-ED48DCF0B307}"/>
    <hyperlink ref="A241" r:id="rId441" tooltip="Interra Resource" display="https://investors.sgx.com/market/securities?code=5GI&amp;type=stocks&amp;lang=en" xr:uid="{D352036D-69C6-49D7-80CB-334337AFA947}"/>
    <hyperlink ref="A243" r:id="rId442" tooltip="Intraco" display="https://investors.sgx.com/market/securities?code=I06&amp;type=stocks&amp;lang=en" xr:uid="{9F84FB28-D75F-4F59-810A-29F95127F650}"/>
    <hyperlink ref="A244" r:id="rId443" tooltip="IPC Corp" display="https://investors.sgx.com/market/securities?code=AZA&amp;type=stocks&amp;lang=en" xr:uid="{B2B23294-DA5B-4C6D-BF22-145C6277A698}"/>
    <hyperlink ref="A254" r:id="rId444" tooltip="Jason Marine" display="https://investors.sgx.com/market/securities?code=5PF&amp;type=stocks&amp;lang=en" xr:uid="{E69F20DE-79D2-4E70-A295-9AA6D769D176}"/>
    <hyperlink ref="A255" r:id="rId445" tooltip="Jawala" display="https://investors.sgx.com/market/securities?code=1J7&amp;type=stocks&amp;lang=en" xr:uid="{4D349E0D-8059-49AB-B666-BD5F6EDE4C51}"/>
    <hyperlink ref="A257" r:id="rId446" tooltip="JEP" display="https://investors.sgx.com/market/securities?code=1J4&amp;type=stocks&amp;lang=en" xr:uid="{E24697BD-55CD-4469-939D-70D615248CA0}"/>
    <hyperlink ref="A263" r:id="rId447" tooltip="Karin Tech" display="https://investors.sgx.com/market/securities?code=K29&amp;type=stocks&amp;lang=en" xr:uid="{B0653398-CB49-4B00-99E6-8B4FB0F62B0A}"/>
    <hyperlink ref="A268" r:id="rId448" tooltip="Khong Guan" display="https://investors.sgx.com/market/securities?code=K03&amp;type=stocks&amp;lang=en" xr:uid="{52E79554-5BF9-4DF4-96A6-22DCFFB6DBCD}"/>
    <hyperlink ref="A273" r:id="rId449" tooltip="Koda" display="https://investors.sgx.com/market/securities?code=BJZ&amp;type=stocks&amp;lang=en" xr:uid="{E82C4433-7548-45BB-8183-EEC188E1D413}"/>
    <hyperlink ref="A278" r:id="rId450" tooltip="Koyo Intl" display="https://investors.sgx.com/market/securities?code=5OC&amp;type=stocks&amp;lang=en" xr:uid="{4A5BFB84-346A-442F-9992-2B452BD1B786}"/>
    <hyperlink ref="A279" r:id="rId451" tooltip="KrisEnergy" display="https://investors.sgx.com/market/securities?code=SK3&amp;type=stocks&amp;lang=en" xr:uid="{0C0E8ADB-C2D8-4AD6-A7DA-AA8B0B415160}"/>
    <hyperlink ref="A281" r:id="rId452" tooltip="KTMG" display="https://investors.sgx.com/market/securities?code=XCF&amp;type=stocks&amp;lang=en" xr:uid="{2CC309C0-E164-40F8-8064-4B17577AA599}"/>
    <hyperlink ref="A286" r:id="rId453" tooltip="Lincotrade" display="https://investors.sgx.com/market/securities?code=BFT&amp;type=stocks&amp;lang=en" xr:uid="{C4068F48-0A66-4055-AE6D-62888C618FB9}"/>
    <hyperlink ref="A289" r:id="rId454" tooltip="LMS Compliance" display="https://investors.sgx.com/market/securities?code=LMS&amp;type=stocks&amp;lang=en" xr:uid="{6A7CEFE6-91CB-4078-AE48-1FC9460A21D2}"/>
    <hyperlink ref="A290" r:id="rId455" tooltip="Lonza" display="https://investors.sgx.com/market/securities?code=O6Z&amp;type=stocks&amp;lang=en" xr:uid="{84C856E1-F6D3-422F-AEE1-CB6CA062CE63}"/>
    <hyperlink ref="A291" r:id="rId456" tooltip="Lorenzo Intl" display="https://investors.sgx.com/market/securities?code=5IE&amp;type=stocks&amp;lang=en" xr:uid="{92FD5D01-9FA2-4FBC-B02C-24BC3472E586}"/>
    <hyperlink ref="A293" r:id="rId457" tooltip="LS 2 Holdings" display="https://investors.sgx.com/market/securities?code=ENV&amp;type=stocks&amp;lang=en" xr:uid="{E540D19D-97EA-45AE-9B08-537901704D3A}"/>
    <hyperlink ref="A297" r:id="rId458" tooltip="Luxking" display="https://investors.sgx.com/market/securities?code=BKK&amp;type=stocks&amp;lang=en" xr:uid="{7E8292D5-5840-4FD4-A603-66CB366F1165}"/>
    <hyperlink ref="A298" r:id="rId459" tooltip="LY Corp" display="https://investors.sgx.com/market/securities?code=1H8&amp;type=stocks&amp;lang=en" xr:uid="{E39EA13D-0690-4BF1-9A08-D2B79ABB803B}"/>
    <hyperlink ref="A301" r:id="rId460" tooltip="Maruwa Yen1k" display="https://investors.sgx.com/market/securities?code=M12&amp;type=stocks&amp;lang=en" xr:uid="{0C4C3B48-E6F8-4701-9CB7-5DDB50999171}"/>
    <hyperlink ref="A302" r:id="rId461" tooltip="Mary Chia" display="https://investors.sgx.com/market/securities?code=5OX&amp;type=stocks&amp;lang=en" xr:uid="{B460783E-5BAE-4C6D-9714-1BBE1CA97E0D}"/>
    <hyperlink ref="A303" r:id="rId462" tooltip="Matex Intl" display="https://investors.sgx.com/market/securities?code=M15&amp;type=stocks&amp;lang=en" xr:uid="{FB4B124F-2213-455E-BD82-FDB035EE536B}"/>
    <hyperlink ref="A306" r:id="rId463" tooltip="Medinex" display="https://investors.sgx.com/market/securities?code=OTX&amp;type=stocks&amp;lang=en" xr:uid="{3913D45F-8F50-4B22-A774-114DCF51443D}"/>
    <hyperlink ref="A309" r:id="rId464" tooltip="MeGroup" display="https://investors.sgx.com/market/securities?code=SJY&amp;type=stocks&amp;lang=en" xr:uid="{D87877A1-525E-4BBE-965F-35886F4203F2}"/>
    <hyperlink ref="A312" r:id="rId465" tooltip="Mercurius" display="https://investors.sgx.com/market/securities?code=5RF&amp;type=stocks&amp;lang=en" xr:uid="{2F511A07-85E5-434E-99B2-F620D1F09DBB}"/>
    <hyperlink ref="A315" r:id="rId466" tooltip="METAOPTICS LTD" display="https://investors.sgx.com/market/securities?code=9MT&amp;type=stocks&amp;lang=en" xr:uid="{43DC2AB3-78F3-4172-AC8A-89052AF1F9D6}"/>
    <hyperlink ref="A316" r:id="rId467" tooltip="Metech Intl" display="https://investors.sgx.com/market/securities?code=V3M&amp;type=stocks&amp;lang=en" xr:uid="{B98DB2EC-5AAA-42B2-A7A2-C4559432DEDB}"/>
    <hyperlink ref="A317" r:id="rId468" tooltip="Metis Energy" display="https://investors.sgx.com/market/securities?code=L02&amp;type=stocks&amp;lang=en" xr:uid="{D7035574-57ED-4B4A-83B1-B29F8DD873DF}"/>
    <hyperlink ref="A319" r:id="rId469" tooltip="Mewah Intl" display="https://investors.sgx.com/market/securities?code=MV4&amp;type=stocks&amp;lang=en" xr:uid="{81F15683-83DE-4B01-8027-CED27923260D}"/>
    <hyperlink ref="A320" r:id="rId470" tooltip="MFG Integration" display="https://investors.sgx.com/market/securities?code=M11&amp;type=stocks&amp;lang=en" xr:uid="{3BC9C0EE-A96D-49CC-A3CF-3811744CE353}"/>
    <hyperlink ref="A322" r:id="rId471" tooltip="Midas" display="https://investors.sgx.com/market/securities?code=5EN&amp;type=stocks&amp;lang=en" xr:uid="{0BC8565B-C19E-4B6A-A659-72D4601A1C23}"/>
    <hyperlink ref="A323" r:id="rId472" tooltip="MindChamps" display="https://investors.sgx.com/market/securities?code=CNE&amp;type=stocks&amp;lang=en" xr:uid="{DAAEDF33-08B1-4578-8FB9-FDBC5761AE15}"/>
    <hyperlink ref="A327" r:id="rId473" tooltip="Mooreast" display="https://investors.sgx.com/market/securities?code=1V3&amp;type=stocks&amp;lang=en" xr:uid="{A9921819-DBF5-4A7E-9C7E-A13B0C074F49}"/>
    <hyperlink ref="A328" r:id="rId474" tooltip="MSC" display="https://investors.sgx.com/market/securities?code=NPW&amp;type=stocks&amp;lang=en" xr:uid="{46C070FA-995E-4558-85AC-D92D6ECE7EC4}"/>
    <hyperlink ref="A329" r:id="rId475" tooltip="MSMIntl" display="https://investors.sgx.com/market/securities?code=51O&amp;type=stocks&amp;lang=en" xr:uid="{AB68A3C9-F65C-436D-9542-A5D4AB27D2DF}"/>
    <hyperlink ref="A332" r:id="rId476" tooltip="Mun Siong Engg" display="https://investors.sgx.com/market/securities?code=MF6&amp;type=stocks&amp;lang=en" xr:uid="{E4ED512A-E37C-421A-ACC8-9A88FE47F4F2}"/>
    <hyperlink ref="A333" r:id="rId477" tooltip="Murata Yen1k" display="https://investors.sgx.com/market/securities?code=PJX&amp;type=stocks&amp;lang=en" xr:uid="{4C59BC07-24F2-4B7C-A0A4-6FCC52C85D4B}"/>
    <hyperlink ref="A338" r:id="rId478" tooltip="Natural Cool" display="https://investors.sgx.com/market/securities?code=5IF&amp;type=stocks&amp;lang=en" xr:uid="{EB86A77D-0357-47BA-8C4B-EDF8598BFAB4}"/>
    <hyperlink ref="A343" r:id="rId479" tooltip="Niks Prof" display="https://investors.sgx.com/market/securities?code=NPL&amp;type=stocks&amp;lang=en" xr:uid="{865BC0B7-D2A1-4C28-96AD-256734E396B1}"/>
    <hyperlink ref="A347" r:id="rId480" tooltip="Nomura Yen1k" display="https://investors.sgx.com/market/securities?code=N33&amp;type=stocks&amp;lang=en" xr:uid="{52A2BC27-FFBA-4EFF-887D-6F293EAF1B3B}"/>
    <hyperlink ref="A348" r:id="rId481" tooltip="NoonTalk Media" display="https://investors.sgx.com/market/securities?code=SEJ&amp;type=stocks&amp;lang=en" xr:uid="{B46CE8D7-249C-4665-A730-08225D7F6600}"/>
    <hyperlink ref="A351" r:id="rId482" tooltip="NutryFarm" display="https://investors.sgx.com/market/securities?code=AZT&amp;type=stocks&amp;lang=en" xr:uid="{11C19239-C1A0-40D4-9411-6AF6A89C7C89}"/>
    <hyperlink ref="A356" r:id="rId483" tooltip="OIO" display="https://investors.sgx.com/market/securities?code=KUX&amp;type=stocks&amp;lang=en" xr:uid="{22BA212F-20E3-4A40-BEF9-DD79B93EFD28}"/>
    <hyperlink ref="A360" r:id="rId484" tooltip="Olive Tree" display="https://investors.sgx.com/market/securities?code=1H2&amp;type=stocks&amp;lang=en" xr:uid="{721824A4-359B-497A-B078-5ABE51EC43F8}"/>
    <hyperlink ref="A361" r:id="rId485" tooltip="OneApex" display="https://investors.sgx.com/market/securities?code=5SY&amp;type=stocks&amp;lang=en" xr:uid="{D0540C90-D6EB-48C4-B644-DBA5F6085A43}"/>
    <hyperlink ref="A362" r:id="rId486" tooltip="Ossia Intl" display="https://investors.sgx.com/market/securities?code=O08&amp;type=stocks&amp;lang=en" xr:uid="{76DE16B6-52F5-42B7-870F-C52BFFA07538}"/>
    <hyperlink ref="A366" r:id="rId487" tooltip="Ouhua Energy" display="https://investors.sgx.com/market/securities?code=AJ2&amp;type=stocks&amp;lang=en" xr:uid="{01CCDECB-D7AC-4C2F-AE9A-36D08DE4641B}"/>
    <hyperlink ref="A370" r:id="rId488" tooltip="Pacific Andes" display="https://investors.sgx.com/market/securities?code=P11&amp;type=stocks&amp;lang=en" xr:uid="{B1616526-1D3F-4CA7-B6A6-33BECB439C0A}"/>
    <hyperlink ref="A376" r:id="rId489" tooltip="Pasture Holdings" display="https://investors.sgx.com/market/securities?code=UUK&amp;type=stocks&amp;lang=en" xr:uid="{4BFABAD3-C825-4EDF-AD4F-E82E312B7E6E}"/>
    <hyperlink ref="A380" r:id="rId490" tooltip="Pharmesis Intl" display="https://investors.sgx.com/market/securities?code=BFK&amp;type=stocks&amp;lang=en" xr:uid="{134AE3E2-C634-46C5-91AC-B0B727F416CF}"/>
    <hyperlink ref="A381" r:id="rId491" tooltip="PlatoCapital" display="https://investors.sgx.com/market/securities?code=YYN&amp;type=stocks&amp;lang=en" xr:uid="{20F19A32-3386-48A2-9DC2-61EC9678E0DE}"/>
    <hyperlink ref="A386" r:id="rId492" tooltip="Procurri" display="https://investors.sgx.com/market/securities?code=BVQ&amp;type=stocks&amp;lang=en" xr:uid="{7992B497-4011-478A-89BD-1D2422FCF876}"/>
    <hyperlink ref="A390" r:id="rId493" tooltip="ProsperCap" display="https://investors.sgx.com/market/securities?code=PPC&amp;type=stocks&amp;lang=en" xr:uid="{F8D20E33-D921-4B51-8F5A-D690ED20DCF8}"/>
    <hyperlink ref="A391" r:id="rId494" tooltip="Prudential USD" display="https://investors.sgx.com/market/securities?code=K6S&amp;type=stocks&amp;lang=en" xr:uid="{9DC6A4CC-29E3-4434-9F78-9D671D88F3B2}"/>
    <hyperlink ref="A396" r:id="rId495" tooltip="Quantum Health" display="https://investors.sgx.com/market/securities?code=V8Y&amp;type=stocks&amp;lang=en" xr:uid="{0F538BED-C77E-45C3-8546-5564C529EB42}"/>
    <hyperlink ref="A398" r:id="rId496" tooltip="Raffles Infrastructure" display="https://investors.sgx.com/market/securities?code=LUY&amp;type=stocks&amp;lang=en" xr:uid="{D8363D10-98A0-4466-8796-FD83E4D5C083}"/>
    <hyperlink ref="A400" r:id="rId497" tooltip="Reclaims Global" display="https://investors.sgx.com/market/securities?code=NEX&amp;type=stocks&amp;lang=en" xr:uid="{A81D1EE0-80AE-4764-99A1-A996F368CC4B}"/>
    <hyperlink ref="A401" r:id="rId498" tooltip="Regal Intl" display="https://investors.sgx.com/market/securities?code=UV1&amp;type=stocks&amp;lang=en" xr:uid="{08427176-8B6D-474C-BAF2-7E9FD981AA66}"/>
    <hyperlink ref="A408" r:id="rId499" tooltip="Sakae" display="https://investors.sgx.com/market/securities?code=5DO&amp;type=stocks&amp;lang=en" xr:uid="{B479CA79-1657-4266-84B7-29A9D6094E95}"/>
    <hyperlink ref="A410" r:id="rId500" tooltip="SAM Holdings" display="https://investors.sgx.com/market/securities?code=9G2&amp;type=stocks&amp;lang=en" xr:uid="{A2BA8305-DAFF-46E3-9382-D153BE1E6FDD}"/>
    <hyperlink ref="A416" r:id="rId501" tooltip="Sapphire" display="https://investors.sgx.com/market/securities?code=BRD&amp;type=stocks&amp;lang=en" xr:uid="{5BCBC4D2-A341-4EE8-BEDA-D9DC3080318F}"/>
    <hyperlink ref="A420" r:id="rId502" tooltip="SDAI" display="https://investors.sgx.com/market/securities?code=5TI&amp;type=stocks&amp;lang=en" xr:uid="{26A0A46E-265F-425B-9880-DB431F16936F}"/>
    <hyperlink ref="A424" r:id="rId503" tooltip="Sen Yue" display="https://investors.sgx.com/market/securities?code=5BS&amp;type=stocks&amp;lang=en" xr:uid="{1730B1AF-15F7-4700-8494-D07B51F054DA}"/>
    <hyperlink ref="A425" r:id="rId504" tooltip="Serial Achieva" display="https://investors.sgx.com/market/securities?code=XHV&amp;type=stocks&amp;lang=en" xr:uid="{E8841457-C44E-4B29-9DF2-BFD7F2F54D09}"/>
    <hyperlink ref="A427" r:id="rId505" tooltip="Sevens Atelier" display="https://investors.sgx.com/market/securities?code=5EW&amp;type=stocks&amp;lang=en" xr:uid="{E2ABD01A-6D51-4CF8-80DA-AFBFE0355AD0}"/>
    <hyperlink ref="A429" r:id="rId506" tooltip="Shanaya" display="https://investors.sgx.com/market/securities?code=SES&amp;type=stocks&amp;lang=en" xr:uid="{2124665B-FF97-4BAC-AB1A-82B604E67C8A}"/>
    <hyperlink ref="A430" r:id="rId507" tooltip="Shanghai Turbo" display="https://investors.sgx.com/market/securities?code=AWM&amp;type=stocks&amp;lang=en" xr:uid="{E3D860C8-AED4-4FC4-9739-6896EC2FC210}"/>
    <hyperlink ref="A431" r:id="rId508" tooltip="Shangri-La HKD" display="https://investors.sgx.com/market/securities?code=S07&amp;type=stocks&amp;lang=en" xr:uid="{03866A52-F415-4ACF-9134-66B61B6CA2EB}"/>
    <hyperlink ref="A432" r:id="rId509" tooltip="Sheffield Green" display="https://investors.sgx.com/market/securities?code=SGR&amp;type=stocks&amp;lang=en" xr:uid="{2A3D5A44-4DE5-4AC1-8591-70E170E4B06E}"/>
    <hyperlink ref="A433" r:id="rId510" tooltip="Shen Yao" display="https://investors.sgx.com/market/securities?code=A78&amp;type=stocks&amp;lang=en" xr:uid="{7F694152-595F-47F7-AAB9-AB31D84DF416}"/>
    <hyperlink ref="A436" r:id="rId511" tooltip="Shopper360" display="https://investors.sgx.com/market/securities?code=1F0&amp;type=stocks&amp;lang=en" xr:uid="{9A380F53-CE49-4374-BA63-F57287A83764}"/>
    <hyperlink ref="A441" r:id="rId512" tooltip="Sim Leisure" display="https://investors.sgx.com/market/securities?code=URR&amp;type=stocks&amp;lang=en" xr:uid="{BD0E014D-A95A-491E-90E3-34EA1B9A046B}"/>
    <hyperlink ref="A442" r:id="rId513" tooltip="Sin Heng Mach" display="https://investors.sgx.com/market/securities?code=BKA&amp;type=stocks&amp;lang=en" xr:uid="{D5549D05-81EE-440A-A58D-9267F8D44A58}"/>
    <hyperlink ref="A443" r:id="rId514" tooltip="Sincap Grp" display="https://investors.sgx.com/market/securities?code=XZB&amp;type=stocks&amp;lang=en" xr:uid="{836CC511-A097-46C6-AE00-AFC4E8962F4B}"/>
    <hyperlink ref="A446" r:id="rId515" tooltip="SingaporeKitchen" display="https://investors.sgx.com/market/securities?code=5WG&amp;type=stocks&amp;lang=en" xr:uid="{CBF7773E-CEA3-4A4F-BFEE-9A6D5CA067C0}"/>
    <hyperlink ref="A453" r:id="rId516" tooltip="Sino Grandness" display="https://investors.sgx.com/market/securities?code=T4B&amp;type=stocks&amp;lang=en" xr:uid="{03FDB5C1-2542-4D0D-827E-DAE058752F0F}"/>
    <hyperlink ref="A454" r:id="rId517" tooltip="SinoCloud Grp" display="https://investors.sgx.com/market/securities?code=LYY&amp;type=stocks&amp;lang=en" xr:uid="{A2FDD90D-15F5-44C8-844A-03748F708DC9}"/>
    <hyperlink ref="A462" r:id="rId518" tooltip="SouthernAlliance" display="https://investors.sgx.com/market/securities?code=QNS&amp;type=stocks&amp;lang=en" xr:uid="{1B797298-2202-4BF3-8059-C82795216551}"/>
    <hyperlink ref="A463" r:id="rId519" tooltip="Spackman Entmt" display="https://investors.sgx.com/market/securities?code=9VW&amp;type=stocks&amp;lang=en" xr:uid="{9F62D229-BFBD-4E90-8B59-8A5DD423B956}"/>
    <hyperlink ref="A467" r:id="rId520" tooltip="Sri Trang Gloves" display="https://investors.sgx.com/market/securities?code=STG&amp;type=stocks&amp;lang=en" xr:uid="{CFF67EB8-9654-4C81-BC9E-7DD4BA2D377E}"/>
    <hyperlink ref="A469" r:id="rId521" tooltip="ST Group Food" display="https://investors.sgx.com/market/securities?code=DRX&amp;type=stocks&amp;lang=en" xr:uid="{479E65AD-AD54-4DB8-9996-E6772281F66F}"/>
    <hyperlink ref="A477" r:id="rId522" tooltip="Sunright" display="https://investors.sgx.com/market/securities?code=S71&amp;type=stocks&amp;lang=en" xr:uid="{66FB145C-EB87-4141-A6A2-8F8AD9559F6C}"/>
    <hyperlink ref="A479" r:id="rId523" tooltip="Suntar Eco-City" display="https://investors.sgx.com/market/securities?code=BKZ&amp;type=stocks&amp;lang=en" xr:uid="{E1598FF3-CCB1-45FD-8F74-0CCA4E81249D}"/>
    <hyperlink ref="A481" r:id="rId524" tooltip="TA" display="https://investors.sgx.com/market/securities?code=PA3&amp;type=stocks&amp;lang=en" xr:uid="{396FB984-AF19-4D2D-96D1-9DD3405B6AD8}"/>
    <hyperlink ref="A487" r:id="rId525" tooltip="Teho Intl" display="https://investors.sgx.com/market/securities?code=5OQ&amp;type=stocks&amp;lang=en" xr:uid="{8487AE14-0F3E-4B50-AC9A-083D262D4853}"/>
    <hyperlink ref="A488" r:id="rId526" tooltip="TeleChoice Intl" display="https://investors.sgx.com/market/securities?code=T41&amp;type=stocks&amp;lang=en" xr:uid="{6F0C3674-18B0-4087-8478-6FA34428D9EF}"/>
    <hyperlink ref="A495" r:id="rId527" tooltip="Tiong Seng" display="https://investors.sgx.com/market/securities?code=BFI&amp;type=stocks&amp;lang=en" xr:uid="{1977D409-FF9C-4430-9C22-421438221D22}"/>
    <hyperlink ref="A499" r:id="rId528" tooltip="Tosei" display="https://investors.sgx.com/market/securities?code=S2D&amp;type=stocks&amp;lang=en" xr:uid="{4BCF2E4A-72F3-4618-A35B-2F2137E3CACE}"/>
    <hyperlink ref="A501" r:id="rId529" tooltip="Travelite" display="https://investors.sgx.com/market/securities?code=BCZ&amp;type=stocks&amp;lang=en" xr:uid="{4B2D1C09-EC76-47CC-8ED0-943DBE2949A3}"/>
    <hyperlink ref="A506" r:id="rId530" tooltip="Triyards" display="https://investors.sgx.com/market/securities?code=RC5&amp;type=stocks&amp;lang=en" xr:uid="{95DA6884-22C2-466F-A174-036F1D010AEC}"/>
    <hyperlink ref="A509" r:id="rId531" tooltip="TT Intl" display="https://investors.sgx.com/market/securities?code=T09&amp;type=stocks&amp;lang=en" xr:uid="{B2A76BF4-D494-4964-9AE9-E566DCE22AD6}"/>
    <hyperlink ref="A512" r:id="rId532" tooltip="Tye Soon" display="https://investors.sgx.com/market/securities?code=BFU&amp;type=stocks&amp;lang=en" xr:uid="{30C86E74-BAFF-4B7F-8052-18DE72A1A916}"/>
    <hyperlink ref="A517" r:id="rId533" tooltip="UnionSteel" display="https://investors.sgx.com/market/securities?code=ZB9&amp;type=stocks&amp;lang=en" xr:uid="{5810FC4E-D24E-4360-A91D-20768F969678}"/>
    <hyperlink ref="A518" r:id="rId534" tooltip="United Food" display="https://investors.sgx.com/market/securities?code=AZR&amp;type=stocks&amp;lang=en" xr:uid="{B54A7406-84B3-4E83-9DD8-5E37C068DB0C}"/>
    <hyperlink ref="A519" r:id="rId535" tooltip="Universal Res" display="https://investors.sgx.com/market/securities?code=BGO&amp;type=stocks&amp;lang=en" xr:uid="{4DD6B619-0187-43C1-99B9-C592162CB642}"/>
    <hyperlink ref="A520" r:id="rId536" tooltip="UnUsUaL" display="https://investors.sgx.com/market/securities?code=1D1&amp;type=stocks&amp;lang=en" xr:uid="{C05D9CD8-F0CA-49BC-8A86-A4B96E78B328}"/>
    <hyperlink ref="A526" r:id="rId537" tooltip="USP Group" display="https://investors.sgx.com/market/securities?code=BRS&amp;type=stocks&amp;lang=en" xr:uid="{8F6056DC-5851-450F-92CC-59973D938870}"/>
    <hyperlink ref="A527" r:id="rId538" tooltip="V2Y Corp" display="https://investors.sgx.com/market/securities?code=V2Y&amp;type=stocks&amp;lang=en" xr:uid="{F8D5C821-B57D-4F29-A1C5-5D70BF6D9AF2}"/>
    <hyperlink ref="A528" r:id="rId539" tooltip="Vallianz" display="https://investors.sgx.com/market/securities?code=WPC&amp;type=stocks&amp;lang=en" xr:uid="{036BFCF9-A753-4846-8503-FEF47DA4EC8F}"/>
    <hyperlink ref="A531" r:id="rId540" tooltip="VCPlus" display="https://investors.sgx.com/market/securities?code=43E&amp;type=stocks&amp;lang=en" xr:uid="{57DAE027-8629-4B42-8E8C-3C638134C029}"/>
    <hyperlink ref="A535" r:id="rId541" tooltip="VibroPower" display="https://investors.sgx.com/market/securities?code=BJD&amp;type=stocks&amp;lang=en" xr:uid="{18B4FF77-0774-4FE5-A360-981DC2FAC764}"/>
    <hyperlink ref="A538" r:id="rId542" tooltip="Vins Holdings" display="https://investors.sgx.com/market/securities?code=VIN&amp;type=stocks&amp;lang=en" xr:uid="{3DAF3BD6-31D4-47AD-830A-74A4040B9380}"/>
    <hyperlink ref="A546" r:id="rId543" tooltip="Wong Fong Ind" display="https://investors.sgx.com/market/securities?code=1A1&amp;type=stocks&amp;lang=en" xr:uid="{090A1BAE-16E5-4F03-AC65-A47568C9529F}"/>
    <hyperlink ref="A550" r:id="rId544" tooltip="Yamada Green Res" display="https://investors.sgx.com/market/securities?code=BJV&amp;type=stocks&amp;lang=en" xr:uid="{9BE30D1F-EB2F-4BA5-9ED3-6DEA1C6AD63D}"/>
    <hyperlink ref="A557" r:id="rId545" tooltip="Yongmao" display="https://investors.sgx.com/market/securities?code=BKX&amp;type=stocks&amp;lang=en" xr:uid="{B3F83617-C0EB-4BE5-B4CD-5B4CB34375AE}"/>
    <hyperlink ref="A558" r:id="rId546" tooltip="Yunnan Energy" display="https://investors.sgx.com/market/securities?code=T43&amp;type=stocks&amp;lang=en" xr:uid="{3C580FF3-6686-43EF-86F9-D0220E8B9C59}"/>
    <hyperlink ref="A560" r:id="rId547" tooltip="YZJ Shipbldg CNY" display="https://investors.sgx.com/market/securities?code=SO7&amp;type=stocks&amp;lang=en" xr:uid="{09EA841D-5507-4481-8D67-74F4684324F5}"/>
    <hyperlink ref="A565" r:id="rId548" tooltip="ZICO Hldgs" display="https://investors.sgx.com/market/securities?code=40W&amp;type=stocks&amp;lang=en" xr:uid="{A29C3AF0-767B-4239-A7D6-79F64BD51B09}"/>
    <hyperlink ref="A551" r:id="rId549" xr:uid="{8BB3A429-6146-4E43-85BD-3F4CB642BF7A}"/>
    <hyperlink ref="A540" r:id="rId550" xr:uid="{B60FC467-AD46-46E8-BB64-CFD8945ECE54}"/>
    <hyperlink ref="A457" r:id="rId551" xr:uid="{C51E7E7A-9D37-40F8-A5B5-2E418731A224}"/>
    <hyperlink ref="A434" r:id="rId552" xr:uid="{9439B3DC-7EF8-4EBC-9573-69E5A8C42FA6}"/>
    <hyperlink ref="A253" r:id="rId553" xr:uid="{60D65CD8-6FE2-4BF2-A127-E76F3ADA090F}"/>
    <hyperlink ref="A234" r:id="rId554" xr:uid="{70AEAE9C-7F0A-48DA-B8C6-7DA79322EB66}"/>
    <hyperlink ref="A187" r:id="rId555" xr:uid="{6B115DC7-50F9-4EF7-A061-0FBB5856B5A2}"/>
    <hyperlink ref="A167" r:id="rId556" xr:uid="{B19A95AF-8109-437C-8A76-568CD1A47B59}"/>
    <hyperlink ref="A121" r:id="rId557" xr:uid="{D3982E38-32CC-4EC6-BFA0-6F1F08B56DFC}"/>
    <hyperlink ref="A92" r:id="rId558" xr:uid="{CF616458-BF6D-423D-90BD-E6C92E330001}"/>
    <hyperlink ref="A31" r:id="rId559" xr:uid="{B59EF286-6F9D-4D14-9DBE-ADA43AC701E0}"/>
    <hyperlink ref="A18" r:id="rId560" xr:uid="{49338D8F-B844-464F-9030-C5332C56F25B}"/>
    <hyperlink ref="A200" r:id="rId561" xr:uid="{417AD278-9EC9-4A15-82C8-74675B573535}"/>
    <hyperlink ref="A163" r:id="rId562" xr:uid="{4411EB06-60CE-409D-81E0-915F9385F570}"/>
    <hyperlink ref="A406" r:id="rId563" display="https://investors.sgx.com/market/securities?code=1U8&amp;type=stocks" xr:uid="{A2890DBB-A5D0-4FF0-B32F-FA0C1FAC2078}"/>
  </hyperlinks>
  <pageMargins left="0.7" right="0.7" top="0.75" bottom="0.75" header="0.3" footer="0.3"/>
  <pageSetup orientation="portrait" r:id="rId56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E787-2C6F-49B0-8900-4F6FC0C666DA}">
  <dimension ref="A2:W56"/>
  <sheetViews>
    <sheetView zoomScale="73" zoomScaleNormal="73" workbookViewId="0">
      <selection sqref="A1:W39"/>
    </sheetView>
  </sheetViews>
  <sheetFormatPr defaultRowHeight="14.4"/>
  <cols>
    <col min="1" max="1" width="4" customWidth="1"/>
    <col min="2" max="2" width="22.21875" customWidth="1"/>
    <col min="3" max="3" width="11.33203125" customWidth="1"/>
    <col min="4" max="4" width="10.109375" customWidth="1"/>
    <col min="5" max="5" width="11.77734375" customWidth="1"/>
    <col min="6" max="7" width="11.88671875" customWidth="1"/>
    <col min="8" max="12" width="10.109375" customWidth="1"/>
    <col min="13" max="13" width="11.44140625" customWidth="1"/>
    <col min="14" max="14" width="10.109375" customWidth="1"/>
    <col min="15" max="15" width="12.88671875" customWidth="1"/>
    <col min="16" max="17" width="10.109375" customWidth="1"/>
    <col min="18" max="18" width="11.21875" customWidth="1"/>
    <col min="19" max="19" width="10.109375" customWidth="1"/>
    <col min="20" max="20" width="10.88671875" customWidth="1"/>
    <col min="21" max="21" width="10.109375" bestFit="1" customWidth="1"/>
  </cols>
  <sheetData>
    <row r="2" spans="1:23" ht="28.8" customHeight="1">
      <c r="B2" s="327" t="s">
        <v>2074</v>
      </c>
      <c r="C2" s="327"/>
      <c r="D2" s="327"/>
      <c r="E2" s="327" t="s">
        <v>2075</v>
      </c>
      <c r="F2" s="327"/>
      <c r="G2" s="327" t="s">
        <v>2076</v>
      </c>
      <c r="H2" s="327"/>
      <c r="I2" s="326" t="s">
        <v>1380</v>
      </c>
      <c r="J2" s="326"/>
    </row>
    <row r="3" spans="1:23" ht="43.2" customHeight="1">
      <c r="B3" s="318" t="s">
        <v>2077</v>
      </c>
      <c r="C3" s="318"/>
      <c r="D3" s="318"/>
      <c r="E3" s="318" t="s">
        <v>2078</v>
      </c>
      <c r="F3" s="318"/>
      <c r="G3" s="318" t="s">
        <v>2079</v>
      </c>
      <c r="H3" s="318"/>
      <c r="I3" s="313" t="s">
        <v>2084</v>
      </c>
      <c r="J3" s="313"/>
    </row>
    <row r="4" spans="1:23" ht="43.2" customHeight="1">
      <c r="B4" s="318" t="s">
        <v>2080</v>
      </c>
      <c r="C4" s="318"/>
      <c r="D4" s="318"/>
      <c r="E4" s="318" t="s">
        <v>2081</v>
      </c>
      <c r="F4" s="318"/>
      <c r="G4" s="318" t="s">
        <v>2082</v>
      </c>
      <c r="H4" s="318"/>
      <c r="I4" s="313" t="s">
        <v>2084</v>
      </c>
      <c r="J4" s="313"/>
    </row>
    <row r="5" spans="1:23" ht="43.2" customHeight="1">
      <c r="B5" s="318" t="s">
        <v>2085</v>
      </c>
      <c r="C5" s="318"/>
      <c r="D5" s="318"/>
      <c r="E5" s="318" t="s">
        <v>2086</v>
      </c>
      <c r="F5" s="318"/>
      <c r="G5" s="318" t="s">
        <v>2082</v>
      </c>
      <c r="H5" s="318"/>
      <c r="I5" s="318" t="s">
        <v>2087</v>
      </c>
      <c r="J5" s="318"/>
    </row>
    <row r="7" spans="1:23">
      <c r="B7" s="325" t="s">
        <v>2083</v>
      </c>
      <c r="C7" s="325"/>
      <c r="D7" s="325"/>
      <c r="E7" s="325"/>
      <c r="F7" s="325"/>
      <c r="G7" s="325"/>
      <c r="H7" s="325"/>
    </row>
    <row r="9" spans="1:23" ht="57.6">
      <c r="A9" s="37"/>
      <c r="B9" s="178" t="s">
        <v>2144</v>
      </c>
      <c r="C9" s="178" t="s">
        <v>2143</v>
      </c>
      <c r="D9" s="178" t="s">
        <v>1451</v>
      </c>
      <c r="E9" s="178" t="s">
        <v>1247</v>
      </c>
      <c r="F9" s="178" t="s">
        <v>1248</v>
      </c>
      <c r="G9" s="179" t="s">
        <v>1275</v>
      </c>
      <c r="H9" s="178" t="s">
        <v>1250</v>
      </c>
      <c r="I9" s="178" t="s">
        <v>2148</v>
      </c>
      <c r="J9" s="178" t="s">
        <v>2446</v>
      </c>
      <c r="K9" s="178" t="s">
        <v>2145</v>
      </c>
      <c r="L9" s="179" t="s">
        <v>2146</v>
      </c>
      <c r="M9" s="178" t="s">
        <v>1255</v>
      </c>
      <c r="N9" s="178" t="s">
        <v>1256</v>
      </c>
      <c r="O9" s="178" t="s">
        <v>1257</v>
      </c>
      <c r="P9" s="178" t="s">
        <v>1258</v>
      </c>
      <c r="Q9" s="179" t="s">
        <v>1259</v>
      </c>
      <c r="R9" s="179" t="s">
        <v>1260</v>
      </c>
      <c r="S9" s="179" t="s">
        <v>1261</v>
      </c>
      <c r="T9" s="179" t="s">
        <v>1262</v>
      </c>
      <c r="U9" s="179" t="s">
        <v>2147</v>
      </c>
      <c r="V9" s="179" t="s">
        <v>2160</v>
      </c>
      <c r="W9" s="179" t="s">
        <v>2445</v>
      </c>
    </row>
    <row r="10" spans="1:23">
      <c r="A10">
        <v>1</v>
      </c>
      <c r="B10" s="1" t="str">
        <f>'16b_Loading by main or catalyst'!A8</f>
        <v>COSCO SHP SG</v>
      </c>
      <c r="C10" s="59">
        <v>510.548</v>
      </c>
      <c r="D10" s="59">
        <v>0.71</v>
      </c>
      <c r="E10" s="59">
        <v>93.582999999999998</v>
      </c>
      <c r="F10" s="59">
        <v>781.08299999999997</v>
      </c>
      <c r="G10" s="59">
        <f t="shared" ref="G10:G26" si="0">E10+F10</f>
        <v>874.66599999999994</v>
      </c>
      <c r="H10" s="59">
        <v>0</v>
      </c>
      <c r="I10" s="59">
        <v>0.78</v>
      </c>
      <c r="J10" s="139">
        <v>0.114</v>
      </c>
      <c r="K10" s="139">
        <v>0.121</v>
      </c>
      <c r="L10" s="176">
        <f t="shared" ref="L10:L26" si="1">(J10-K10)/K10%</f>
        <v>-5.7851239669421428</v>
      </c>
      <c r="M10" s="59">
        <v>193.999</v>
      </c>
      <c r="N10" s="59">
        <v>61.284999999999997</v>
      </c>
      <c r="O10" s="59">
        <v>980.30799999999999</v>
      </c>
      <c r="P10" s="59">
        <v>33.244999999999997</v>
      </c>
      <c r="Q10" s="177">
        <f t="shared" ref="Q10" si="2">C10/M10</f>
        <v>2.6317042871355008</v>
      </c>
      <c r="R10" s="177">
        <f t="shared" ref="R10" si="3">C10/N10</f>
        <v>8.3307171412254224</v>
      </c>
      <c r="S10" s="177">
        <f t="shared" ref="S10" si="4">C10/O10</f>
        <v>0.52080366578667114</v>
      </c>
      <c r="T10" s="243">
        <f t="shared" ref="T10" si="5">C10/P10</f>
        <v>15.357136411490451</v>
      </c>
      <c r="U10" s="111">
        <v>46022</v>
      </c>
      <c r="V10" s="190" t="s">
        <v>562</v>
      </c>
      <c r="W10" s="239" t="str">
        <f>'16b_Loading by main or catalyst'!H8</f>
        <v>F83</v>
      </c>
    </row>
    <row r="11" spans="1:23">
      <c r="A11">
        <v>2</v>
      </c>
      <c r="B11" s="1" t="str">
        <f>'16b_Loading by main or catalyst'!A36</f>
        <v>SATS</v>
      </c>
      <c r="C11" s="59">
        <v>5321</v>
      </c>
      <c r="D11" s="59">
        <v>0.52</v>
      </c>
      <c r="E11" s="59">
        <v>1843</v>
      </c>
      <c r="F11" s="59">
        <v>2768.9</v>
      </c>
      <c r="G11" s="59">
        <f t="shared" si="0"/>
        <v>4611.8999999999996</v>
      </c>
      <c r="H11" s="59">
        <v>19.89</v>
      </c>
      <c r="I11" s="59">
        <v>1.54</v>
      </c>
      <c r="J11" s="139">
        <v>3.58</v>
      </c>
      <c r="K11" s="139">
        <v>3.81</v>
      </c>
      <c r="L11" s="176">
        <f t="shared" si="1"/>
        <v>-6.0367454068241466</v>
      </c>
      <c r="M11" s="59">
        <v>5821</v>
      </c>
      <c r="N11" s="59">
        <v>1166</v>
      </c>
      <c r="O11" s="59">
        <v>8882</v>
      </c>
      <c r="P11" s="59">
        <v>669.4</v>
      </c>
      <c r="Q11" s="177">
        <f t="shared" ref="Q11:Q19" si="6">C11/M11</f>
        <v>0.91410410582374158</v>
      </c>
      <c r="R11" s="177">
        <f t="shared" ref="R11:R19" si="7">C11/N11</f>
        <v>4.563464837049743</v>
      </c>
      <c r="S11" s="177">
        <f t="shared" ref="S11:S19" si="8">C11/O11</f>
        <v>0.59907678450799373</v>
      </c>
      <c r="T11" s="243">
        <f t="shared" ref="T11:T19" si="9">C11/P11</f>
        <v>7.9489094711682107</v>
      </c>
      <c r="U11" s="111">
        <v>45747</v>
      </c>
      <c r="V11" s="190" t="s">
        <v>562</v>
      </c>
      <c r="W11" s="239" t="s">
        <v>1049</v>
      </c>
    </row>
    <row r="12" spans="1:23">
      <c r="A12">
        <v>3</v>
      </c>
      <c r="B12" s="1" t="str">
        <f>'16b_Loading by main or catalyst'!A37</f>
        <v>SIA</v>
      </c>
      <c r="C12" s="59">
        <v>20973</v>
      </c>
      <c r="D12" s="59">
        <v>0.5</v>
      </c>
      <c r="E12" s="59">
        <v>12914.3</v>
      </c>
      <c r="F12" s="59">
        <v>16070</v>
      </c>
      <c r="G12" s="59">
        <f t="shared" si="0"/>
        <v>28984.3</v>
      </c>
      <c r="H12" s="59">
        <v>17.5</v>
      </c>
      <c r="I12" s="59">
        <v>5.26</v>
      </c>
      <c r="J12" s="139">
        <v>6.65</v>
      </c>
      <c r="K12" s="139">
        <v>6.4</v>
      </c>
      <c r="L12" s="176">
        <f t="shared" si="1"/>
        <v>3.90625</v>
      </c>
      <c r="M12" s="59">
        <v>19539.8</v>
      </c>
      <c r="N12" s="59">
        <v>5711.9</v>
      </c>
      <c r="O12" s="59">
        <v>43086.8</v>
      </c>
      <c r="P12" s="59">
        <v>2834</v>
      </c>
      <c r="Q12" s="177">
        <f t="shared" si="6"/>
        <v>1.0733477312971473</v>
      </c>
      <c r="R12" s="177">
        <f t="shared" si="7"/>
        <v>3.6718079798315801</v>
      </c>
      <c r="S12" s="177">
        <f t="shared" si="8"/>
        <v>0.48676160680301156</v>
      </c>
      <c r="T12" s="243">
        <f t="shared" si="9"/>
        <v>7.4004940014114329</v>
      </c>
      <c r="U12" s="111">
        <v>45747</v>
      </c>
      <c r="V12" s="190" t="s">
        <v>562</v>
      </c>
      <c r="W12" s="239" t="s">
        <v>1066</v>
      </c>
    </row>
    <row r="13" spans="1:23">
      <c r="A13">
        <v>4</v>
      </c>
      <c r="B13" s="1" t="str">
        <f>'16b_Loading by main or catalyst'!A38</f>
        <v>SIA Engineering</v>
      </c>
      <c r="C13" s="59">
        <v>3651</v>
      </c>
      <c r="D13" s="59">
        <v>0.32</v>
      </c>
      <c r="E13" s="59">
        <v>85.198999999999998</v>
      </c>
      <c r="F13" s="59">
        <v>1741.6110000000001</v>
      </c>
      <c r="G13" s="59">
        <f t="shared" si="0"/>
        <v>1826.8100000000002</v>
      </c>
      <c r="H13" s="59">
        <v>23.29</v>
      </c>
      <c r="I13" s="59">
        <v>2.91</v>
      </c>
      <c r="J13" s="139">
        <v>3.26</v>
      </c>
      <c r="K13" s="139">
        <v>3.6</v>
      </c>
      <c r="L13" s="176">
        <f t="shared" si="1"/>
        <v>-9.4444444444444517</v>
      </c>
      <c r="M13" s="59">
        <v>1245</v>
      </c>
      <c r="N13" s="59">
        <v>214.881</v>
      </c>
      <c r="O13" s="59">
        <v>2141.393</v>
      </c>
      <c r="P13" s="59">
        <v>102.60299999999999</v>
      </c>
      <c r="Q13" s="177">
        <f t="shared" si="6"/>
        <v>2.9325301204819278</v>
      </c>
      <c r="R13" s="177">
        <f t="shared" si="7"/>
        <v>16.990799558825582</v>
      </c>
      <c r="S13" s="177">
        <f t="shared" si="8"/>
        <v>1.7049649457152423</v>
      </c>
      <c r="T13" s="243">
        <f t="shared" si="9"/>
        <v>35.58375486096898</v>
      </c>
      <c r="U13" s="111">
        <v>45747</v>
      </c>
      <c r="V13" s="190" t="s">
        <v>562</v>
      </c>
      <c r="W13" s="239" t="s">
        <v>1068</v>
      </c>
    </row>
    <row r="14" spans="1:23">
      <c r="A14">
        <v>5</v>
      </c>
      <c r="B14" s="1" t="str">
        <f>'16b_Loading by main or catalyst'!A19</f>
        <v>SingPost</v>
      </c>
      <c r="C14" s="59">
        <v>776.68700000000001</v>
      </c>
      <c r="D14" s="59">
        <v>0.21</v>
      </c>
      <c r="E14" s="59">
        <v>370.23200000000003</v>
      </c>
      <c r="F14" s="59">
        <v>1607.4780000000001</v>
      </c>
      <c r="G14" s="59">
        <f t="shared" si="0"/>
        <v>1977.71</v>
      </c>
      <c r="H14" s="59">
        <v>3.14</v>
      </c>
      <c r="I14" s="59">
        <v>1.22</v>
      </c>
      <c r="J14" s="139">
        <v>0.34499999999999997</v>
      </c>
      <c r="K14" s="139">
        <v>0.40500000000000003</v>
      </c>
      <c r="L14" s="176">
        <f t="shared" si="1"/>
        <v>-14.814814814814826</v>
      </c>
      <c r="M14" s="59">
        <v>813.70399999999995</v>
      </c>
      <c r="N14" s="59">
        <v>387.25</v>
      </c>
      <c r="O14" s="59">
        <v>2390.424</v>
      </c>
      <c r="P14" s="59">
        <v>26.670999999999999</v>
      </c>
      <c r="Q14" s="177">
        <f t="shared" si="6"/>
        <v>0.95450802748911157</v>
      </c>
      <c r="R14" s="177">
        <f t="shared" si="7"/>
        <v>2.0056475145255002</v>
      </c>
      <c r="S14" s="177">
        <f t="shared" si="8"/>
        <v>0.32491599816601574</v>
      </c>
      <c r="T14" s="243">
        <f t="shared" si="9"/>
        <v>29.121030332570957</v>
      </c>
      <c r="U14" s="111">
        <v>45747</v>
      </c>
      <c r="V14" s="190" t="s">
        <v>562</v>
      </c>
      <c r="W14" s="239" t="s">
        <v>1078</v>
      </c>
    </row>
    <row r="15" spans="1:23">
      <c r="A15">
        <v>6</v>
      </c>
      <c r="B15" t="str">
        <f>'16b_Loading by main or catalyst'!A24</f>
        <v>Wing Tai</v>
      </c>
      <c r="C15" s="59">
        <v>1222</v>
      </c>
      <c r="D15" s="59">
        <v>0.23</v>
      </c>
      <c r="E15" s="59">
        <v>1242.1210000000001</v>
      </c>
      <c r="F15" s="59">
        <v>2902.9560000000001</v>
      </c>
      <c r="G15" s="59">
        <f t="shared" si="0"/>
        <v>4145.0770000000002</v>
      </c>
      <c r="H15" s="59">
        <v>0</v>
      </c>
      <c r="I15" s="59">
        <v>1.88</v>
      </c>
      <c r="J15" s="139">
        <v>1.6</v>
      </c>
      <c r="K15" s="139">
        <v>1.42</v>
      </c>
      <c r="L15" s="176">
        <f t="shared" si="1"/>
        <v>12.676056338028181</v>
      </c>
      <c r="M15" s="59">
        <v>230.20599999999999</v>
      </c>
      <c r="N15" s="59">
        <v>-4.157</v>
      </c>
      <c r="O15" s="59">
        <v>4275.5519999999997</v>
      </c>
      <c r="P15" s="59">
        <v>-447.44400000000002</v>
      </c>
      <c r="Q15" s="177">
        <f t="shared" si="6"/>
        <v>5.3082890975908539</v>
      </c>
      <c r="R15" s="177">
        <f t="shared" si="7"/>
        <v>-293.96199182102475</v>
      </c>
      <c r="S15" s="177">
        <f t="shared" si="8"/>
        <v>0.28581104849151645</v>
      </c>
      <c r="T15" s="243">
        <f t="shared" si="9"/>
        <v>-2.7310680219200614</v>
      </c>
      <c r="U15" s="111">
        <v>45838</v>
      </c>
      <c r="V15" s="239" t="s">
        <v>562</v>
      </c>
      <c r="W15" s="239" t="str">
        <f>'16b_Loading by main or catalyst'!H24</f>
        <v>W05</v>
      </c>
    </row>
    <row r="16" spans="1:23">
      <c r="A16">
        <v>7</v>
      </c>
      <c r="B16" s="1" t="str">
        <f>'16b_Loading by main or catalyst'!A26</f>
        <v>CapitaLandInvest</v>
      </c>
      <c r="C16" s="59">
        <v>13679</v>
      </c>
      <c r="D16" s="59">
        <v>0.61</v>
      </c>
      <c r="E16" s="59">
        <v>8462</v>
      </c>
      <c r="F16" s="59">
        <v>13524</v>
      </c>
      <c r="G16" s="59">
        <f t="shared" si="0"/>
        <v>21986</v>
      </c>
      <c r="H16" s="59">
        <v>91.33</v>
      </c>
      <c r="I16" s="59">
        <v>4.38</v>
      </c>
      <c r="J16" s="139">
        <v>2.74</v>
      </c>
      <c r="K16" s="139">
        <v>2.71</v>
      </c>
      <c r="L16" s="176">
        <f t="shared" si="1"/>
        <v>1.1070110701107103</v>
      </c>
      <c r="M16" s="59">
        <v>2133</v>
      </c>
      <c r="N16" s="59">
        <v>735</v>
      </c>
      <c r="O16" s="59">
        <v>24211</v>
      </c>
      <c r="P16" s="59">
        <v>479</v>
      </c>
      <c r="Q16" s="177">
        <f t="shared" si="6"/>
        <v>6.4130332864510082</v>
      </c>
      <c r="R16" s="177">
        <f t="shared" si="7"/>
        <v>18.610884353741497</v>
      </c>
      <c r="S16" s="177">
        <f t="shared" si="8"/>
        <v>0.56499111973896166</v>
      </c>
      <c r="T16" s="243">
        <f t="shared" si="9"/>
        <v>28.55741127348643</v>
      </c>
      <c r="U16" s="111">
        <v>46022</v>
      </c>
      <c r="V16" s="242" t="s">
        <v>562</v>
      </c>
      <c r="W16" s="239" t="s">
        <v>707</v>
      </c>
    </row>
    <row r="17" spans="1:23">
      <c r="A17">
        <v>8</v>
      </c>
      <c r="B17" s="1" t="str">
        <f>'16b_Loading by main or catalyst'!A27</f>
        <v>ComfortDelGro</v>
      </c>
      <c r="C17" s="59">
        <v>3120</v>
      </c>
      <c r="D17" s="59">
        <v>0.24</v>
      </c>
      <c r="E17" s="59">
        <v>1821.5</v>
      </c>
      <c r="F17" s="59">
        <v>2980.7</v>
      </c>
      <c r="G17" s="59">
        <f t="shared" si="0"/>
        <v>4802.2</v>
      </c>
      <c r="H17" s="59">
        <v>13.09</v>
      </c>
      <c r="I17" s="59">
        <v>5.9</v>
      </c>
      <c r="J17" s="139">
        <v>1.44</v>
      </c>
      <c r="K17" s="139">
        <v>1.48</v>
      </c>
      <c r="L17" s="176">
        <f t="shared" si="1"/>
        <v>-2.7027027027027049</v>
      </c>
      <c r="M17" s="59">
        <v>5058</v>
      </c>
      <c r="N17" s="59">
        <v>793.8</v>
      </c>
      <c r="O17" s="59">
        <v>6138.9</v>
      </c>
      <c r="P17" s="59">
        <v>-136.5</v>
      </c>
      <c r="Q17" s="177">
        <f t="shared" si="6"/>
        <v>0.61684460260972718</v>
      </c>
      <c r="R17" s="177">
        <f t="shared" si="7"/>
        <v>3.9304610733182166</v>
      </c>
      <c r="S17" s="177">
        <f t="shared" si="8"/>
        <v>0.5082343742364267</v>
      </c>
      <c r="T17" s="243">
        <f t="shared" si="9"/>
        <v>-22.857142857142858</v>
      </c>
      <c r="U17" s="111">
        <v>46022</v>
      </c>
      <c r="V17" s="242" t="s">
        <v>562</v>
      </c>
      <c r="W17" s="242" t="s">
        <v>745</v>
      </c>
    </row>
    <row r="18" spans="1:23">
      <c r="A18">
        <v>9</v>
      </c>
      <c r="B18" s="1" t="str">
        <f>'16b_Loading by main or catalyst'!A29</f>
        <v>Frasers Property</v>
      </c>
      <c r="C18" s="59">
        <v>3808</v>
      </c>
      <c r="D18" s="59">
        <v>0.33</v>
      </c>
      <c r="E18" s="59">
        <v>18525.843000000001</v>
      </c>
      <c r="F18" s="59">
        <v>17148.511999999999</v>
      </c>
      <c r="G18" s="59">
        <f t="shared" si="0"/>
        <v>35674.354999999996</v>
      </c>
      <c r="H18" s="59">
        <v>16.170000000000002</v>
      </c>
      <c r="I18" s="59">
        <v>4.6399999999999997</v>
      </c>
      <c r="J18" s="139">
        <v>0.97</v>
      </c>
      <c r="K18" s="139">
        <v>1.1299999999999999</v>
      </c>
      <c r="L18" s="176">
        <f t="shared" si="1"/>
        <v>-14.159292035398224</v>
      </c>
      <c r="M18" s="59">
        <v>3403.5189999999998</v>
      </c>
      <c r="N18" s="59">
        <v>1322.5340000000001</v>
      </c>
      <c r="O18" s="59">
        <v>39747.618000000002</v>
      </c>
      <c r="P18" s="59">
        <v>981.78800000000001</v>
      </c>
      <c r="Q18" s="177">
        <f t="shared" si="6"/>
        <v>1.1188419985315199</v>
      </c>
      <c r="R18" s="177">
        <f t="shared" si="7"/>
        <v>2.8793210609330266</v>
      </c>
      <c r="S18" s="177">
        <f t="shared" si="8"/>
        <v>9.5804483176828353E-2</v>
      </c>
      <c r="T18" s="243">
        <f t="shared" si="9"/>
        <v>3.8786377507160403</v>
      </c>
      <c r="U18" s="111">
        <v>45930</v>
      </c>
      <c r="V18" s="242" t="s">
        <v>562</v>
      </c>
      <c r="W18" s="242" t="s">
        <v>797</v>
      </c>
    </row>
    <row r="19" spans="1:23">
      <c r="A19">
        <v>10</v>
      </c>
      <c r="B19" s="1" t="str">
        <f>'16b_Loading by main or catalyst'!A34</f>
        <v>Raffles Edu</v>
      </c>
      <c r="C19" s="59">
        <v>224.357</v>
      </c>
      <c r="D19" s="59">
        <v>0.72</v>
      </c>
      <c r="E19" s="59">
        <v>218.887</v>
      </c>
      <c r="F19" s="59">
        <v>640.56100000000004</v>
      </c>
      <c r="G19" s="59">
        <f t="shared" si="0"/>
        <v>859.44800000000009</v>
      </c>
      <c r="H19" s="59">
        <v>0</v>
      </c>
      <c r="I19" s="59">
        <v>0</v>
      </c>
      <c r="J19" s="139">
        <v>0.126</v>
      </c>
      <c r="K19" s="139">
        <v>0.13900000000000001</v>
      </c>
      <c r="L19" s="176">
        <f t="shared" si="1"/>
        <v>-9.3525179856115184</v>
      </c>
      <c r="M19" s="59">
        <v>111.71</v>
      </c>
      <c r="N19" s="59">
        <v>43.6</v>
      </c>
      <c r="O19" s="59">
        <v>1018.751</v>
      </c>
      <c r="P19" s="59">
        <v>0.14499999999999999</v>
      </c>
      <c r="Q19" s="177">
        <f t="shared" si="6"/>
        <v>2.0083877898129083</v>
      </c>
      <c r="R19" s="177">
        <f t="shared" si="7"/>
        <v>5.1458027522935774</v>
      </c>
      <c r="S19" s="177">
        <f t="shared" si="8"/>
        <v>0.22022751388710293</v>
      </c>
      <c r="T19" s="243">
        <f t="shared" si="9"/>
        <v>1547.2896551724139</v>
      </c>
      <c r="U19" s="111">
        <v>45838</v>
      </c>
      <c r="W19" s="242" t="s">
        <v>1031</v>
      </c>
    </row>
    <row r="20" spans="1:23">
      <c r="B20" s="1"/>
      <c r="T20" s="35"/>
      <c r="W20" s="242"/>
    </row>
    <row r="21" spans="1:23">
      <c r="B21" s="1"/>
      <c r="T21" s="35"/>
      <c r="W21" s="242"/>
    </row>
    <row r="22" spans="1:23">
      <c r="A22">
        <v>1</v>
      </c>
      <c r="B22" s="1" t="str">
        <f>'16b_Loading by main or catalyst'!A6</f>
        <v>Audience</v>
      </c>
      <c r="C22" s="59">
        <v>60.491999999999997</v>
      </c>
      <c r="D22" s="59">
        <v>0.08</v>
      </c>
      <c r="E22" s="59">
        <v>2.8000000000000001E-2</v>
      </c>
      <c r="F22" s="59">
        <v>23.268999999999998</v>
      </c>
      <c r="G22" s="59">
        <f t="shared" si="0"/>
        <v>23.296999999999997</v>
      </c>
      <c r="H22" s="59">
        <v>13</v>
      </c>
      <c r="I22" s="59">
        <v>5.77</v>
      </c>
      <c r="J22" s="139">
        <v>0.26</v>
      </c>
      <c r="K22" s="139">
        <v>0.26</v>
      </c>
      <c r="L22" s="176">
        <f t="shared" si="1"/>
        <v>0</v>
      </c>
      <c r="M22" s="59">
        <v>15.956</v>
      </c>
      <c r="N22" s="59">
        <v>5.7880000000000003</v>
      </c>
      <c r="O22" s="59">
        <v>26.015000000000001</v>
      </c>
      <c r="P22" s="59">
        <v>4.4359999999999999</v>
      </c>
      <c r="Q22" s="177">
        <f t="shared" ref="Q22" si="10">C22/M22</f>
        <v>3.7911757332664826</v>
      </c>
      <c r="R22" s="177">
        <f t="shared" ref="R22" si="11">C22/N22</f>
        <v>10.451278507256392</v>
      </c>
      <c r="S22" s="177">
        <f t="shared" ref="S22" si="12">C22/O22</f>
        <v>2.3252738804535844</v>
      </c>
      <c r="T22" s="243">
        <f t="shared" ref="T22" si="13">C22/P22</f>
        <v>13.636609558160504</v>
      </c>
      <c r="U22" s="111">
        <v>46022</v>
      </c>
      <c r="V22" s="190" t="s">
        <v>566</v>
      </c>
      <c r="W22" s="239" t="str">
        <f>'16b_Loading by main or catalyst'!H6</f>
        <v>1AZ</v>
      </c>
    </row>
    <row r="23" spans="1:23">
      <c r="A23">
        <v>2</v>
      </c>
      <c r="B23" s="186" t="str">
        <f>'16b_Loading by main or catalyst'!A9</f>
        <v>Dezign Format</v>
      </c>
      <c r="C23" s="59">
        <v>38</v>
      </c>
      <c r="D23" s="59">
        <v>1</v>
      </c>
      <c r="E23" s="59">
        <v>2.391</v>
      </c>
      <c r="F23" s="59">
        <v>11.077999999999999</v>
      </c>
      <c r="G23" s="59">
        <f t="shared" si="0"/>
        <v>13.468999999999999</v>
      </c>
      <c r="H23" s="59">
        <v>19</v>
      </c>
      <c r="I23" s="59">
        <v>0</v>
      </c>
      <c r="J23" s="139">
        <v>0.19</v>
      </c>
      <c r="K23" s="139">
        <v>0.23</v>
      </c>
      <c r="L23" s="176">
        <f t="shared" si="1"/>
        <v>-17.39130434782609</v>
      </c>
      <c r="M23" s="59">
        <v>33.103999999999999</v>
      </c>
      <c r="N23" s="59">
        <v>3.03</v>
      </c>
      <c r="O23" s="59">
        <v>24.951000000000001</v>
      </c>
      <c r="P23" s="59">
        <v>-6.5110000000000001</v>
      </c>
      <c r="Q23" s="177">
        <f t="shared" ref="Q23:Q34" si="14">C23/M23</f>
        <v>1.1478975350410827</v>
      </c>
      <c r="R23" s="177">
        <f t="shared" ref="R23:R34" si="15">C23/N23</f>
        <v>12.541254125412543</v>
      </c>
      <c r="S23" s="177">
        <f t="shared" ref="S23:S34" si="16">C23/O23</f>
        <v>1.5229850506993707</v>
      </c>
      <c r="T23" s="243">
        <f t="shared" ref="T23:T34" si="17">C23/P23</f>
        <v>-5.8362770695745656</v>
      </c>
      <c r="U23" s="111">
        <v>46022</v>
      </c>
      <c r="V23" s="190" t="s">
        <v>566</v>
      </c>
      <c r="W23" s="239" t="str">
        <f>'16b_Loading by main or catalyst'!H9</f>
        <v>UZF</v>
      </c>
    </row>
    <row r="24" spans="1:23">
      <c r="A24">
        <v>3</v>
      </c>
      <c r="B24" s="1" t="str">
        <f>'16b_Loading by main or catalyst'!A11</f>
        <v>GKE</v>
      </c>
      <c r="C24" s="59">
        <v>64.394999999999996</v>
      </c>
      <c r="D24" s="59">
        <v>0.28000000000000003</v>
      </c>
      <c r="E24" s="59">
        <v>53.122999999999998</v>
      </c>
      <c r="F24" s="59">
        <v>100.13</v>
      </c>
      <c r="G24" s="59">
        <f t="shared" si="0"/>
        <v>153.25299999999999</v>
      </c>
      <c r="H24" s="59">
        <v>7.5</v>
      </c>
      <c r="I24" s="59">
        <v>5.33</v>
      </c>
      <c r="J24" s="139">
        <v>7.4999999999999997E-2</v>
      </c>
      <c r="K24" s="139">
        <v>9.5000000000000001E-2</v>
      </c>
      <c r="L24" s="176">
        <f t="shared" si="1"/>
        <v>-21.052631578947373</v>
      </c>
      <c r="M24" s="59">
        <v>126.51900000000001</v>
      </c>
      <c r="N24" s="59">
        <v>29.927</v>
      </c>
      <c r="O24" s="59">
        <v>184.24</v>
      </c>
      <c r="P24" s="59">
        <v>14.760999999999999</v>
      </c>
      <c r="Q24" s="177">
        <f t="shared" si="14"/>
        <v>0.50897493657079174</v>
      </c>
      <c r="R24" s="177">
        <f t="shared" si="15"/>
        <v>2.1517358906672901</v>
      </c>
      <c r="S24" s="177">
        <f t="shared" si="16"/>
        <v>0.34951693443334775</v>
      </c>
      <c r="T24" s="243">
        <f t="shared" si="17"/>
        <v>4.3625093150870535</v>
      </c>
      <c r="U24" s="111">
        <v>45808</v>
      </c>
      <c r="V24" s="190" t="s">
        <v>566</v>
      </c>
      <c r="W24" s="239">
        <f>'16b_Loading by main or catalyst'!H11</f>
        <v>595</v>
      </c>
    </row>
    <row r="25" spans="1:23">
      <c r="A25">
        <v>4</v>
      </c>
      <c r="B25" s="1" t="str">
        <f>'16b_Loading by main or catalyst'!A12</f>
        <v>Hiap Tong</v>
      </c>
      <c r="C25" s="59">
        <v>35.545000000000002</v>
      </c>
      <c r="D25" s="59">
        <v>-0.04</v>
      </c>
      <c r="E25" s="59">
        <v>52.646000000000001</v>
      </c>
      <c r="F25" s="59">
        <v>99.906999999999996</v>
      </c>
      <c r="G25" s="59">
        <f t="shared" si="0"/>
        <v>152.553</v>
      </c>
      <c r="H25" s="59">
        <v>11.2</v>
      </c>
      <c r="I25" s="59">
        <v>0.89</v>
      </c>
      <c r="J25" s="139">
        <v>0.112</v>
      </c>
      <c r="K25" s="139">
        <v>9.6000000000000002E-2</v>
      </c>
      <c r="L25" s="176">
        <f t="shared" si="1"/>
        <v>16.666666666666668</v>
      </c>
      <c r="M25" s="59">
        <v>91.915999999999997</v>
      </c>
      <c r="N25" s="59">
        <v>23.984999999999999</v>
      </c>
      <c r="O25" s="59">
        <v>182.02600000000001</v>
      </c>
      <c r="P25" s="241">
        <v>19.872</v>
      </c>
      <c r="Q25" s="177">
        <f t="shared" si="14"/>
        <v>0.38671178032116282</v>
      </c>
      <c r="R25" s="177">
        <f t="shared" si="15"/>
        <v>1.4819678966020431</v>
      </c>
      <c r="S25" s="177">
        <f t="shared" si="16"/>
        <v>0.19527430147341587</v>
      </c>
      <c r="T25" s="243">
        <f t="shared" si="17"/>
        <v>1.7886976650563609</v>
      </c>
      <c r="U25" s="111">
        <v>46022</v>
      </c>
      <c r="V25" s="190" t="s">
        <v>566</v>
      </c>
      <c r="W25" s="239" t="str">
        <f>'16b_Loading by main or catalyst'!H12</f>
        <v>5PO</v>
      </c>
    </row>
    <row r="26" spans="1:23">
      <c r="A26">
        <v>5</v>
      </c>
      <c r="B26" s="1" t="str">
        <f>'16b_Loading by main or catalyst'!A14</f>
        <v>LS 2 Holdings</v>
      </c>
      <c r="C26" s="59">
        <v>14.8</v>
      </c>
      <c r="D26" s="59">
        <v>4.1100000000000003</v>
      </c>
      <c r="E26" s="59">
        <v>2.5619999999999998</v>
      </c>
      <c r="F26" s="59">
        <v>23.806999999999999</v>
      </c>
      <c r="G26" s="59">
        <f t="shared" si="0"/>
        <v>26.369</v>
      </c>
      <c r="H26" s="59">
        <v>4</v>
      </c>
      <c r="I26" s="59">
        <v>0</v>
      </c>
      <c r="J26" s="139">
        <v>0.08</v>
      </c>
      <c r="K26" s="139">
        <v>7.3999999999999996E-2</v>
      </c>
      <c r="L26" s="176">
        <f t="shared" si="1"/>
        <v>8.1081081081081159</v>
      </c>
      <c r="M26" s="59">
        <v>71.805000000000007</v>
      </c>
      <c r="N26" s="59">
        <v>7.6139999999999999</v>
      </c>
      <c r="O26" s="59">
        <v>37.841000000000001</v>
      </c>
      <c r="P26" s="59">
        <v>6.1539999999999999</v>
      </c>
      <c r="Q26" s="177">
        <f t="shared" si="14"/>
        <v>0.20611378037741104</v>
      </c>
      <c r="R26" s="177">
        <f t="shared" si="15"/>
        <v>1.9437877593905963</v>
      </c>
      <c r="S26" s="177">
        <f t="shared" si="16"/>
        <v>0.39111017150709548</v>
      </c>
      <c r="T26" s="243">
        <f t="shared" si="17"/>
        <v>2.4049398765030876</v>
      </c>
      <c r="U26" s="111">
        <v>46022</v>
      </c>
      <c r="V26" s="190" t="s">
        <v>566</v>
      </c>
      <c r="W26" s="239" t="str">
        <f>'16b_Loading by main or catalyst'!H14</f>
        <v>ENV</v>
      </c>
    </row>
    <row r="27" spans="1:23">
      <c r="A27">
        <v>6</v>
      </c>
      <c r="B27" s="1" t="str">
        <f>'16b_Loading by main or catalyst'!A22</f>
        <v>VCPlus</v>
      </c>
      <c r="C27" s="59">
        <v>17.012</v>
      </c>
      <c r="D27" s="59">
        <v>0.69</v>
      </c>
      <c r="E27" s="59">
        <v>0.17</v>
      </c>
      <c r="F27" s="59">
        <v>0.626</v>
      </c>
      <c r="G27" s="59">
        <f t="shared" ref="G27:G34" si="18">E27+F27</f>
        <v>0.79600000000000004</v>
      </c>
      <c r="H27" s="59">
        <v>0</v>
      </c>
      <c r="I27" s="59">
        <v>0</v>
      </c>
      <c r="J27" s="139">
        <v>3.0000000000000001E-3</v>
      </c>
      <c r="K27" s="139">
        <v>3.0000000000000001E-3</v>
      </c>
      <c r="L27" s="176">
        <f>(J27-K27)/K27%</f>
        <v>0</v>
      </c>
      <c r="M27" s="59">
        <v>0.191</v>
      </c>
      <c r="N27" s="59">
        <v>-2.2810000000000001</v>
      </c>
      <c r="O27" s="59">
        <v>1.4710000000000001</v>
      </c>
      <c r="P27" s="59">
        <v>-1.3879999999999999</v>
      </c>
      <c r="Q27" s="177">
        <f t="shared" si="14"/>
        <v>89.068062827225134</v>
      </c>
      <c r="R27" s="177">
        <f t="shared" si="15"/>
        <v>-7.4581323980710215</v>
      </c>
      <c r="S27" s="177">
        <f t="shared" si="16"/>
        <v>11.56492182188987</v>
      </c>
      <c r="T27" s="243">
        <f t="shared" si="17"/>
        <v>-12.256484149855909</v>
      </c>
      <c r="U27" s="111">
        <v>45747</v>
      </c>
      <c r="V27" s="239" t="s">
        <v>566</v>
      </c>
      <c r="W27" s="239" t="str">
        <f>'16b_Loading by main or catalyst'!H22</f>
        <v>43E</v>
      </c>
    </row>
    <row r="28" spans="1:23">
      <c r="A28">
        <v>7</v>
      </c>
      <c r="B28" s="1" t="str">
        <f>'16b_Loading by main or catalyst'!A23</f>
        <v>ZICO Hldgs</v>
      </c>
      <c r="C28" s="59">
        <v>19.707000000000001</v>
      </c>
      <c r="D28" s="59">
        <v>0.18</v>
      </c>
      <c r="E28" s="59">
        <v>8.9359999999999999</v>
      </c>
      <c r="F28" s="59">
        <v>28.536000000000001</v>
      </c>
      <c r="G28" s="59">
        <f t="shared" si="18"/>
        <v>37.472000000000001</v>
      </c>
      <c r="H28" s="59">
        <v>0</v>
      </c>
      <c r="I28" s="59">
        <v>0</v>
      </c>
      <c r="J28" s="139">
        <v>4.8000000000000001E-2</v>
      </c>
      <c r="K28" s="139">
        <v>5.5E-2</v>
      </c>
      <c r="L28" s="176">
        <f>(J28-K28)/K28%</f>
        <v>-12.727272727272725</v>
      </c>
      <c r="M28" s="59">
        <v>14.311999999999999</v>
      </c>
      <c r="N28" s="59">
        <v>3.5489999999999999</v>
      </c>
      <c r="O28" s="59">
        <v>42.195999999999998</v>
      </c>
      <c r="P28" s="59">
        <v>-0.504</v>
      </c>
      <c r="Q28" s="177">
        <f t="shared" si="14"/>
        <v>1.3769564002235888</v>
      </c>
      <c r="R28" s="177">
        <f t="shared" si="15"/>
        <v>5.5528317836010146</v>
      </c>
      <c r="S28" s="177">
        <f t="shared" si="16"/>
        <v>0.46703479002749082</v>
      </c>
      <c r="T28" s="243">
        <f t="shared" si="17"/>
        <v>-39.101190476190474</v>
      </c>
      <c r="U28" s="111">
        <v>45838</v>
      </c>
      <c r="V28" s="239" t="s">
        <v>566</v>
      </c>
      <c r="W28" s="239" t="str">
        <f>'16b_Loading by main or catalyst'!H23</f>
        <v>40W</v>
      </c>
    </row>
    <row r="29" spans="1:23">
      <c r="A29">
        <v>8</v>
      </c>
      <c r="B29" s="1" t="str">
        <f>'16b_Loading by main or catalyst'!A42</f>
        <v>UnUsUaL</v>
      </c>
      <c r="C29" s="59">
        <v>25.553000000000001</v>
      </c>
      <c r="D29" s="59">
        <v>-0.38</v>
      </c>
      <c r="E29" s="59">
        <v>1.8260000000000001</v>
      </c>
      <c r="F29" s="59">
        <v>27.989000000000001</v>
      </c>
      <c r="G29" s="59">
        <f t="shared" si="18"/>
        <v>29.815000000000001</v>
      </c>
      <c r="H29" s="59">
        <v>0</v>
      </c>
      <c r="I29" s="59">
        <v>0</v>
      </c>
      <c r="J29" s="139">
        <v>2.5000000000000001E-2</v>
      </c>
      <c r="K29" s="139">
        <v>3.5999999999999997E-2</v>
      </c>
      <c r="L29" s="176">
        <f>(J29-K29)/K29%</f>
        <v>-30.555555555555546</v>
      </c>
      <c r="M29" s="59">
        <v>53.219000000000001</v>
      </c>
      <c r="N29" s="59">
        <v>-18.574999999999999</v>
      </c>
      <c r="O29" s="59">
        <v>37.47</v>
      </c>
      <c r="P29" s="59">
        <v>4.3730000000000002</v>
      </c>
      <c r="Q29" s="177">
        <f t="shared" si="14"/>
        <v>0.48014806741953064</v>
      </c>
      <c r="R29" s="177">
        <f t="shared" si="15"/>
        <v>-1.3756662180349934</v>
      </c>
      <c r="S29" s="177">
        <f t="shared" si="16"/>
        <v>0.68195890045369634</v>
      </c>
      <c r="T29" s="243">
        <f t="shared" si="17"/>
        <v>5.8433569631831697</v>
      </c>
      <c r="U29" s="111">
        <v>45747</v>
      </c>
      <c r="V29" s="242" t="s">
        <v>566</v>
      </c>
      <c r="W29" s="242" t="s">
        <v>1138</v>
      </c>
    </row>
    <row r="30" spans="1:23">
      <c r="A30">
        <v>9</v>
      </c>
      <c r="B30" s="1" t="str">
        <f>'16b_Loading by main or catalyst'!A4</f>
        <v>Abundante</v>
      </c>
      <c r="C30" s="59">
        <v>15.26</v>
      </c>
      <c r="D30" s="59">
        <v>0.3</v>
      </c>
      <c r="E30" s="59">
        <v>0</v>
      </c>
      <c r="F30" s="59">
        <v>18.64</v>
      </c>
      <c r="G30" s="59">
        <f t="shared" si="18"/>
        <v>18.64</v>
      </c>
      <c r="H30" s="59">
        <v>0</v>
      </c>
      <c r="I30" s="59">
        <v>0</v>
      </c>
      <c r="J30" s="139">
        <v>0.15</v>
      </c>
      <c r="K30" s="139">
        <v>0.16</v>
      </c>
      <c r="L30" s="176">
        <f>(J30-K30)/K30%</f>
        <v>-6.2500000000000053</v>
      </c>
      <c r="M30" s="59">
        <v>7.3259999999999996</v>
      </c>
      <c r="N30" s="59">
        <v>0.78100000000000003</v>
      </c>
      <c r="O30" s="59">
        <v>19.591999999999999</v>
      </c>
      <c r="P30" s="59">
        <v>0.25109999999999999</v>
      </c>
      <c r="Q30" s="177">
        <f t="shared" si="14"/>
        <v>2.0829920829920829</v>
      </c>
      <c r="R30" s="177">
        <f t="shared" si="15"/>
        <v>19.539052496798973</v>
      </c>
      <c r="S30" s="177">
        <f t="shared" si="16"/>
        <v>0.77888934258881182</v>
      </c>
      <c r="T30" s="243">
        <f t="shared" si="17"/>
        <v>60.772600557546795</v>
      </c>
      <c r="U30" s="111">
        <v>45716</v>
      </c>
      <c r="V30" s="190" t="s">
        <v>562</v>
      </c>
      <c r="W30" s="239">
        <f>'16b_Loading by main or catalyst'!H4</f>
        <v>570</v>
      </c>
    </row>
    <row r="31" spans="1:23">
      <c r="A31" s="247">
        <v>10</v>
      </c>
      <c r="B31" s="248" t="str">
        <f>'16b_Loading by main or catalyst'!A5</f>
        <v>A-Smart</v>
      </c>
      <c r="C31" s="249">
        <v>30.318999999999999</v>
      </c>
      <c r="D31" s="249">
        <v>-0.34</v>
      </c>
      <c r="E31" s="249">
        <v>6.8230000000000004</v>
      </c>
      <c r="F31" s="249">
        <v>0</v>
      </c>
      <c r="G31" s="249">
        <f t="shared" si="18"/>
        <v>6.8230000000000004</v>
      </c>
      <c r="H31" s="249">
        <v>0</v>
      </c>
      <c r="I31" s="249">
        <v>0</v>
      </c>
      <c r="J31" s="250">
        <v>0.11</v>
      </c>
      <c r="K31" s="250">
        <v>0.11</v>
      </c>
      <c r="L31" s="251">
        <v>0</v>
      </c>
      <c r="M31" s="249">
        <v>0</v>
      </c>
      <c r="N31" s="249">
        <v>0</v>
      </c>
      <c r="O31" s="249">
        <v>0</v>
      </c>
      <c r="P31" s="249">
        <v>-2.6</v>
      </c>
      <c r="Q31" s="252" t="e">
        <f t="shared" si="14"/>
        <v>#DIV/0!</v>
      </c>
      <c r="R31" s="252" t="e">
        <f t="shared" si="15"/>
        <v>#DIV/0!</v>
      </c>
      <c r="S31" s="252" t="e">
        <f t="shared" si="16"/>
        <v>#DIV/0!</v>
      </c>
      <c r="T31" s="253">
        <f t="shared" si="17"/>
        <v>-11.661153846153846</v>
      </c>
      <c r="U31" s="254">
        <v>45869</v>
      </c>
      <c r="V31" s="255" t="s">
        <v>562</v>
      </c>
      <c r="W31" s="255" t="str">
        <f>'16b_Loading by main or catalyst'!H5</f>
        <v>BQC</v>
      </c>
    </row>
    <row r="32" spans="1:23">
      <c r="A32">
        <v>11</v>
      </c>
      <c r="B32" s="1" t="str">
        <f>'16b_Loading by main or catalyst'!A7</f>
        <v>Chasen</v>
      </c>
      <c r="C32" s="59">
        <v>29.45</v>
      </c>
      <c r="D32" s="59">
        <v>0.28000000000000003</v>
      </c>
      <c r="E32" s="59">
        <v>100.70399999999999</v>
      </c>
      <c r="F32" s="59">
        <v>82.204999999999998</v>
      </c>
      <c r="G32" s="59">
        <f t="shared" si="18"/>
        <v>182.90899999999999</v>
      </c>
      <c r="H32" s="59">
        <v>0</v>
      </c>
      <c r="I32" s="59">
        <v>0</v>
      </c>
      <c r="J32" s="139">
        <v>7.6999999999999999E-2</v>
      </c>
      <c r="K32" s="139">
        <v>8.6999999999999994E-2</v>
      </c>
      <c r="L32" s="176">
        <f>(J32-K32)/K32%</f>
        <v>-11.494252873563214</v>
      </c>
      <c r="M32" s="59">
        <v>116.322</v>
      </c>
      <c r="N32" s="59">
        <v>5.1509999999999998</v>
      </c>
      <c r="O32" s="59">
        <v>205.471</v>
      </c>
      <c r="P32" s="59">
        <v>-53.247</v>
      </c>
      <c r="Q32" s="177">
        <f t="shared" si="14"/>
        <v>0.25317652722614808</v>
      </c>
      <c r="R32" s="177">
        <f t="shared" si="15"/>
        <v>5.7173364395263055</v>
      </c>
      <c r="S32" s="177">
        <f t="shared" si="16"/>
        <v>0.14332922894228381</v>
      </c>
      <c r="T32" s="243">
        <f t="shared" si="17"/>
        <v>-0.5530828027870115</v>
      </c>
      <c r="U32" s="111">
        <v>45747</v>
      </c>
      <c r="V32" s="190" t="s">
        <v>562</v>
      </c>
      <c r="W32" s="239" t="str">
        <f>'16b_Loading by main or catalyst'!H7</f>
        <v>5NV</v>
      </c>
    </row>
    <row r="33" spans="1:23">
      <c r="A33">
        <v>12</v>
      </c>
      <c r="B33" s="1" t="str">
        <f>'16b_Loading by main or catalyst'!A10</f>
        <v>Eneco Energy</v>
      </c>
      <c r="C33" s="59">
        <v>34.207999999999998</v>
      </c>
      <c r="D33" s="59">
        <v>0.66</v>
      </c>
      <c r="E33" s="59">
        <v>9.7579999999999991</v>
      </c>
      <c r="F33" s="59">
        <v>21.838000000000001</v>
      </c>
      <c r="G33" s="59">
        <f t="shared" si="18"/>
        <v>31.596</v>
      </c>
      <c r="H33" s="59">
        <v>0</v>
      </c>
      <c r="I33" s="59">
        <v>0</v>
      </c>
      <c r="J33" s="139">
        <v>8.9999999999999993E-3</v>
      </c>
      <c r="K33" s="139">
        <v>0.01</v>
      </c>
      <c r="L33" s="176">
        <f>(J33-K33)/K33%</f>
        <v>-10.000000000000009</v>
      </c>
      <c r="M33" s="59">
        <v>31.302</v>
      </c>
      <c r="N33" s="59">
        <v>6.5229999999999997</v>
      </c>
      <c r="O33" s="59">
        <v>37.445</v>
      </c>
      <c r="P33" s="59">
        <v>3.3730000000000002</v>
      </c>
      <c r="Q33" s="177">
        <f t="shared" si="14"/>
        <v>1.0928375183694332</v>
      </c>
      <c r="R33" s="177">
        <f t="shared" si="15"/>
        <v>5.2442127855281315</v>
      </c>
      <c r="S33" s="177">
        <f t="shared" si="16"/>
        <v>0.91355321137668577</v>
      </c>
      <c r="T33" s="243">
        <f t="shared" si="17"/>
        <v>10.141713608064038</v>
      </c>
      <c r="U33" s="111">
        <v>45838</v>
      </c>
      <c r="V33" s="190" t="s">
        <v>562</v>
      </c>
      <c r="W33" s="239" t="str">
        <f>'16b_Loading by main or catalyst'!H10</f>
        <v>R14</v>
      </c>
    </row>
    <row r="34" spans="1:23">
      <c r="A34">
        <v>13</v>
      </c>
      <c r="B34" s="1" t="str">
        <f>'16b_Loading by main or catalyst'!A13</f>
        <v>KingsmenCreative</v>
      </c>
      <c r="C34" s="59">
        <v>120.15900000000001</v>
      </c>
      <c r="D34" s="59">
        <v>0.22</v>
      </c>
      <c r="E34" s="59">
        <v>15.468</v>
      </c>
      <c r="F34" s="59">
        <v>124.268</v>
      </c>
      <c r="G34" s="59">
        <f t="shared" si="18"/>
        <v>139.73599999999999</v>
      </c>
      <c r="H34" s="59">
        <v>8.5</v>
      </c>
      <c r="I34" s="59">
        <v>5.04</v>
      </c>
      <c r="J34" s="139">
        <v>0.59499999999999997</v>
      </c>
      <c r="K34" s="139">
        <v>0.5</v>
      </c>
      <c r="L34" s="176">
        <f>(J34-K34)/K34%</f>
        <v>18.999999999999993</v>
      </c>
      <c r="M34" s="59">
        <v>372.54399999999998</v>
      </c>
      <c r="N34" s="59">
        <v>23.413</v>
      </c>
      <c r="O34" s="59">
        <v>284.75400000000002</v>
      </c>
      <c r="P34" s="59">
        <v>27.541</v>
      </c>
      <c r="Q34" s="177">
        <f t="shared" si="14"/>
        <v>0.32253639838515724</v>
      </c>
      <c r="R34" s="177">
        <f t="shared" si="15"/>
        <v>5.1321488062187672</v>
      </c>
      <c r="S34" s="177">
        <f t="shared" si="16"/>
        <v>0.42197475715881078</v>
      </c>
      <c r="T34" s="243">
        <f t="shared" si="17"/>
        <v>4.3629134744562652</v>
      </c>
      <c r="U34" s="111">
        <v>46022</v>
      </c>
      <c r="V34" s="190" t="s">
        <v>562</v>
      </c>
      <c r="W34" s="239" t="str">
        <f>'16b_Loading by main or catalyst'!H13</f>
        <v>5MZ</v>
      </c>
    </row>
    <row r="36" spans="1:23">
      <c r="B36" s="187" t="s">
        <v>2149</v>
      </c>
      <c r="C36" s="32"/>
      <c r="D36" s="188">
        <v>46022</v>
      </c>
    </row>
    <row r="37" spans="1:23">
      <c r="A37" s="21" t="s">
        <v>560</v>
      </c>
      <c r="B37" s="55" t="s">
        <v>2150</v>
      </c>
      <c r="D37">
        <v>0.24</v>
      </c>
    </row>
    <row r="38" spans="1:23">
      <c r="A38" s="21" t="s">
        <v>1708</v>
      </c>
      <c r="B38" s="55" t="s">
        <v>2151</v>
      </c>
      <c r="D38">
        <v>0.32</v>
      </c>
    </row>
    <row r="42" spans="1:23">
      <c r="B42" t="s">
        <v>2448</v>
      </c>
    </row>
    <row r="43" spans="1:23">
      <c r="B43" t="s">
        <v>2449</v>
      </c>
    </row>
    <row r="44" spans="1:23">
      <c r="B44" t="s">
        <v>2450</v>
      </c>
    </row>
    <row r="45" spans="1:23">
      <c r="B45" t="s">
        <v>2451</v>
      </c>
    </row>
    <row r="46" spans="1:23">
      <c r="B46" t="s">
        <v>2452</v>
      </c>
    </row>
    <row r="47" spans="1:23">
      <c r="B47" t="s">
        <v>2453</v>
      </c>
    </row>
    <row r="48" spans="1:23">
      <c r="B48" t="s">
        <v>2454</v>
      </c>
    </row>
    <row r="50" spans="2:2">
      <c r="B50" t="s">
        <v>256</v>
      </c>
    </row>
    <row r="51" spans="2:2">
      <c r="B51" t="s">
        <v>2455</v>
      </c>
    </row>
    <row r="52" spans="2:2">
      <c r="B52" t="s">
        <v>2456</v>
      </c>
    </row>
    <row r="53" spans="2:2">
      <c r="B53" t="s">
        <v>2457</v>
      </c>
    </row>
    <row r="54" spans="2:2">
      <c r="B54" t="s">
        <v>2458</v>
      </c>
    </row>
    <row r="55" spans="2:2">
      <c r="B55" t="s">
        <v>2459</v>
      </c>
    </row>
    <row r="56" spans="2:2">
      <c r="B56" t="s">
        <v>2460</v>
      </c>
    </row>
  </sheetData>
  <mergeCells count="17">
    <mergeCell ref="G3:H3"/>
    <mergeCell ref="G4:H4"/>
    <mergeCell ref="B7:H7"/>
    <mergeCell ref="I2:J2"/>
    <mergeCell ref="I3:J3"/>
    <mergeCell ref="I4:J4"/>
    <mergeCell ref="B5:D5"/>
    <mergeCell ref="E5:F5"/>
    <mergeCell ref="G5:H5"/>
    <mergeCell ref="B2:D2"/>
    <mergeCell ref="B3:D3"/>
    <mergeCell ref="B4:D4"/>
    <mergeCell ref="E2:F2"/>
    <mergeCell ref="E3:F3"/>
    <mergeCell ref="E4:F4"/>
    <mergeCell ref="I5:J5"/>
    <mergeCell ref="G2:H2"/>
  </mergeCells>
  <conditionalFormatting sqref="B10:B14 A36:A38">
    <cfRule type="containsText" dxfId="3" priority="6" operator="containsText" text="hyperlink">
      <formula>NOT(ISERROR(SEARCH("hyperlink",A10)))</formula>
    </cfRule>
  </conditionalFormatting>
  <conditionalFormatting sqref="B16:B34">
    <cfRule type="containsText" dxfId="2" priority="1" operator="containsText" text="hyperlink">
      <formula>NOT(ISERROR(SEARCH("hyperlink",B16)))</formula>
    </cfRule>
  </conditionalFormatting>
  <hyperlinks>
    <hyperlink ref="B27" r:id="rId1" tooltip="Amcorp Global" display="https://investors.sgx.com/market/securities?code=S9B&amp;type=stocks&amp;lang=en" xr:uid="{64BBB579-1A64-433E-867A-ABE82122EE49}"/>
    <hyperlink ref="B28" r:id="rId2" tooltip="Aspen" display="https://investors.sgx.com/market/securities?code=1F3&amp;type=stocks&amp;lang=en" xr:uid="{B252DEAC-5685-491D-B501-096AC968BEAB}"/>
    <hyperlink ref="B30" r:id="rId3" tooltip="Bukit Sembawang" display="https://investors.sgx.com/market/securities?code=B61&amp;type=stocks&amp;lang=en" xr:uid="{4F02D773-66E2-4F73-96A4-D7CE69C14CA2}"/>
    <hyperlink ref="B22" r:id="rId4" tooltip="Astaka" display="https://investors.sgx.com/market/securities?code=42S&amp;type=stocks&amp;lang=en" xr:uid="{B4ADEF8A-6CE1-4A14-9F77-0A5518B25B51}"/>
    <hyperlink ref="B24" r:id="rId5" tooltip="Figtree" display="https://investors.sgx.com/market/securities?code=5F4&amp;type=stocks&amp;lang=en" xr:uid="{7920E89B-7D23-48DD-86F8-3D8AEA118CC2}"/>
    <hyperlink ref="B25" r:id="rId6" tooltip="Hatten Land" display="https://investors.sgx.com/market/securities?code=PH0&amp;type=stocks&amp;lang=en" xr:uid="{BCA12D79-DECF-47C3-89C8-8D4738736CF2}"/>
    <hyperlink ref="B26" r:id="rId7" tooltip="Ho Bee Land" display="https://investors.sgx.com/market/securities?code=H13&amp;type=stocks&amp;lang=en" xr:uid="{EE119760-BC54-4E2F-955E-2B4BCFDB6240}"/>
    <hyperlink ref="B23" r:id="rId8" tooltip="Capital World" display="https://investors.sgx.com/market/securities?code=1D5&amp;type=stocks&amp;lang=en" xr:uid="{26EE9E1B-FF16-484F-8388-8B0CD096C9A7}"/>
    <hyperlink ref="B10:B13" r:id="rId9" tooltip="Bukit Sembawang" display="https://investors.sgx.com/market/securities?code=B61&amp;type=stocks&amp;lang=en" xr:uid="{E2FDCA9F-6222-4DB3-B0A1-7BC5544EC049}"/>
    <hyperlink ref="B14" r:id="rId10" tooltip="Bukit Sembawang" display="https://investors.sgx.com/market/securities?code=B61&amp;type=stocks&amp;lang=en" xr:uid="{8D61F000-F054-481A-9DCB-EB9862DDC55D}"/>
    <hyperlink ref="B16" r:id="rId11" tooltip="CapitaLandInvest" display="https://investors.sgx.com/market/securities?code=9CI&amp;type=stocks&amp;lang=en" xr:uid="{7EB16B62-EA4B-43A3-9171-96EB96ED62B5}"/>
    <hyperlink ref="B17" r:id="rId12" tooltip="ComfortDelGro" display="https://investors.sgx.com/market/securities?code=C52&amp;type=stocks&amp;lang=en" xr:uid="{090DFFC5-58E2-4144-AA50-588A3CE442EF}"/>
    <hyperlink ref="B18" r:id="rId13" tooltip="Frasers Property" display="https://investors.sgx.com/market/securities?code=TQ5&amp;type=stocks&amp;lang=en" xr:uid="{93E4C61B-C0DF-4148-9478-0B30046FBC56}"/>
    <hyperlink ref="B19" r:id="rId14" tooltip="Raffles Edu" display="https://investors.sgx.com/market/securities?code=NR7&amp;type=stocks&amp;lang=en" xr:uid="{8C887DFD-F2C5-4B78-9F45-C21AB1609E72}"/>
    <hyperlink ref="B29" r:id="rId15" tooltip="UnUsUaL" display="https://investors.sgx.com/market/securities?code=1D1&amp;type=stocks&amp;lang=en" xr:uid="{4ACA048F-B7D3-4884-8C28-7A7359DA5A7B}"/>
  </hyperlinks>
  <pageMargins left="0.7" right="0.7" top="0.75" bottom="0.75" header="0.3" footer="0.3"/>
  <pageSetup orientation="portrait" r:id="rId1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C9D4C-30CB-497F-854E-845E1B6E4D7A}">
  <dimension ref="A1:I311"/>
  <sheetViews>
    <sheetView topLeftCell="A22" workbookViewId="0">
      <selection activeCell="A36" sqref="A36:XFD36"/>
    </sheetView>
  </sheetViews>
  <sheetFormatPr defaultRowHeight="14.4"/>
  <cols>
    <col min="1" max="1" width="20" customWidth="1"/>
    <col min="2" max="2" width="22.6640625" customWidth="1"/>
    <col min="3" max="3" width="18.21875" customWidth="1"/>
    <col min="4" max="4" width="15.44140625" customWidth="1"/>
    <col min="5" max="5" width="28.77734375" customWidth="1"/>
    <col min="6" max="6" width="45.21875" customWidth="1"/>
    <col min="7" max="7" width="10.44140625" customWidth="1"/>
    <col min="9" max="9" width="11.6640625" customWidth="1"/>
  </cols>
  <sheetData>
    <row r="1" spans="1:9">
      <c r="A1" t="s">
        <v>2142</v>
      </c>
    </row>
    <row r="3" spans="1:9" ht="28.8">
      <c r="A3" s="178" t="s">
        <v>1464</v>
      </c>
      <c r="B3" s="178" t="s">
        <v>2107</v>
      </c>
      <c r="C3" s="178" t="s">
        <v>1465</v>
      </c>
      <c r="D3" s="178" t="s">
        <v>561</v>
      </c>
      <c r="E3" s="178" t="s">
        <v>571</v>
      </c>
      <c r="F3" s="178" t="s">
        <v>2088</v>
      </c>
      <c r="G3" s="178" t="s">
        <v>623</v>
      </c>
      <c r="H3" s="178" t="s">
        <v>637</v>
      </c>
      <c r="I3" s="226" t="s">
        <v>2444</v>
      </c>
    </row>
    <row r="4" spans="1:9">
      <c r="A4" s="1" t="s">
        <v>376</v>
      </c>
      <c r="B4" t="s">
        <v>560</v>
      </c>
      <c r="C4" t="s">
        <v>562</v>
      </c>
      <c r="D4" t="s">
        <v>577</v>
      </c>
      <c r="E4" t="s">
        <v>578</v>
      </c>
      <c r="F4" t="s">
        <v>2420</v>
      </c>
      <c r="G4" t="s">
        <v>618</v>
      </c>
      <c r="H4" s="239">
        <v>570</v>
      </c>
      <c r="I4">
        <v>17.3</v>
      </c>
    </row>
    <row r="5" spans="1:9">
      <c r="A5" s="1" t="s">
        <v>365</v>
      </c>
      <c r="B5" t="s">
        <v>560</v>
      </c>
      <c r="C5" t="s">
        <v>562</v>
      </c>
      <c r="D5" t="s">
        <v>577</v>
      </c>
      <c r="E5" t="s">
        <v>609</v>
      </c>
      <c r="F5" t="s">
        <v>2421</v>
      </c>
      <c r="G5" t="s">
        <v>618</v>
      </c>
      <c r="H5" s="239" t="s">
        <v>675</v>
      </c>
      <c r="I5">
        <v>29.78</v>
      </c>
    </row>
    <row r="6" spans="1:9">
      <c r="A6" s="1" t="s">
        <v>349</v>
      </c>
      <c r="B6" t="s">
        <v>560</v>
      </c>
      <c r="C6" t="s">
        <v>566</v>
      </c>
      <c r="D6" t="s">
        <v>577</v>
      </c>
      <c r="E6" t="s">
        <v>614</v>
      </c>
      <c r="F6" t="s">
        <v>2423</v>
      </c>
      <c r="G6" t="s">
        <v>618</v>
      </c>
      <c r="H6" s="239" t="s">
        <v>684</v>
      </c>
      <c r="I6">
        <v>58.17</v>
      </c>
    </row>
    <row r="7" spans="1:9">
      <c r="A7" s="1" t="s">
        <v>334</v>
      </c>
      <c r="B7" t="s">
        <v>560</v>
      </c>
      <c r="C7" t="s">
        <v>562</v>
      </c>
      <c r="D7" t="s">
        <v>577</v>
      </c>
      <c r="E7" t="s">
        <v>610</v>
      </c>
      <c r="F7" t="s">
        <v>2424</v>
      </c>
      <c r="G7" t="s">
        <v>618</v>
      </c>
      <c r="H7" s="239" t="s">
        <v>716</v>
      </c>
      <c r="I7">
        <v>31.36</v>
      </c>
    </row>
    <row r="8" spans="1:9">
      <c r="A8" s="1" t="s">
        <v>44</v>
      </c>
      <c r="B8" t="s">
        <v>560</v>
      </c>
      <c r="C8" t="s">
        <v>562</v>
      </c>
      <c r="D8" t="s">
        <v>577</v>
      </c>
      <c r="E8" t="s">
        <v>610</v>
      </c>
      <c r="F8" t="s">
        <v>2425</v>
      </c>
      <c r="G8" t="s">
        <v>618</v>
      </c>
      <c r="H8" s="239" t="s">
        <v>1202</v>
      </c>
      <c r="I8">
        <v>532.94000000000005</v>
      </c>
    </row>
    <row r="9" spans="1:9">
      <c r="A9" s="1" t="s">
        <v>108</v>
      </c>
      <c r="B9" t="s">
        <v>560</v>
      </c>
      <c r="C9" t="s">
        <v>566</v>
      </c>
      <c r="D9" t="s">
        <v>577</v>
      </c>
      <c r="E9" t="s">
        <v>609</v>
      </c>
      <c r="F9" t="s">
        <v>2426</v>
      </c>
      <c r="G9" t="s">
        <v>618</v>
      </c>
      <c r="H9" s="239" t="s">
        <v>762</v>
      </c>
      <c r="I9">
        <v>43</v>
      </c>
    </row>
    <row r="10" spans="1:9">
      <c r="A10" s="1" t="s">
        <v>211</v>
      </c>
      <c r="B10" t="s">
        <v>560</v>
      </c>
      <c r="C10" t="s">
        <v>562</v>
      </c>
      <c r="D10" t="s">
        <v>577</v>
      </c>
      <c r="E10" t="s">
        <v>610</v>
      </c>
      <c r="F10" t="s">
        <v>2427</v>
      </c>
      <c r="G10" t="s">
        <v>618</v>
      </c>
      <c r="H10" s="239" t="s">
        <v>778</v>
      </c>
      <c r="I10">
        <v>34.21</v>
      </c>
    </row>
    <row r="11" spans="1:9">
      <c r="A11" s="1" t="s">
        <v>173</v>
      </c>
      <c r="B11" t="s">
        <v>560</v>
      </c>
      <c r="C11" t="s">
        <v>566</v>
      </c>
      <c r="D11" t="s">
        <v>577</v>
      </c>
      <c r="E11" t="s">
        <v>610</v>
      </c>
      <c r="F11" t="s">
        <v>2428</v>
      </c>
      <c r="G11" t="s">
        <v>618</v>
      </c>
      <c r="H11" s="239">
        <v>595</v>
      </c>
      <c r="I11">
        <v>72.12</v>
      </c>
    </row>
    <row r="12" spans="1:9">
      <c r="A12" s="1" t="s">
        <v>294</v>
      </c>
      <c r="B12" t="s">
        <v>560</v>
      </c>
      <c r="C12" t="s">
        <v>566</v>
      </c>
      <c r="D12" t="s">
        <v>577</v>
      </c>
      <c r="E12" t="s">
        <v>578</v>
      </c>
      <c r="F12" t="s">
        <v>2429</v>
      </c>
      <c r="G12" t="s">
        <v>618</v>
      </c>
      <c r="H12" s="239" t="s">
        <v>843</v>
      </c>
      <c r="I12">
        <v>34.909999999999997</v>
      </c>
    </row>
    <row r="13" spans="1:9" ht="72">
      <c r="A13" s="1" t="s">
        <v>106</v>
      </c>
      <c r="B13" t="s">
        <v>560</v>
      </c>
      <c r="C13" t="s">
        <v>562</v>
      </c>
      <c r="D13" t="s">
        <v>577</v>
      </c>
      <c r="E13" t="s">
        <v>614</v>
      </c>
      <c r="F13" s="37" t="s">
        <v>2430</v>
      </c>
      <c r="G13" t="s">
        <v>618</v>
      </c>
      <c r="H13" s="239" t="s">
        <v>902</v>
      </c>
      <c r="I13">
        <v>112.04</v>
      </c>
    </row>
    <row r="14" spans="1:9">
      <c r="A14" s="1" t="s">
        <v>468</v>
      </c>
      <c r="B14" t="s">
        <v>560</v>
      </c>
      <c r="C14" t="s">
        <v>566</v>
      </c>
      <c r="D14" t="s">
        <v>577</v>
      </c>
      <c r="E14" t="s">
        <v>609</v>
      </c>
      <c r="F14" t="s">
        <v>2432</v>
      </c>
      <c r="G14" t="s">
        <v>618</v>
      </c>
      <c r="H14" s="239" t="s">
        <v>922</v>
      </c>
      <c r="I14">
        <v>12.95</v>
      </c>
    </row>
    <row r="15" spans="1:9">
      <c r="A15" s="1" t="s">
        <v>478</v>
      </c>
      <c r="B15" t="s">
        <v>560</v>
      </c>
      <c r="C15" t="s">
        <v>566</v>
      </c>
      <c r="D15" t="s">
        <v>577</v>
      </c>
      <c r="E15" t="s">
        <v>609</v>
      </c>
      <c r="F15" t="s">
        <v>2433</v>
      </c>
      <c r="G15" t="s">
        <v>618</v>
      </c>
      <c r="H15" s="239" t="s">
        <v>948</v>
      </c>
      <c r="I15">
        <v>5.26</v>
      </c>
    </row>
    <row r="16" spans="1:9">
      <c r="A16" s="1" t="s">
        <v>22</v>
      </c>
      <c r="B16" t="s">
        <v>560</v>
      </c>
      <c r="C16" t="s">
        <v>562</v>
      </c>
      <c r="D16" t="s">
        <v>577</v>
      </c>
      <c r="E16" t="s">
        <v>1048</v>
      </c>
      <c r="F16" t="s">
        <v>2434</v>
      </c>
      <c r="G16" t="s">
        <v>618</v>
      </c>
      <c r="H16" s="239" t="s">
        <v>1049</v>
      </c>
      <c r="I16">
        <v>5480</v>
      </c>
    </row>
    <row r="17" spans="1:9">
      <c r="A17" s="1" t="s">
        <v>13</v>
      </c>
      <c r="B17" t="s">
        <v>560</v>
      </c>
      <c r="C17" t="s">
        <v>562</v>
      </c>
      <c r="D17" t="s">
        <v>577</v>
      </c>
      <c r="E17" t="s">
        <v>1067</v>
      </c>
      <c r="F17" t="s">
        <v>2435</v>
      </c>
      <c r="G17" t="s">
        <v>618</v>
      </c>
      <c r="H17" s="239" t="s">
        <v>1066</v>
      </c>
      <c r="I17">
        <v>21380</v>
      </c>
    </row>
    <row r="18" spans="1:9">
      <c r="A18" s="1" t="s">
        <v>66</v>
      </c>
      <c r="B18" t="s">
        <v>560</v>
      </c>
      <c r="C18" t="s">
        <v>562</v>
      </c>
      <c r="D18" t="s">
        <v>577</v>
      </c>
      <c r="E18" t="s">
        <v>1048</v>
      </c>
      <c r="F18" t="s">
        <v>2436</v>
      </c>
      <c r="G18" t="s">
        <v>618</v>
      </c>
      <c r="H18" s="239" t="s">
        <v>1068</v>
      </c>
      <c r="I18">
        <v>3760</v>
      </c>
    </row>
    <row r="19" spans="1:9" ht="86.4">
      <c r="A19" s="1" t="s">
        <v>3</v>
      </c>
      <c r="B19" t="s">
        <v>560</v>
      </c>
      <c r="C19" t="s">
        <v>562</v>
      </c>
      <c r="D19" t="s">
        <v>577</v>
      </c>
      <c r="E19" t="s">
        <v>610</v>
      </c>
      <c r="F19" s="37" t="s">
        <v>2437</v>
      </c>
      <c r="G19" t="s">
        <v>618</v>
      </c>
      <c r="H19" s="239" t="s">
        <v>1078</v>
      </c>
      <c r="I19">
        <v>810.46</v>
      </c>
    </row>
    <row r="20" spans="1:9">
      <c r="A20" s="1" t="s">
        <v>305</v>
      </c>
      <c r="B20" t="s">
        <v>560</v>
      </c>
      <c r="C20" t="s">
        <v>562</v>
      </c>
      <c r="D20" t="s">
        <v>577</v>
      </c>
      <c r="E20" t="s">
        <v>609</v>
      </c>
      <c r="F20" t="s">
        <v>2438</v>
      </c>
      <c r="G20" t="s">
        <v>618</v>
      </c>
      <c r="H20" s="239" t="s">
        <v>1087</v>
      </c>
      <c r="I20">
        <v>27.57</v>
      </c>
    </row>
    <row r="21" spans="1:9">
      <c r="A21" s="1" t="s">
        <v>549</v>
      </c>
      <c r="B21" t="s">
        <v>2447</v>
      </c>
      <c r="C21" t="s">
        <v>566</v>
      </c>
      <c r="D21" t="s">
        <v>577</v>
      </c>
      <c r="E21" t="s">
        <v>609</v>
      </c>
      <c r="F21" t="s">
        <v>2440</v>
      </c>
      <c r="G21" t="s">
        <v>618</v>
      </c>
      <c r="H21" s="239" t="s">
        <v>1146</v>
      </c>
      <c r="I21">
        <v>3.71</v>
      </c>
    </row>
    <row r="22" spans="1:9">
      <c r="A22" s="1" t="s">
        <v>551</v>
      </c>
      <c r="B22" t="s">
        <v>560</v>
      </c>
      <c r="C22" t="s">
        <v>566</v>
      </c>
      <c r="D22" t="s">
        <v>577</v>
      </c>
      <c r="E22" t="s">
        <v>614</v>
      </c>
      <c r="F22" t="s">
        <v>2441</v>
      </c>
      <c r="G22" t="s">
        <v>618</v>
      </c>
      <c r="H22" s="239" t="s">
        <v>1150</v>
      </c>
      <c r="I22">
        <v>17.010000000000002</v>
      </c>
    </row>
    <row r="23" spans="1:9" ht="57.6">
      <c r="A23" s="1" t="s">
        <v>559</v>
      </c>
      <c r="B23" t="s">
        <v>560</v>
      </c>
      <c r="C23" t="s">
        <v>566</v>
      </c>
      <c r="D23" t="s">
        <v>577</v>
      </c>
      <c r="E23" t="s">
        <v>609</v>
      </c>
      <c r="F23" s="37" t="s">
        <v>2443</v>
      </c>
      <c r="G23" t="s">
        <v>618</v>
      </c>
      <c r="H23" s="239" t="s">
        <v>1187</v>
      </c>
      <c r="I23">
        <v>29.56</v>
      </c>
    </row>
    <row r="24" spans="1:9">
      <c r="A24" s="1" t="s">
        <v>151</v>
      </c>
      <c r="B24" t="s">
        <v>560</v>
      </c>
      <c r="C24" t="s">
        <v>562</v>
      </c>
      <c r="D24" t="s">
        <v>594</v>
      </c>
      <c r="E24" t="s">
        <v>595</v>
      </c>
      <c r="F24" t="s">
        <v>2112</v>
      </c>
      <c r="G24" t="s">
        <v>618</v>
      </c>
      <c r="H24" s="174" t="s">
        <v>1163</v>
      </c>
    </row>
    <row r="26" spans="1:9">
      <c r="A26" s="1" t="s">
        <v>14</v>
      </c>
      <c r="B26" t="s">
        <v>560</v>
      </c>
      <c r="C26" t="s">
        <v>562</v>
      </c>
      <c r="D26" t="s">
        <v>2496</v>
      </c>
      <c r="E26" t="s">
        <v>2497</v>
      </c>
      <c r="F26" t="s">
        <v>2471</v>
      </c>
      <c r="G26" t="s">
        <v>618</v>
      </c>
      <c r="H26" s="240" t="s">
        <v>707</v>
      </c>
      <c r="I26" s="139">
        <v>15010</v>
      </c>
    </row>
    <row r="27" spans="1:9">
      <c r="A27" s="1" t="s">
        <v>17</v>
      </c>
      <c r="B27" t="s">
        <v>560</v>
      </c>
      <c r="C27" t="s">
        <v>562</v>
      </c>
      <c r="D27" t="s">
        <v>2495</v>
      </c>
      <c r="E27" t="s">
        <v>2488</v>
      </c>
      <c r="F27" t="s">
        <v>2474</v>
      </c>
      <c r="G27" t="s">
        <v>618</v>
      </c>
      <c r="H27" s="240" t="s">
        <v>745</v>
      </c>
      <c r="I27" s="139">
        <v>3230</v>
      </c>
    </row>
    <row r="28" spans="1:9">
      <c r="A28" s="1" t="s">
        <v>44</v>
      </c>
      <c r="B28" t="s">
        <v>560</v>
      </c>
      <c r="C28" t="s">
        <v>562</v>
      </c>
      <c r="D28" t="s">
        <v>577</v>
      </c>
      <c r="E28" t="s">
        <v>610</v>
      </c>
      <c r="F28" t="s">
        <v>2479</v>
      </c>
      <c r="G28" t="s">
        <v>618</v>
      </c>
      <c r="H28" s="240" t="s">
        <v>1202</v>
      </c>
      <c r="I28" s="139">
        <v>532.94000000000005</v>
      </c>
    </row>
    <row r="29" spans="1:9">
      <c r="A29" s="1" t="s">
        <v>119</v>
      </c>
      <c r="B29" t="s">
        <v>560</v>
      </c>
      <c r="C29" t="s">
        <v>562</v>
      </c>
      <c r="D29" t="s">
        <v>594</v>
      </c>
      <c r="E29" t="s">
        <v>596</v>
      </c>
      <c r="F29" t="s">
        <v>2470</v>
      </c>
      <c r="G29" t="s">
        <v>618</v>
      </c>
      <c r="H29" s="240" t="s">
        <v>797</v>
      </c>
      <c r="I29" s="139">
        <v>4040</v>
      </c>
    </row>
    <row r="30" spans="1:9">
      <c r="A30" s="1" t="s">
        <v>10</v>
      </c>
      <c r="B30" t="s">
        <v>560</v>
      </c>
      <c r="C30" t="s">
        <v>562</v>
      </c>
      <c r="D30" t="s">
        <v>2493</v>
      </c>
      <c r="E30" t="s">
        <v>2494</v>
      </c>
      <c r="F30" t="s">
        <v>2473</v>
      </c>
      <c r="G30" t="s">
        <v>618</v>
      </c>
      <c r="H30" s="240" t="s">
        <v>898</v>
      </c>
      <c r="I30" s="139">
        <v>22470</v>
      </c>
    </row>
    <row r="31" spans="1:9" ht="28.8">
      <c r="A31" s="1" t="s">
        <v>106</v>
      </c>
      <c r="B31" t="s">
        <v>560</v>
      </c>
      <c r="C31" t="s">
        <v>562</v>
      </c>
      <c r="D31" t="s">
        <v>577</v>
      </c>
      <c r="E31" t="s">
        <v>614</v>
      </c>
      <c r="F31" s="37" t="s">
        <v>2464</v>
      </c>
      <c r="G31" t="s">
        <v>618</v>
      </c>
      <c r="H31" s="240" t="s">
        <v>902</v>
      </c>
      <c r="I31" s="139">
        <v>112.04</v>
      </c>
    </row>
    <row r="32" spans="1:9">
      <c r="A32" s="1" t="s">
        <v>162</v>
      </c>
      <c r="B32" t="s">
        <v>560</v>
      </c>
      <c r="C32" t="s">
        <v>562</v>
      </c>
      <c r="D32" t="s">
        <v>594</v>
      </c>
      <c r="E32" t="s">
        <v>596</v>
      </c>
      <c r="F32" t="s">
        <v>2469</v>
      </c>
      <c r="G32" t="s">
        <v>618</v>
      </c>
      <c r="H32" s="240" t="s">
        <v>999</v>
      </c>
      <c r="I32" s="139">
        <v>1</v>
      </c>
    </row>
    <row r="33" spans="1:9">
      <c r="A33" s="1" t="s">
        <v>99</v>
      </c>
      <c r="B33" t="s">
        <v>560</v>
      </c>
      <c r="C33" t="s">
        <v>562</v>
      </c>
      <c r="D33" t="s">
        <v>575</v>
      </c>
      <c r="E33" t="s">
        <v>780</v>
      </c>
      <c r="F33" t="s">
        <v>2480</v>
      </c>
      <c r="G33" t="s">
        <v>618</v>
      </c>
      <c r="H33" s="240" t="s">
        <v>1010</v>
      </c>
      <c r="I33" s="139">
        <v>972.95</v>
      </c>
    </row>
    <row r="34" spans="1:9">
      <c r="A34" s="1" t="s">
        <v>135</v>
      </c>
      <c r="B34" t="s">
        <v>560</v>
      </c>
      <c r="C34" t="s">
        <v>562</v>
      </c>
      <c r="D34" t="s">
        <v>2491</v>
      </c>
      <c r="E34" t="s">
        <v>2492</v>
      </c>
      <c r="F34" t="s">
        <v>2466</v>
      </c>
      <c r="G34" t="s">
        <v>618</v>
      </c>
      <c r="H34" s="240" t="s">
        <v>1031</v>
      </c>
      <c r="I34" s="139">
        <v>238.49</v>
      </c>
    </row>
    <row r="35" spans="1:9">
      <c r="A35" s="1" t="s">
        <v>85</v>
      </c>
      <c r="B35" t="s">
        <v>560</v>
      </c>
      <c r="C35" t="s">
        <v>562</v>
      </c>
      <c r="D35" t="s">
        <v>2487</v>
      </c>
      <c r="E35" t="s">
        <v>2488</v>
      </c>
      <c r="F35" t="s">
        <v>2478</v>
      </c>
      <c r="G35" t="s">
        <v>620</v>
      </c>
      <c r="H35" s="240" t="s">
        <v>1043</v>
      </c>
      <c r="I35" s="139">
        <v>613.36</v>
      </c>
    </row>
    <row r="36" spans="1:9">
      <c r="A36" s="1" t="s">
        <v>22</v>
      </c>
      <c r="B36" t="s">
        <v>560</v>
      </c>
      <c r="C36" t="s">
        <v>562</v>
      </c>
      <c r="D36" t="s">
        <v>577</v>
      </c>
      <c r="E36" t="s">
        <v>1048</v>
      </c>
      <c r="F36" t="s">
        <v>2475</v>
      </c>
      <c r="G36" t="s">
        <v>618</v>
      </c>
      <c r="H36" s="240" t="s">
        <v>1049</v>
      </c>
      <c r="I36" s="139">
        <v>5480</v>
      </c>
    </row>
    <row r="37" spans="1:9">
      <c r="A37" s="1" t="s">
        <v>13</v>
      </c>
      <c r="B37" t="s">
        <v>560</v>
      </c>
      <c r="C37" t="s">
        <v>562</v>
      </c>
      <c r="D37" t="s">
        <v>577</v>
      </c>
      <c r="E37" t="s">
        <v>1067</v>
      </c>
      <c r="F37" t="s">
        <v>2467</v>
      </c>
      <c r="G37" t="s">
        <v>618</v>
      </c>
      <c r="H37" s="240" t="s">
        <v>1066</v>
      </c>
      <c r="I37" s="139">
        <v>21380</v>
      </c>
    </row>
    <row r="38" spans="1:9">
      <c r="A38" s="1" t="s">
        <v>66</v>
      </c>
      <c r="B38" t="s">
        <v>560</v>
      </c>
      <c r="C38" t="s">
        <v>562</v>
      </c>
      <c r="D38" t="s">
        <v>577</v>
      </c>
      <c r="E38" t="s">
        <v>1048</v>
      </c>
      <c r="F38" t="s">
        <v>2476</v>
      </c>
      <c r="G38" t="s">
        <v>618</v>
      </c>
      <c r="H38" s="240" t="s">
        <v>1068</v>
      </c>
      <c r="I38" s="139">
        <v>3760</v>
      </c>
    </row>
    <row r="39" spans="1:9">
      <c r="A39" s="1" t="s">
        <v>84</v>
      </c>
      <c r="B39" t="s">
        <v>560</v>
      </c>
      <c r="C39" t="s">
        <v>562</v>
      </c>
      <c r="D39" t="s">
        <v>594</v>
      </c>
      <c r="E39" t="s">
        <v>596</v>
      </c>
      <c r="F39" t="s">
        <v>2472</v>
      </c>
      <c r="G39" t="s">
        <v>618</v>
      </c>
      <c r="H39" s="240" t="s">
        <v>1076</v>
      </c>
      <c r="I39" s="139">
        <v>5290</v>
      </c>
    </row>
    <row r="40" spans="1:9">
      <c r="A40" s="1" t="s">
        <v>98</v>
      </c>
      <c r="B40" t="s">
        <v>560</v>
      </c>
      <c r="C40" t="s">
        <v>562</v>
      </c>
      <c r="D40" t="s">
        <v>594</v>
      </c>
      <c r="E40" t="s">
        <v>702</v>
      </c>
      <c r="F40" t="s">
        <v>2482</v>
      </c>
      <c r="G40" t="s">
        <v>618</v>
      </c>
      <c r="H40" s="240" t="s">
        <v>1077</v>
      </c>
      <c r="I40" s="139">
        <v>266.66000000000003</v>
      </c>
    </row>
    <row r="41" spans="1:9">
      <c r="A41" s="1" t="s">
        <v>8</v>
      </c>
      <c r="B41" t="s">
        <v>560</v>
      </c>
      <c r="C41" t="s">
        <v>562</v>
      </c>
      <c r="D41" t="s">
        <v>2485</v>
      </c>
      <c r="E41" t="s">
        <v>2486</v>
      </c>
      <c r="F41" t="s">
        <v>2477</v>
      </c>
      <c r="G41" t="s">
        <v>618</v>
      </c>
      <c r="H41" s="240" t="s">
        <v>1096</v>
      </c>
      <c r="I41" s="139">
        <v>31950</v>
      </c>
    </row>
    <row r="42" spans="1:9">
      <c r="A42" s="1" t="s">
        <v>547</v>
      </c>
      <c r="B42" t="s">
        <v>560</v>
      </c>
      <c r="C42" t="s">
        <v>566</v>
      </c>
      <c r="D42" t="s">
        <v>2483</v>
      </c>
      <c r="E42" t="s">
        <v>2484</v>
      </c>
      <c r="F42" t="s">
        <v>2465</v>
      </c>
      <c r="G42" t="s">
        <v>618</v>
      </c>
      <c r="H42" s="240" t="s">
        <v>1138</v>
      </c>
      <c r="I42" s="139">
        <v>29.59</v>
      </c>
    </row>
    <row r="43" spans="1:9">
      <c r="A43" s="116"/>
    </row>
    <row r="45" spans="1:9" ht="18">
      <c r="A45" s="54" t="s">
        <v>2212</v>
      </c>
      <c r="E45" t="s">
        <v>2448</v>
      </c>
    </row>
    <row r="46" spans="1:9">
      <c r="A46" s="55"/>
      <c r="E46" t="s">
        <v>2449</v>
      </c>
    </row>
    <row r="47" spans="1:9">
      <c r="A47" s="55" t="s">
        <v>2213</v>
      </c>
      <c r="E47" t="s">
        <v>2450</v>
      </c>
    </row>
    <row r="48" spans="1:9">
      <c r="A48" s="55"/>
      <c r="E48" t="s">
        <v>2451</v>
      </c>
    </row>
    <row r="49" spans="1:6">
      <c r="A49" s="55" t="s">
        <v>2214</v>
      </c>
      <c r="E49" t="s">
        <v>2452</v>
      </c>
    </row>
    <row r="50" spans="1:6">
      <c r="A50" s="55"/>
      <c r="E50" t="s">
        <v>2453</v>
      </c>
    </row>
    <row r="51" spans="1:6">
      <c r="A51" s="55"/>
      <c r="E51" t="s">
        <v>2454</v>
      </c>
    </row>
    <row r="52" spans="1:6">
      <c r="A52" s="120"/>
    </row>
    <row r="53" spans="1:6">
      <c r="A53" s="152" t="s">
        <v>2215</v>
      </c>
      <c r="E53" t="s">
        <v>256</v>
      </c>
    </row>
    <row r="54" spans="1:6">
      <c r="A54" s="120"/>
      <c r="E54" t="s">
        <v>2455</v>
      </c>
    </row>
    <row r="55" spans="1:6">
      <c r="A55" s="152" t="s">
        <v>2216</v>
      </c>
      <c r="E55" t="s">
        <v>2456</v>
      </c>
    </row>
    <row r="56" spans="1:6">
      <c r="A56" s="120"/>
      <c r="E56" t="s">
        <v>2457</v>
      </c>
    </row>
    <row r="57" spans="1:6">
      <c r="A57" s="152" t="s">
        <v>2217</v>
      </c>
      <c r="E57" t="s">
        <v>2458</v>
      </c>
    </row>
    <row r="58" spans="1:6">
      <c r="E58" t="s">
        <v>2459</v>
      </c>
    </row>
    <row r="59" spans="1:6">
      <c r="A59" t="s">
        <v>2218</v>
      </c>
      <c r="E59" t="s">
        <v>2460</v>
      </c>
    </row>
    <row r="60" spans="1:6" ht="28.2" customHeight="1">
      <c r="A60" s="302" t="s">
        <v>2219</v>
      </c>
      <c r="B60" s="302"/>
      <c r="C60" s="302"/>
      <c r="D60" s="302"/>
      <c r="E60" s="302"/>
      <c r="F60" s="302"/>
    </row>
    <row r="62" spans="1:6" ht="18">
      <c r="A62" s="54" t="s">
        <v>2220</v>
      </c>
    </row>
    <row r="63" spans="1:6">
      <c r="A63" s="55"/>
    </row>
    <row r="64" spans="1:6">
      <c r="A64" s="116" t="s">
        <v>2221</v>
      </c>
    </row>
    <row r="65" spans="1:1">
      <c r="A65" s="55"/>
    </row>
    <row r="66" spans="1:1">
      <c r="A66" s="55"/>
    </row>
    <row r="67" spans="1:1">
      <c r="A67" s="120"/>
    </row>
    <row r="68" spans="1:1">
      <c r="A68" s="120" t="s">
        <v>2222</v>
      </c>
    </row>
    <row r="69" spans="1:1">
      <c r="A69" s="120"/>
    </row>
    <row r="70" spans="1:1">
      <c r="A70" s="120" t="s">
        <v>2223</v>
      </c>
    </row>
    <row r="71" spans="1:1">
      <c r="A71" s="55"/>
    </row>
    <row r="72" spans="1:1">
      <c r="A72" s="116" t="s">
        <v>2224</v>
      </c>
    </row>
    <row r="73" spans="1:1">
      <c r="A73" s="55"/>
    </row>
    <row r="74" spans="1:1">
      <c r="A74" s="55"/>
    </row>
    <row r="75" spans="1:1">
      <c r="A75" s="120"/>
    </row>
    <row r="76" spans="1:1">
      <c r="A76" s="120" t="s">
        <v>2225</v>
      </c>
    </row>
    <row r="77" spans="1:1">
      <c r="A77" s="55"/>
    </row>
    <row r="78" spans="1:1">
      <c r="A78" s="116" t="s">
        <v>2226</v>
      </c>
    </row>
    <row r="79" spans="1:1">
      <c r="A79" s="55"/>
    </row>
    <row r="80" spans="1:1">
      <c r="A80" s="55"/>
    </row>
    <row r="81" spans="1:1">
      <c r="A81" s="120"/>
    </row>
    <row r="82" spans="1:1">
      <c r="A82" s="120" t="s">
        <v>2227</v>
      </c>
    </row>
    <row r="84" spans="1:1">
      <c r="A84" t="s">
        <v>2228</v>
      </c>
    </row>
    <row r="85" spans="1:1">
      <c r="A85" s="55"/>
    </row>
    <row r="86" spans="1:1">
      <c r="A86" s="55" t="s">
        <v>2229</v>
      </c>
    </row>
    <row r="87" spans="1:1">
      <c r="A87" s="55"/>
    </row>
    <row r="88" spans="1:1">
      <c r="A88" s="116" t="s">
        <v>2230</v>
      </c>
    </row>
    <row r="89" spans="1:1">
      <c r="A89" s="55"/>
    </row>
    <row r="90" spans="1:1">
      <c r="A90" s="55"/>
    </row>
    <row r="91" spans="1:1">
      <c r="A91" s="120"/>
    </row>
    <row r="92" spans="1:1">
      <c r="A92" s="120" t="s">
        <v>2231</v>
      </c>
    </row>
    <row r="93" spans="1:1">
      <c r="A93" s="120"/>
    </row>
    <row r="94" spans="1:1">
      <c r="A94" s="120" t="s">
        <v>2232</v>
      </c>
    </row>
    <row r="96" spans="1:1" ht="18">
      <c r="A96" s="54" t="s">
        <v>2233</v>
      </c>
    </row>
    <row r="98" spans="1:1">
      <c r="A98" t="s">
        <v>2234</v>
      </c>
    </row>
    <row r="100" spans="1:1" ht="18">
      <c r="A100" s="54" t="s">
        <v>2235</v>
      </c>
    </row>
    <row r="102" spans="1:1">
      <c r="A102" t="s">
        <v>2236</v>
      </c>
    </row>
    <row r="104" spans="1:1">
      <c r="A104" t="s">
        <v>2237</v>
      </c>
    </row>
    <row r="106" spans="1:1">
      <c r="A106" t="s">
        <v>2238</v>
      </c>
    </row>
    <row r="107" spans="1:1">
      <c r="A107" s="55"/>
    </row>
    <row r="108" spans="1:1">
      <c r="A108" s="55" t="s">
        <v>2239</v>
      </c>
    </row>
    <row r="109" spans="1:1">
      <c r="A109" s="55"/>
    </row>
    <row r="110" spans="1:1">
      <c r="A110" s="55" t="s">
        <v>2240</v>
      </c>
    </row>
    <row r="111" spans="1:1">
      <c r="A111" s="55"/>
    </row>
    <row r="112" spans="1:1">
      <c r="A112" s="55" t="s">
        <v>2241</v>
      </c>
    </row>
    <row r="114" spans="1:1">
      <c r="A114" t="s">
        <v>2242</v>
      </c>
    </row>
    <row r="116" spans="1:1" ht="18">
      <c r="A116" s="54" t="s">
        <v>2243</v>
      </c>
    </row>
    <row r="118" spans="1:1">
      <c r="A118" t="s">
        <v>2244</v>
      </c>
    </row>
    <row r="120" spans="1:1">
      <c r="A120" t="s">
        <v>2245</v>
      </c>
    </row>
    <row r="122" spans="1:1">
      <c r="A122" t="s">
        <v>2238</v>
      </c>
    </row>
    <row r="123" spans="1:1">
      <c r="A123" s="55"/>
    </row>
    <row r="124" spans="1:1">
      <c r="A124" s="55" t="s">
        <v>2246</v>
      </c>
    </row>
    <row r="125" spans="1:1">
      <c r="A125" s="55"/>
    </row>
    <row r="126" spans="1:1">
      <c r="A126" s="55" t="s">
        <v>2247</v>
      </c>
    </row>
    <row r="128" spans="1:1">
      <c r="A128" t="s">
        <v>2248</v>
      </c>
    </row>
    <row r="130" spans="1:1" ht="18">
      <c r="A130" s="54" t="s">
        <v>2249</v>
      </c>
    </row>
    <row r="132" spans="1:1">
      <c r="A132" t="s">
        <v>2250</v>
      </c>
    </row>
    <row r="134" spans="1:1">
      <c r="A134" t="s">
        <v>2251</v>
      </c>
    </row>
    <row r="136" spans="1:1">
      <c r="A136" t="s">
        <v>2238</v>
      </c>
    </row>
    <row r="137" spans="1:1">
      <c r="A137" s="55"/>
    </row>
    <row r="138" spans="1:1">
      <c r="A138" s="55" t="s">
        <v>2252</v>
      </c>
    </row>
    <row r="139" spans="1:1">
      <c r="A139" s="55"/>
    </row>
    <row r="140" spans="1:1">
      <c r="A140" s="55" t="s">
        <v>2253</v>
      </c>
    </row>
    <row r="142" spans="1:1" ht="18">
      <c r="A142" s="54" t="s">
        <v>2254</v>
      </c>
    </row>
    <row r="144" spans="1:1">
      <c r="A144" t="s">
        <v>2255</v>
      </c>
    </row>
    <row r="146" spans="1:1">
      <c r="A146" t="s">
        <v>2256</v>
      </c>
    </row>
    <row r="148" spans="1:1">
      <c r="A148" t="s">
        <v>2257</v>
      </c>
    </row>
    <row r="150" spans="1:1" ht="18">
      <c r="A150" s="54" t="s">
        <v>2258</v>
      </c>
    </row>
    <row r="152" spans="1:1">
      <c r="A152" t="s">
        <v>2259</v>
      </c>
    </row>
    <row r="153" spans="1:1">
      <c r="A153" s="55"/>
    </row>
    <row r="154" spans="1:1">
      <c r="A154" s="55" t="s">
        <v>2260</v>
      </c>
    </row>
    <row r="155" spans="1:1">
      <c r="A155" s="55"/>
    </row>
    <row r="156" spans="1:1">
      <c r="A156" s="55" t="s">
        <v>2261</v>
      </c>
    </row>
    <row r="157" spans="1:1">
      <c r="A157" s="55"/>
    </row>
    <row r="158" spans="1:1">
      <c r="A158" s="55" t="s">
        <v>2262</v>
      </c>
    </row>
    <row r="160" spans="1:1">
      <c r="A160" t="s">
        <v>2263</v>
      </c>
    </row>
    <row r="162" spans="1:1">
      <c r="A162" t="s">
        <v>2264</v>
      </c>
    </row>
    <row r="164" spans="1:1" ht="18">
      <c r="A164" s="54" t="s">
        <v>2265</v>
      </c>
    </row>
    <row r="165" spans="1:1">
      <c r="A165" s="55"/>
    </row>
    <row r="166" spans="1:1">
      <c r="A166" s="55" t="s">
        <v>2266</v>
      </c>
    </row>
    <row r="167" spans="1:1">
      <c r="A167" s="55"/>
    </row>
    <row r="168" spans="1:1">
      <c r="A168" s="55" t="s">
        <v>2267</v>
      </c>
    </row>
    <row r="169" spans="1:1">
      <c r="A169" s="55"/>
    </row>
    <row r="170" spans="1:1">
      <c r="A170" s="55" t="s">
        <v>2268</v>
      </c>
    </row>
    <row r="171" spans="1:1">
      <c r="A171" s="55"/>
    </row>
    <row r="172" spans="1:1">
      <c r="A172" s="55" t="s">
        <v>2269</v>
      </c>
    </row>
    <row r="174" spans="1:1">
      <c r="A174" s="24" t="s">
        <v>2270</v>
      </c>
    </row>
    <row r="176" spans="1:1">
      <c r="A176" t="s">
        <v>2271</v>
      </c>
    </row>
    <row r="178" spans="1:1">
      <c r="A178" s="24" t="s">
        <v>2272</v>
      </c>
    </row>
    <row r="180" spans="1:1">
      <c r="A180" t="s">
        <v>2273</v>
      </c>
    </row>
    <row r="182" spans="1:1" ht="18">
      <c r="A182" s="54" t="s">
        <v>2274</v>
      </c>
    </row>
    <row r="184" spans="1:1">
      <c r="A184" t="s">
        <v>2275</v>
      </c>
    </row>
    <row r="186" spans="1:1">
      <c r="A186" t="s">
        <v>2276</v>
      </c>
    </row>
    <row r="188" spans="1:1">
      <c r="A188" t="s">
        <v>2277</v>
      </c>
    </row>
    <row r="190" spans="1:1" ht="18">
      <c r="A190" s="54" t="s">
        <v>2278</v>
      </c>
    </row>
    <row r="192" spans="1:1">
      <c r="A192" t="s">
        <v>2279</v>
      </c>
    </row>
    <row r="194" spans="1:1">
      <c r="A194" t="s">
        <v>2280</v>
      </c>
    </row>
    <row r="196" spans="1:1">
      <c r="A196" s="24" t="s">
        <v>2281</v>
      </c>
    </row>
    <row r="198" spans="1:1">
      <c r="A198" t="s">
        <v>2282</v>
      </c>
    </row>
    <row r="200" spans="1:1">
      <c r="A200" t="s">
        <v>2283</v>
      </c>
    </row>
    <row r="202" spans="1:1" ht="18">
      <c r="A202" s="54" t="s">
        <v>2284</v>
      </c>
    </row>
    <row r="203" spans="1:1">
      <c r="A203" s="55"/>
    </row>
    <row r="204" spans="1:1">
      <c r="A204" s="116" t="s">
        <v>2285</v>
      </c>
    </row>
    <row r="205" spans="1:1">
      <c r="A205" s="55"/>
    </row>
    <row r="206" spans="1:1">
      <c r="A206" s="116" t="s">
        <v>2286</v>
      </c>
    </row>
    <row r="207" spans="1:1">
      <c r="A207" s="55"/>
    </row>
    <row r="208" spans="1:1">
      <c r="A208" s="116" t="s">
        <v>2287</v>
      </c>
    </row>
    <row r="209" spans="1:1">
      <c r="A209" s="55"/>
    </row>
    <row r="210" spans="1:1">
      <c r="A210" s="55" t="s">
        <v>2288</v>
      </c>
    </row>
    <row r="212" spans="1:1">
      <c r="A212" t="s">
        <v>2289</v>
      </c>
    </row>
    <row r="214" spans="1:1" ht="18">
      <c r="A214" s="54" t="s">
        <v>2290</v>
      </c>
    </row>
    <row r="216" spans="1:1">
      <c r="A216" t="s">
        <v>2291</v>
      </c>
    </row>
    <row r="218" spans="1:1">
      <c r="A218" t="s">
        <v>2237</v>
      </c>
    </row>
    <row r="219" spans="1:1">
      <c r="A219" s="55"/>
    </row>
    <row r="220" spans="1:1">
      <c r="A220" s="55" t="s">
        <v>2292</v>
      </c>
    </row>
    <row r="221" spans="1:1">
      <c r="A221" s="55"/>
    </row>
    <row r="222" spans="1:1">
      <c r="A222" s="55" t="s">
        <v>2293</v>
      </c>
    </row>
    <row r="223" spans="1:1">
      <c r="A223" s="55"/>
    </row>
    <row r="224" spans="1:1">
      <c r="A224" s="55" t="s">
        <v>2294</v>
      </c>
    </row>
    <row r="226" spans="1:1">
      <c r="A226" t="s">
        <v>2295</v>
      </c>
    </row>
    <row r="228" spans="1:1">
      <c r="A228" t="s">
        <v>2296</v>
      </c>
    </row>
    <row r="230" spans="1:1" ht="18">
      <c r="A230" s="54" t="s">
        <v>2297</v>
      </c>
    </row>
    <row r="232" spans="1:1">
      <c r="A232" t="s">
        <v>2298</v>
      </c>
    </row>
    <row r="234" spans="1:1">
      <c r="A234" t="s">
        <v>2245</v>
      </c>
    </row>
    <row r="236" spans="1:1">
      <c r="A236" t="s">
        <v>2299</v>
      </c>
    </row>
    <row r="238" spans="1:1" ht="18">
      <c r="A238" s="54" t="s">
        <v>2274</v>
      </c>
    </row>
    <row r="240" spans="1:1">
      <c r="A240" t="s">
        <v>2300</v>
      </c>
    </row>
    <row r="242" spans="1:5">
      <c r="A242" t="s">
        <v>2251</v>
      </c>
    </row>
    <row r="244" spans="1:5">
      <c r="A244" t="s">
        <v>2301</v>
      </c>
    </row>
    <row r="246" spans="1:5" ht="18">
      <c r="A246" s="54" t="s">
        <v>2302</v>
      </c>
    </row>
    <row r="248" spans="1:5">
      <c r="A248" t="s">
        <v>2303</v>
      </c>
    </row>
    <row r="250" spans="1:5">
      <c r="A250" s="40" t="s">
        <v>2304</v>
      </c>
      <c r="B250" s="40" t="s">
        <v>2305</v>
      </c>
      <c r="C250" s="40" t="s">
        <v>2306</v>
      </c>
      <c r="D250" s="40" t="s">
        <v>2307</v>
      </c>
      <c r="E250" s="40" t="s">
        <v>2308</v>
      </c>
    </row>
    <row r="251" spans="1:5">
      <c r="A251" s="49">
        <v>2023</v>
      </c>
      <c r="B251" s="49">
        <v>0.12</v>
      </c>
      <c r="C251" s="49">
        <v>0.15</v>
      </c>
      <c r="D251" s="49">
        <v>0</v>
      </c>
      <c r="E251" s="49" t="s">
        <v>2309</v>
      </c>
    </row>
    <row r="252" spans="1:5">
      <c r="A252" s="49" t="s">
        <v>2310</v>
      </c>
      <c r="B252" s="49">
        <v>0.15</v>
      </c>
      <c r="C252" s="49">
        <v>0.13</v>
      </c>
      <c r="D252" s="49">
        <v>0</v>
      </c>
      <c r="E252" s="49" t="s">
        <v>2311</v>
      </c>
    </row>
    <row r="254" spans="1:5">
      <c r="A254" t="s">
        <v>2312</v>
      </c>
    </row>
    <row r="256" spans="1:5" ht="18">
      <c r="A256" s="54" t="s">
        <v>2313</v>
      </c>
    </row>
    <row r="258" spans="1:5">
      <c r="A258" t="s">
        <v>2314</v>
      </c>
    </row>
    <row r="260" spans="1:5">
      <c r="A260" t="s">
        <v>2256</v>
      </c>
    </row>
    <row r="262" spans="1:5">
      <c r="A262" t="s">
        <v>2315</v>
      </c>
    </row>
    <row r="264" spans="1:5">
      <c r="A264" t="s">
        <v>2316</v>
      </c>
    </row>
    <row r="266" spans="1:5" ht="18">
      <c r="A266" s="54" t="s">
        <v>2317</v>
      </c>
    </row>
    <row r="268" spans="1:5">
      <c r="A268" s="24" t="s">
        <v>2318</v>
      </c>
    </row>
    <row r="270" spans="1:5">
      <c r="A270" s="40" t="s">
        <v>2304</v>
      </c>
      <c r="B270" s="40" t="s">
        <v>2305</v>
      </c>
      <c r="C270" s="40" t="s">
        <v>2306</v>
      </c>
      <c r="D270" s="40" t="s">
        <v>2307</v>
      </c>
      <c r="E270" s="40" t="s">
        <v>2308</v>
      </c>
    </row>
    <row r="271" spans="1:5">
      <c r="A271" s="49">
        <v>2023</v>
      </c>
      <c r="B271" s="49">
        <v>0.12</v>
      </c>
      <c r="C271" s="49">
        <v>0.15</v>
      </c>
      <c r="D271" s="49">
        <v>0</v>
      </c>
      <c r="E271" s="49" t="s">
        <v>2319</v>
      </c>
    </row>
    <row r="272" spans="1:5">
      <c r="A272" s="49" t="s">
        <v>2310</v>
      </c>
      <c r="B272" s="49">
        <v>0.15</v>
      </c>
      <c r="C272" s="49">
        <v>0.13</v>
      </c>
      <c r="D272" s="49">
        <v>0</v>
      </c>
      <c r="E272" s="203" t="s">
        <v>2346</v>
      </c>
    </row>
    <row r="273" spans="1:5">
      <c r="A273" s="49" t="s">
        <v>2320</v>
      </c>
      <c r="B273" s="49">
        <v>0.13</v>
      </c>
      <c r="C273" s="49">
        <v>0.14000000000000001</v>
      </c>
      <c r="D273" s="49">
        <v>0</v>
      </c>
      <c r="E273" s="49" t="s">
        <v>2321</v>
      </c>
    </row>
    <row r="275" spans="1:5">
      <c r="A275" t="s">
        <v>2322</v>
      </c>
    </row>
    <row r="277" spans="1:5">
      <c r="A277" s="24" t="s">
        <v>2323</v>
      </c>
    </row>
    <row r="279" spans="1:5">
      <c r="A279" s="40" t="s">
        <v>2304</v>
      </c>
      <c r="B279" s="40" t="s">
        <v>2324</v>
      </c>
      <c r="C279" s="40" t="s">
        <v>2325</v>
      </c>
      <c r="D279" s="40" t="s">
        <v>2326</v>
      </c>
      <c r="E279" s="40" t="s">
        <v>2327</v>
      </c>
    </row>
    <row r="280" spans="1:5">
      <c r="A280" s="49">
        <v>2023</v>
      </c>
      <c r="B280" s="201">
        <v>0.25</v>
      </c>
      <c r="C280" s="201">
        <v>0.12</v>
      </c>
      <c r="D280" s="201">
        <v>-0.05</v>
      </c>
      <c r="E280" s="203" t="s">
        <v>2347</v>
      </c>
    </row>
    <row r="281" spans="1:5">
      <c r="A281" s="49">
        <v>2024</v>
      </c>
      <c r="B281" s="202">
        <v>-0.13300000000000001</v>
      </c>
      <c r="C281" s="201">
        <v>0.08</v>
      </c>
      <c r="D281" s="201">
        <v>0.03</v>
      </c>
      <c r="E281" s="203" t="s">
        <v>2348</v>
      </c>
    </row>
    <row r="282" spans="1:5">
      <c r="A282" s="49">
        <v>2025</v>
      </c>
      <c r="B282" s="202">
        <v>7.6999999999999999E-2</v>
      </c>
      <c r="C282" s="201">
        <v>-0.02</v>
      </c>
      <c r="D282" s="201">
        <v>0.1</v>
      </c>
      <c r="E282" s="203" t="s">
        <v>2349</v>
      </c>
    </row>
    <row r="284" spans="1:5">
      <c r="A284" t="s">
        <v>2328</v>
      </c>
    </row>
    <row r="286" spans="1:5">
      <c r="A286" s="24" t="s">
        <v>2329</v>
      </c>
    </row>
    <row r="288" spans="1:5" ht="28.8">
      <c r="A288" s="40" t="s">
        <v>2330</v>
      </c>
      <c r="B288" s="40" t="s">
        <v>2331</v>
      </c>
      <c r="C288" s="40" t="s">
        <v>2332</v>
      </c>
      <c r="D288" s="40" t="s">
        <v>2333</v>
      </c>
    </row>
    <row r="289" spans="1:4" ht="28.8">
      <c r="A289" s="49" t="s">
        <v>2334</v>
      </c>
      <c r="B289" s="203" t="s">
        <v>2350</v>
      </c>
      <c r="C289" s="203" t="s">
        <v>2351</v>
      </c>
      <c r="D289" s="203" t="s">
        <v>2352</v>
      </c>
    </row>
    <row r="291" spans="1:4">
      <c r="A291" t="s">
        <v>2335</v>
      </c>
    </row>
    <row r="292" spans="1:4">
      <c r="A292" s="55"/>
    </row>
    <row r="293" spans="1:4">
      <c r="A293" s="55" t="s">
        <v>2336</v>
      </c>
    </row>
    <row r="294" spans="1:4">
      <c r="A294" s="55"/>
    </row>
    <row r="295" spans="1:4">
      <c r="A295" s="55" t="s">
        <v>2337</v>
      </c>
    </row>
    <row r="296" spans="1:4">
      <c r="A296" s="55"/>
    </row>
    <row r="297" spans="1:4">
      <c r="A297" s="55" t="s">
        <v>2338</v>
      </c>
    </row>
    <row r="299" spans="1:4" ht="18">
      <c r="A299" s="54" t="s">
        <v>2339</v>
      </c>
    </row>
    <row r="300" spans="1:4">
      <c r="A300" s="55"/>
    </row>
    <row r="301" spans="1:4">
      <c r="A301" s="55" t="s">
        <v>2340</v>
      </c>
    </row>
    <row r="302" spans="1:4">
      <c r="A302" s="55"/>
    </row>
    <row r="303" spans="1:4">
      <c r="A303" s="55" t="s">
        <v>2341</v>
      </c>
    </row>
    <row r="304" spans="1:4">
      <c r="A304" s="55"/>
    </row>
    <row r="305" spans="1:1">
      <c r="A305" s="55" t="s">
        <v>2342</v>
      </c>
    </row>
    <row r="306" spans="1:1">
      <c r="A306" s="55"/>
    </row>
    <row r="307" spans="1:1">
      <c r="A307" s="55" t="s">
        <v>2343</v>
      </c>
    </row>
    <row r="308" spans="1:1">
      <c r="A308" s="55"/>
    </row>
    <row r="309" spans="1:1">
      <c r="A309" s="55" t="s">
        <v>2344</v>
      </c>
    </row>
    <row r="311" spans="1:1">
      <c r="A311" t="s">
        <v>2345</v>
      </c>
    </row>
  </sheetData>
  <mergeCells count="1">
    <mergeCell ref="A60:F60"/>
  </mergeCells>
  <conditionalFormatting sqref="A3:A7 A9:A24">
    <cfRule type="containsText" dxfId="1" priority="2" operator="containsText" text="hyperlink">
      <formula>NOT(ISERROR(SEARCH("hyperlink",A3)))</formula>
    </cfRule>
  </conditionalFormatting>
  <conditionalFormatting sqref="A26:A27 A29:A42">
    <cfRule type="containsText" dxfId="0" priority="1" operator="containsText" text="hyperlink">
      <formula>NOT(ISERROR(SEARCH("hyperlink",A26)))</formula>
    </cfRule>
  </conditionalFormatting>
  <hyperlinks>
    <hyperlink ref="A24" r:id="rId1" tooltip="Wing Tai" display="https://investors.sgx.com/market/securities?code=W05&amp;type=stocks&amp;lang=en" xr:uid="{4DDBAB8D-7CBB-4012-8365-98AACCB4E094}"/>
    <hyperlink ref="A4" r:id="rId2" tooltip="Abundante" display="https://investors.sgx.com/market/securities?code=570&amp;type=stocks&amp;lang=en" xr:uid="{81963F12-9C90-467E-8A25-5ABCCA12E808}"/>
    <hyperlink ref="A5" r:id="rId3" tooltip="A-Smart" display="https://investors.sgx.com/market/securities?code=BQC&amp;type=stocks&amp;lang=en" xr:uid="{48E75BE8-DD68-4DF9-A69B-5AC65E4D2218}"/>
    <hyperlink ref="A6" r:id="rId4" tooltip="Audience" display="https://investors.sgx.com/market/securities?code=1AZ&amp;type=stocks&amp;lang=en" xr:uid="{C40637BE-1915-4C53-9EA9-C8F44EE434B5}"/>
    <hyperlink ref="A7" r:id="rId5" tooltip="Chasen" display="https://investors.sgx.com/market/securities?code=5NV&amp;type=stocks&amp;lang=en" xr:uid="{FEDA5844-CA66-4A8A-B53A-BE693ED88DE5}"/>
    <hyperlink ref="A8" r:id="rId6" xr:uid="{D33C5081-352E-4E1E-92E5-A618ED8755A3}"/>
    <hyperlink ref="A9" r:id="rId7" tooltip="Dezign Format" display="https://investors.sgx.com/market/securities?code=UZF&amp;type=stocks&amp;lang=en" xr:uid="{0EA525DF-5A28-40AA-A05E-3EFAD536539B}"/>
    <hyperlink ref="A10" r:id="rId8" tooltip="Eneco Energy" display="https://investors.sgx.com/market/securities?code=R14&amp;type=stocks&amp;lang=en" xr:uid="{1D33AFCB-E1C9-4604-8C11-0D524F9E821E}"/>
    <hyperlink ref="A11" r:id="rId9" tooltip="GKE" display="https://investors.sgx.com/market/securities?code=595&amp;type=stocks&amp;lang=en" xr:uid="{81EDBA89-EF44-4B65-BDD4-FFDB352419CD}"/>
    <hyperlink ref="A12" r:id="rId10" tooltip="Hiap Tong" display="https://investors.sgx.com/market/securities?code=5PO&amp;type=stocks&amp;lang=en" xr:uid="{31EFF683-9DF8-4067-80A6-C0ACB5BAD889}"/>
    <hyperlink ref="A13" r:id="rId11" tooltip="KingsmenCreative" display="https://investors.sgx.com/market/securities?code=5MZ&amp;type=stocks&amp;lang=en" xr:uid="{6FEFE2FC-0303-4C3A-A768-C55C074E94FA}"/>
    <hyperlink ref="A14" r:id="rId12" tooltip="LS 2 Holdings" display="https://investors.sgx.com/market/securities?code=ENV&amp;type=stocks&amp;lang=en" xr:uid="{4FD0E84D-7D77-4F44-B07C-B083766ECF65}"/>
    <hyperlink ref="A15" r:id="rId13" tooltip="Metech Intl" display="https://investors.sgx.com/market/securities?code=V3M&amp;type=stocks&amp;lang=en" xr:uid="{2DA0A268-C9F2-4075-8DD7-18B58F612DF4}"/>
    <hyperlink ref="A16" r:id="rId14" tooltip="SATS" display="https://investors.sgx.com/market/securities?code=S58&amp;type=stocks&amp;lang=en" xr:uid="{D9A7F85E-A51C-4B57-A534-398B7B8FB54D}"/>
    <hyperlink ref="A17" r:id="rId15" tooltip="SIA" display="https://investors.sgx.com/market/securities?code=C6L&amp;type=stocks&amp;lang=en" xr:uid="{0D1B1BB4-FF4F-46B0-AF6B-8402D67EE7C1}"/>
    <hyperlink ref="A18" r:id="rId16" tooltip="SIA Engineering" display="https://investors.sgx.com/market/securities?code=S59&amp;type=stocks&amp;lang=en" xr:uid="{33576C35-FAC6-4FCA-9E2A-068D3D8D256F}"/>
    <hyperlink ref="A19" r:id="rId17" tooltip="SingPost" display="https://investors.sgx.com/market/securities?code=S08&amp;type=stocks&amp;lang=en" xr:uid="{F384B9F9-14CC-4B89-9885-CAA402ADA5AE}"/>
    <hyperlink ref="A20" r:id="rId18" tooltip="Southern Arch" display="https://investors.sgx.com/market/securities?code=A33&amp;type=stocks&amp;lang=en" xr:uid="{7ED0AD0B-9914-4328-8740-5910DAE8C5D3}"/>
    <hyperlink ref="A21" r:id="rId19" tooltip="V2Y Corp" display="https://investors.sgx.com/market/securities?code=V2Y&amp;type=stocks&amp;lang=en" xr:uid="{2C618EE1-132C-43EF-B51B-533A54A6C87B}"/>
    <hyperlink ref="A22" r:id="rId20" tooltip="VCPlus" display="https://investors.sgx.com/market/securities?code=43E&amp;type=stocks&amp;lang=en" xr:uid="{07529618-758A-4F62-B759-8ECCAF5FDF49}"/>
    <hyperlink ref="A23" r:id="rId21" tooltip="ZICO Hldgs" display="https://investors.sgx.com/market/securities?code=40W&amp;type=stocks&amp;lang=en" xr:uid="{EC756995-6B31-4004-8F35-02531030CCB5}"/>
    <hyperlink ref="A26" r:id="rId22" tooltip="CapitaLandInvest" display="https://investors.sgx.com/market/securities?code=9CI&amp;type=stocks&amp;lang=en" xr:uid="{AA700E18-D64E-4875-8780-53F5FFE9C8E2}"/>
    <hyperlink ref="A27" r:id="rId23" tooltip="ComfortDelGro" display="https://investors.sgx.com/market/securities?code=C52&amp;type=stocks&amp;lang=en" xr:uid="{600DDA9B-0EF4-4200-BC29-1C4DF13DF0EE}"/>
    <hyperlink ref="A28" r:id="rId24" xr:uid="{DD8F2258-552A-4D4A-BB5C-55CF66CB6585}"/>
    <hyperlink ref="A29" r:id="rId25" tooltip="Frasers Property" display="https://investors.sgx.com/market/securities?code=TQ5&amp;type=stocks&amp;lang=en" xr:uid="{389FB0BF-783D-4819-8908-3DFA88569615}"/>
    <hyperlink ref="A30" r:id="rId26" tooltip="Keppel" display="https://investors.sgx.com/market/securities?code=BN4&amp;type=stocks&amp;lang=en" xr:uid="{FF704F30-B6C9-4E6B-BE7F-77246D209FA3}"/>
    <hyperlink ref="A31" r:id="rId27" tooltip="KingsmenCreative" display="https://investors.sgx.com/market/securities?code=5MZ&amp;type=stocks&amp;lang=en" xr:uid="{891BB111-C15C-4955-AC3B-8BD725DCA1DF}"/>
    <hyperlink ref="A32" r:id="rId28" tooltip="OUE" display="https://investors.sgx.com/market/securities?code=LJ3&amp;type=stocks&amp;lang=en" xr:uid="{6059248E-5312-4D0C-8F1D-7F1AA841F7B2}"/>
    <hyperlink ref="A33" r:id="rId29" tooltip="PanUnited" display="https://investors.sgx.com/market/securities?code=P52&amp;type=stocks&amp;lang=en" xr:uid="{B2216341-83D2-4956-AB83-F5540172D79A}"/>
    <hyperlink ref="A34" r:id="rId30" tooltip="Raffles Edu" display="https://investors.sgx.com/market/securities?code=NR7&amp;type=stocks&amp;lang=en" xr:uid="{1484082F-1C4B-4668-B285-4996892C7872}"/>
    <hyperlink ref="A35" r:id="rId31" tooltip="SamuderaShipping" display="https://investors.sgx.com/market/securities?code=S56&amp;type=stocks&amp;lang=en" xr:uid="{98EAD0C6-A680-4128-8F40-D3995B4DD417}"/>
    <hyperlink ref="A36" r:id="rId32" tooltip="SATS" display="https://investors.sgx.com/market/securities?code=S58&amp;type=stocks&amp;lang=en" xr:uid="{ADF736F3-54C2-4DBC-A12A-A10ABCE99FDA}"/>
    <hyperlink ref="A37" r:id="rId33" tooltip="SIA" display="https://investors.sgx.com/market/securities?code=C6L&amp;type=stocks&amp;lang=en" xr:uid="{E5AEF785-C2B9-4B26-B162-640AED9DFFBC}"/>
    <hyperlink ref="A38" r:id="rId34" tooltip="SIA Engineering" display="https://investors.sgx.com/market/securities?code=S59&amp;type=stocks&amp;lang=en" xr:uid="{70BDA0E7-A5BC-4709-9AE6-F48D1A2EE52F}"/>
    <hyperlink ref="A39" r:id="rId35" tooltip="SingaporeLandGrp" display="https://investors.sgx.com/market/securities?code=U06&amp;type=stocks&amp;lang=en" xr:uid="{9DE71B7A-4C47-4E18-9112-D2978BF40416}"/>
    <hyperlink ref="A40" r:id="rId36" tooltip="SingHoldings" display="https://investors.sgx.com/market/securities?code=5IC&amp;type=stocks&amp;lang=en" xr:uid="{3B93CF01-0081-4D01-90FF-0E965F13F307}"/>
    <hyperlink ref="A41" r:id="rId37" tooltip="ST Engineering" display="https://investors.sgx.com/market/securities?code=S63&amp;type=stocks&amp;lang=en" xr:uid="{6FB8EB2F-6BD7-49A6-B6DC-6AEF697E16D7}"/>
    <hyperlink ref="A42" r:id="rId38" tooltip="UnUsUaL" display="https://investors.sgx.com/market/securities?code=1D1&amp;type=stocks&amp;lang=en" xr:uid="{D2C9ECDD-8115-4263-A9F4-070B85441BF3}"/>
  </hyperlinks>
  <pageMargins left="0.7" right="0.7" top="0.75" bottom="0.75" header="0.3" footer="0.3"/>
  <drawing r:id="rId39"/>
  <tableParts count="1">
    <tablePart r:id="rId40"/>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F30D7-0B8B-41B1-A51C-3238A602FAEC}">
  <dimension ref="A4:C43"/>
  <sheetViews>
    <sheetView topLeftCell="A22" workbookViewId="0">
      <selection activeCell="K17" sqref="K17"/>
    </sheetView>
  </sheetViews>
  <sheetFormatPr defaultRowHeight="14.4"/>
  <cols>
    <col min="1" max="1" width="30.21875" customWidth="1"/>
    <col min="2" max="2" width="39.44140625" customWidth="1"/>
    <col min="3" max="3" width="44.33203125" customWidth="1"/>
  </cols>
  <sheetData>
    <row r="4" spans="1:3">
      <c r="A4" t="s">
        <v>1725</v>
      </c>
    </row>
    <row r="6" spans="1:3">
      <c r="A6" t="s">
        <v>1439</v>
      </c>
      <c r="B6" t="s">
        <v>1726</v>
      </c>
      <c r="C6" t="s">
        <v>1727</v>
      </c>
    </row>
    <row r="7" spans="1:3">
      <c r="A7" t="s">
        <v>1728</v>
      </c>
      <c r="B7" t="s">
        <v>1729</v>
      </c>
      <c r="C7" t="s">
        <v>1730</v>
      </c>
    </row>
    <row r="8" spans="1:3">
      <c r="A8" t="s">
        <v>1731</v>
      </c>
      <c r="B8" t="s">
        <v>1732</v>
      </c>
      <c r="C8" t="s">
        <v>1733</v>
      </c>
    </row>
    <row r="9" spans="1:3">
      <c r="A9" t="s">
        <v>1734</v>
      </c>
      <c r="B9" t="s">
        <v>1735</v>
      </c>
      <c r="C9" t="s">
        <v>1736</v>
      </c>
    </row>
    <row r="11" spans="1:3">
      <c r="A11" t="s">
        <v>1737</v>
      </c>
    </row>
    <row r="13" spans="1:3">
      <c r="A13" t="s">
        <v>1738</v>
      </c>
      <c r="B13" t="s">
        <v>1739</v>
      </c>
      <c r="C13" t="s">
        <v>1740</v>
      </c>
    </row>
    <row r="14" spans="1:3">
      <c r="A14" t="s">
        <v>1441</v>
      </c>
      <c r="B14" t="s">
        <v>1741</v>
      </c>
      <c r="C14" t="s">
        <v>1742</v>
      </c>
    </row>
    <row r="15" spans="1:3">
      <c r="A15" t="s">
        <v>1290</v>
      </c>
      <c r="B15" t="s">
        <v>1743</v>
      </c>
      <c r="C15" t="s">
        <v>1742</v>
      </c>
    </row>
    <row r="16" spans="1:3">
      <c r="A16" t="s">
        <v>1744</v>
      </c>
      <c r="B16" t="s">
        <v>1745</v>
      </c>
      <c r="C16" t="s">
        <v>1746</v>
      </c>
    </row>
    <row r="17" spans="1:3">
      <c r="A17" t="s">
        <v>1644</v>
      </c>
      <c r="B17" t="s">
        <v>1747</v>
      </c>
      <c r="C17" t="s">
        <v>1748</v>
      </c>
    </row>
    <row r="18" spans="1:3">
      <c r="A18" t="s">
        <v>1443</v>
      </c>
      <c r="B18" t="s">
        <v>1749</v>
      </c>
      <c r="C18" t="s">
        <v>1750</v>
      </c>
    </row>
    <row r="19" spans="1:3">
      <c r="A19" t="s">
        <v>1442</v>
      </c>
      <c r="B19" t="s">
        <v>1751</v>
      </c>
      <c r="C19" t="s">
        <v>1752</v>
      </c>
    </row>
    <row r="20" spans="1:3">
      <c r="A20" t="s">
        <v>1348</v>
      </c>
      <c r="B20" t="s">
        <v>1753</v>
      </c>
      <c r="C20" t="s">
        <v>1754</v>
      </c>
    </row>
    <row r="21" spans="1:3">
      <c r="A21" t="s">
        <v>1755</v>
      </c>
      <c r="B21" t="s">
        <v>1756</v>
      </c>
      <c r="C21" t="s">
        <v>1757</v>
      </c>
    </row>
    <row r="23" spans="1:3">
      <c r="A23" t="s">
        <v>1758</v>
      </c>
    </row>
    <row r="25" spans="1:3">
      <c r="A25" t="s">
        <v>1759</v>
      </c>
      <c r="B25" t="s">
        <v>1760</v>
      </c>
      <c r="C25" t="s">
        <v>1761</v>
      </c>
    </row>
    <row r="26" spans="1:3">
      <c r="A26" t="s">
        <v>1762</v>
      </c>
      <c r="B26" t="s">
        <v>1763</v>
      </c>
      <c r="C26" t="s">
        <v>1764</v>
      </c>
    </row>
    <row r="27" spans="1:3">
      <c r="A27" t="s">
        <v>1765</v>
      </c>
      <c r="B27" t="s">
        <v>1766</v>
      </c>
      <c r="C27" t="s">
        <v>1767</v>
      </c>
    </row>
    <row r="28" spans="1:3">
      <c r="A28" t="s">
        <v>1768</v>
      </c>
      <c r="B28" t="s">
        <v>1769</v>
      </c>
      <c r="C28" t="s">
        <v>1746</v>
      </c>
    </row>
    <row r="29" spans="1:3">
      <c r="A29" t="s">
        <v>1770</v>
      </c>
      <c r="B29" t="s">
        <v>1771</v>
      </c>
      <c r="C29" t="s">
        <v>1772</v>
      </c>
    </row>
    <row r="31" spans="1:3">
      <c r="A31" t="s">
        <v>1773</v>
      </c>
    </row>
    <row r="33" spans="1:3">
      <c r="A33" t="s">
        <v>1444</v>
      </c>
      <c r="B33" t="s">
        <v>1774</v>
      </c>
      <c r="C33" t="s">
        <v>1775</v>
      </c>
    </row>
    <row r="34" spans="1:3">
      <c r="A34" t="s">
        <v>1351</v>
      </c>
      <c r="B34" t="s">
        <v>1776</v>
      </c>
      <c r="C34" t="s">
        <v>1777</v>
      </c>
    </row>
    <row r="35" spans="1:3">
      <c r="A35" t="s">
        <v>1446</v>
      </c>
      <c r="B35" t="s">
        <v>1778</v>
      </c>
      <c r="C35" t="s">
        <v>1742</v>
      </c>
    </row>
    <row r="36" spans="1:3">
      <c r="A36" t="s">
        <v>1779</v>
      </c>
      <c r="B36" t="s">
        <v>1780</v>
      </c>
      <c r="C36" t="s">
        <v>1781</v>
      </c>
    </row>
    <row r="37" spans="1:3">
      <c r="A37" t="s">
        <v>1782</v>
      </c>
      <c r="B37" t="s">
        <v>1783</v>
      </c>
      <c r="C37" t="s">
        <v>1781</v>
      </c>
    </row>
    <row r="38" spans="1:3">
      <c r="A38" t="s">
        <v>1784</v>
      </c>
      <c r="B38" t="s">
        <v>1785</v>
      </c>
      <c r="C38" t="s">
        <v>1786</v>
      </c>
    </row>
    <row r="39" spans="1:3">
      <c r="A39" t="s">
        <v>1787</v>
      </c>
      <c r="B39" t="s">
        <v>1788</v>
      </c>
      <c r="C39" t="s">
        <v>1789</v>
      </c>
    </row>
    <row r="41" spans="1:3">
      <c r="A41" t="s">
        <v>1790</v>
      </c>
    </row>
    <row r="43" spans="1:3" ht="56.4" customHeight="1">
      <c r="A43" s="302" t="s">
        <v>1791</v>
      </c>
      <c r="B43" s="302"/>
      <c r="C43" s="302"/>
    </row>
  </sheetData>
  <mergeCells count="1">
    <mergeCell ref="A43:C4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4D425-AF2A-4C5C-B999-DB1EF499CC55}">
  <dimension ref="A1:Q132"/>
  <sheetViews>
    <sheetView workbookViewId="0">
      <selection sqref="A1:J133"/>
    </sheetView>
  </sheetViews>
  <sheetFormatPr defaultRowHeight="14.4"/>
  <cols>
    <col min="4" max="4" width="12.21875" customWidth="1"/>
    <col min="11" max="11" width="8.88671875" customWidth="1"/>
    <col min="12" max="12" width="10" customWidth="1"/>
    <col min="15" max="15" width="15.44140625" customWidth="1"/>
  </cols>
  <sheetData>
    <row r="1" spans="1:17" ht="23.4">
      <c r="A1" s="115" t="s">
        <v>2621</v>
      </c>
    </row>
    <row r="3" spans="1:17" ht="18">
      <c r="A3" s="54" t="s">
        <v>1863</v>
      </c>
    </row>
    <row r="5" spans="1:17">
      <c r="A5" t="s">
        <v>1864</v>
      </c>
      <c r="L5" t="s">
        <v>1915</v>
      </c>
    </row>
    <row r="7" spans="1:17" ht="28.8">
      <c r="A7" s="40" t="s">
        <v>1865</v>
      </c>
      <c r="B7" s="157">
        <v>7.0000000000000007E-2</v>
      </c>
      <c r="C7" s="157">
        <v>0.08</v>
      </c>
      <c r="D7" s="157">
        <v>0.09</v>
      </c>
      <c r="E7" s="157">
        <v>0.1</v>
      </c>
      <c r="F7" s="157">
        <v>0.11</v>
      </c>
      <c r="Q7" s="115" t="s">
        <v>1916</v>
      </c>
    </row>
    <row r="8" spans="1:17">
      <c r="A8" s="158">
        <v>0.01</v>
      </c>
      <c r="B8" s="49" t="s">
        <v>1866</v>
      </c>
      <c r="C8" s="49" t="s">
        <v>1866</v>
      </c>
      <c r="D8" s="49" t="s">
        <v>1866</v>
      </c>
      <c r="E8" s="49" t="s">
        <v>1866</v>
      </c>
      <c r="F8" s="49" t="s">
        <v>1866</v>
      </c>
    </row>
    <row r="9" spans="1:17">
      <c r="A9" s="158">
        <v>0.02</v>
      </c>
      <c r="B9" s="49" t="s">
        <v>1866</v>
      </c>
      <c r="C9" s="49" t="s">
        <v>1866</v>
      </c>
      <c r="D9" s="49" t="s">
        <v>1866</v>
      </c>
      <c r="E9" s="49" t="s">
        <v>1866</v>
      </c>
      <c r="F9" s="49" t="s">
        <v>1866</v>
      </c>
      <c r="Q9" s="167">
        <v>7.0000000000000007E-2</v>
      </c>
    </row>
    <row r="10" spans="1:17">
      <c r="A10" s="158">
        <v>0.03</v>
      </c>
      <c r="B10" s="49" t="s">
        <v>1866</v>
      </c>
      <c r="C10" s="49" t="s">
        <v>1866</v>
      </c>
      <c r="D10" s="49" t="s">
        <v>1866</v>
      </c>
      <c r="E10" s="49" t="s">
        <v>1866</v>
      </c>
      <c r="F10" s="49" t="s">
        <v>1866</v>
      </c>
      <c r="Q10" s="55"/>
    </row>
    <row r="11" spans="1:17">
      <c r="A11" s="158">
        <v>0.04</v>
      </c>
      <c r="B11" s="49" t="s">
        <v>1866</v>
      </c>
      <c r="C11" s="49" t="s">
        <v>1866</v>
      </c>
      <c r="D11" s="49" t="s">
        <v>1866</v>
      </c>
      <c r="E11" s="49" t="s">
        <v>1866</v>
      </c>
      <c r="F11" s="49" t="s">
        <v>1866</v>
      </c>
      <c r="Q11" s="55" t="s">
        <v>1917</v>
      </c>
    </row>
    <row r="12" spans="1:17">
      <c r="A12" s="158">
        <v>0.05</v>
      </c>
      <c r="B12" s="49" t="s">
        <v>1866</v>
      </c>
      <c r="C12" s="49" t="s">
        <v>1866</v>
      </c>
      <c r="D12" s="49" t="s">
        <v>1866</v>
      </c>
      <c r="E12" s="49" t="s">
        <v>1866</v>
      </c>
      <c r="F12" s="49" t="s">
        <v>1866</v>
      </c>
      <c r="Q12" s="55"/>
    </row>
    <row r="13" spans="1:17">
      <c r="Q13" s="55" t="s">
        <v>1918</v>
      </c>
    </row>
    <row r="14" spans="1:17" ht="18">
      <c r="A14" s="155" t="s">
        <v>1942</v>
      </c>
      <c r="Q14" s="55"/>
    </row>
    <row r="15" spans="1:17">
      <c r="Q15" s="55" t="s">
        <v>1919</v>
      </c>
    </row>
    <row r="16" spans="1:17" ht="28.8">
      <c r="A16" s="159" t="s">
        <v>1857</v>
      </c>
      <c r="B16" s="159" t="s">
        <v>1693</v>
      </c>
      <c r="C16" s="159" t="s">
        <v>1858</v>
      </c>
      <c r="D16" s="159" t="s">
        <v>1629</v>
      </c>
    </row>
    <row r="17" spans="1:17">
      <c r="A17" s="328" t="s">
        <v>1348</v>
      </c>
      <c r="B17" s="328" t="s">
        <v>1400</v>
      </c>
      <c r="C17" s="168">
        <v>7.7299999999999994E-2</v>
      </c>
      <c r="D17" s="328">
        <v>7.0000000000000007E-2</v>
      </c>
      <c r="Q17" s="167">
        <v>0.01</v>
      </c>
    </row>
    <row r="18" spans="1:17">
      <c r="A18" s="329"/>
      <c r="B18" s="329"/>
      <c r="C18" s="160">
        <v>0.08</v>
      </c>
      <c r="D18" s="329"/>
      <c r="Q18" s="55"/>
    </row>
    <row r="19" spans="1:17">
      <c r="A19" s="329"/>
      <c r="B19" s="329"/>
      <c r="C19" s="160">
        <v>0.09</v>
      </c>
      <c r="D19" s="329"/>
      <c r="Q19" s="55" t="s">
        <v>1920</v>
      </c>
    </row>
    <row r="20" spans="1:17">
      <c r="A20" s="329"/>
      <c r="B20" s="329"/>
      <c r="C20" s="160">
        <v>0.1</v>
      </c>
      <c r="D20" s="329"/>
      <c r="Q20" s="55"/>
    </row>
    <row r="21" spans="1:17">
      <c r="A21" s="330"/>
      <c r="B21" s="330"/>
      <c r="C21" s="160">
        <v>0.11</v>
      </c>
      <c r="D21" s="330"/>
      <c r="Q21" s="55" t="s">
        <v>1921</v>
      </c>
    </row>
    <row r="22" spans="1:17">
      <c r="A22" s="328" t="s">
        <v>1906</v>
      </c>
      <c r="B22" s="328" t="s">
        <v>1635</v>
      </c>
      <c r="C22" s="160">
        <v>1.2E-2</v>
      </c>
      <c r="D22" s="328">
        <v>1.2E-2</v>
      </c>
      <c r="Q22" s="55"/>
    </row>
    <row r="23" spans="1:17">
      <c r="A23" s="329"/>
      <c r="B23" s="329"/>
      <c r="C23" s="160">
        <v>0.02</v>
      </c>
      <c r="D23" s="329"/>
      <c r="Q23" s="55" t="s">
        <v>1922</v>
      </c>
    </row>
    <row r="24" spans="1:17">
      <c r="A24" s="329"/>
      <c r="B24" s="329"/>
      <c r="C24" s="160">
        <v>0.03</v>
      </c>
      <c r="D24" s="329"/>
    </row>
    <row r="25" spans="1:17">
      <c r="A25" s="329"/>
      <c r="B25" s="329"/>
      <c r="C25" s="160">
        <v>0.04</v>
      </c>
      <c r="D25" s="329"/>
      <c r="Q25" s="167">
        <v>0.05</v>
      </c>
    </row>
    <row r="26" spans="1:17">
      <c r="A26" s="330"/>
      <c r="B26" s="330"/>
      <c r="C26" s="160">
        <v>0.05</v>
      </c>
      <c r="D26" s="330"/>
      <c r="Q26" s="55"/>
    </row>
    <row r="27" spans="1:17">
      <c r="A27" s="328" t="s">
        <v>1800</v>
      </c>
      <c r="B27" s="328" t="s">
        <v>1638</v>
      </c>
      <c r="C27" s="160">
        <v>0.1</v>
      </c>
      <c r="D27" s="328">
        <v>0.15</v>
      </c>
      <c r="Q27" s="55" t="s">
        <v>1923</v>
      </c>
    </row>
    <row r="28" spans="1:17">
      <c r="A28" s="329"/>
      <c r="B28" s="329"/>
      <c r="C28" s="160">
        <v>0.15</v>
      </c>
      <c r="D28" s="329"/>
      <c r="Q28" s="55"/>
    </row>
    <row r="29" spans="1:17">
      <c r="A29" s="330"/>
      <c r="B29" s="330"/>
      <c r="C29" s="160">
        <v>0.2</v>
      </c>
      <c r="D29" s="330"/>
      <c r="Q29" s="55" t="s">
        <v>1924</v>
      </c>
    </row>
    <row r="30" spans="1:17">
      <c r="A30" s="328" t="s">
        <v>1801</v>
      </c>
      <c r="B30" s="328" t="s">
        <v>1641</v>
      </c>
      <c r="C30" s="160">
        <v>0.2</v>
      </c>
      <c r="D30" s="328">
        <v>0.2</v>
      </c>
      <c r="Q30" s="55"/>
    </row>
    <row r="31" spans="1:17">
      <c r="A31" s="329"/>
      <c r="B31" s="329"/>
      <c r="C31" s="160">
        <v>0.25</v>
      </c>
      <c r="D31" s="329"/>
      <c r="Q31" s="55" t="s">
        <v>1925</v>
      </c>
    </row>
    <row r="32" spans="1:17">
      <c r="A32" s="329"/>
      <c r="B32" s="329"/>
      <c r="C32" s="160">
        <v>0.3</v>
      </c>
      <c r="D32" s="329"/>
      <c r="Q32" s="55"/>
    </row>
    <row r="33" spans="1:17">
      <c r="A33" s="329"/>
      <c r="B33" s="329"/>
      <c r="C33" s="160">
        <v>0.35</v>
      </c>
      <c r="D33" s="329"/>
      <c r="Q33" s="55" t="s">
        <v>1926</v>
      </c>
    </row>
    <row r="34" spans="1:17">
      <c r="A34" s="330"/>
      <c r="B34" s="330"/>
      <c r="C34" s="160">
        <v>0.4</v>
      </c>
      <c r="D34" s="330"/>
    </row>
    <row r="35" spans="1:17" ht="23.4">
      <c r="A35" s="55"/>
      <c r="Q35" s="115" t="s">
        <v>1927</v>
      </c>
    </row>
    <row r="36" spans="1:17" ht="18">
      <c r="A36" s="54" t="s">
        <v>1941</v>
      </c>
    </row>
    <row r="37" spans="1:17">
      <c r="Q37" t="s">
        <v>1928</v>
      </c>
    </row>
    <row r="38" spans="1:17" ht="43.2">
      <c r="A38" s="159" t="s">
        <v>1857</v>
      </c>
      <c r="B38" s="159" t="s">
        <v>1693</v>
      </c>
      <c r="C38" s="159" t="s">
        <v>1440</v>
      </c>
      <c r="D38" s="159" t="s">
        <v>1911</v>
      </c>
    </row>
    <row r="39" spans="1:17" ht="43.2">
      <c r="A39" s="161" t="s">
        <v>1859</v>
      </c>
      <c r="B39" s="164" t="s">
        <v>1648</v>
      </c>
      <c r="C39" s="162">
        <v>4000000</v>
      </c>
      <c r="D39" s="165">
        <f>C39 * (1 - 0.05 * ((D17 - 0.07) / 0.01)) * (1 + 0.05 * ((D22 - 0.01) / 0.01))</f>
        <v>4040000</v>
      </c>
      <c r="Q39" t="s">
        <v>1862</v>
      </c>
    </row>
    <row r="40" spans="1:17" ht="28.8">
      <c r="A40" s="161" t="s">
        <v>1860</v>
      </c>
      <c r="B40" s="164" t="s">
        <v>1861</v>
      </c>
      <c r="C40" s="162">
        <v>4400000</v>
      </c>
      <c r="D40" s="165">
        <f>C40*(1-(0.1*(D17 - 0.07) / 0.01)) * (1 + 0.1 * ((D22 - 0.01) / 0.01))</f>
        <v>4488000</v>
      </c>
    </row>
    <row r="41" spans="1:17">
      <c r="A41" s="161" t="s">
        <v>1655</v>
      </c>
      <c r="B41" s="161" t="s">
        <v>1652</v>
      </c>
      <c r="C41" s="162">
        <v>500000</v>
      </c>
      <c r="D41" s="163" t="s">
        <v>1655</v>
      </c>
    </row>
    <row r="42" spans="1:17">
      <c r="Q42" t="s">
        <v>1929</v>
      </c>
    </row>
    <row r="43" spans="1:17" ht="18">
      <c r="A43" s="54" t="s">
        <v>1867</v>
      </c>
      <c r="Q43" s="55"/>
    </row>
    <row r="44" spans="1:17">
      <c r="A44" t="s">
        <v>1907</v>
      </c>
      <c r="Q44" s="55" t="s">
        <v>1930</v>
      </c>
    </row>
    <row r="45" spans="1:17">
      <c r="A45" s="24" t="s">
        <v>1908</v>
      </c>
      <c r="B45">
        <f>D22</f>
        <v>1.2E-2</v>
      </c>
      <c r="Q45" s="55"/>
    </row>
    <row r="46" spans="1:17">
      <c r="A46" s="166" t="s">
        <v>1909</v>
      </c>
      <c r="B46">
        <f>D17</f>
        <v>7.0000000000000007E-2</v>
      </c>
      <c r="Q46" s="55" t="s">
        <v>1931</v>
      </c>
    </row>
    <row r="47" spans="1:17">
      <c r="A47" s="166" t="s">
        <v>1910</v>
      </c>
      <c r="C47" s="24">
        <f>D39/C41* (1 - D27) * (1 - D30)</f>
        <v>5.4943999999999997</v>
      </c>
      <c r="D47" t="s">
        <v>1940</v>
      </c>
      <c r="Q47" s="55"/>
    </row>
    <row r="48" spans="1:17">
      <c r="A48" t="s">
        <v>1913</v>
      </c>
      <c r="Q48" s="55" t="s">
        <v>1932</v>
      </c>
    </row>
    <row r="49" spans="1:17">
      <c r="A49" t="s">
        <v>1862</v>
      </c>
      <c r="Q49" s="55"/>
    </row>
    <row r="50" spans="1:17">
      <c r="Q50" s="55" t="s">
        <v>1933</v>
      </c>
    </row>
    <row r="51" spans="1:17">
      <c r="A51" s="156">
        <f>(4000000*(1 - 0.05*((0.09-0.07)/0.01))*(1+0.05*((0.03-0.01)/0.01))/500000)*(1-0.15)*(1-0.3)</f>
        <v>4.7123999999999997</v>
      </c>
    </row>
    <row r="52" spans="1:17" ht="23.4">
      <c r="A52" s="55"/>
      <c r="Q52" s="115" t="s">
        <v>1934</v>
      </c>
    </row>
    <row r="53" spans="1:17">
      <c r="A53" s="55" t="s">
        <v>1868</v>
      </c>
      <c r="Q53" s="55"/>
    </row>
    <row r="54" spans="1:17">
      <c r="A54" s="55"/>
      <c r="Q54" s="116" t="s">
        <v>1935</v>
      </c>
    </row>
    <row r="55" spans="1:17">
      <c r="A55" s="116" t="s">
        <v>1914</v>
      </c>
      <c r="C55" s="144">
        <f>D40 /C41</f>
        <v>8.9760000000000009</v>
      </c>
      <c r="D55" t="s">
        <v>1940</v>
      </c>
      <c r="Q55" s="55"/>
    </row>
    <row r="56" spans="1:17">
      <c r="A56" t="s">
        <v>1912</v>
      </c>
      <c r="Q56" s="116" t="s">
        <v>1936</v>
      </c>
    </row>
    <row r="57" spans="1:17">
      <c r="A57" t="s">
        <v>1862</v>
      </c>
      <c r="Q57" s="55"/>
    </row>
    <row r="58" spans="1:17">
      <c r="Q58" s="116" t="s">
        <v>1937</v>
      </c>
    </row>
    <row r="59" spans="1:17">
      <c r="A59" s="156">
        <f>(4400000*(1 - 0.1*((0.09-0.07)/0.01))*(1+0.1*((0.03-0.01)/0.01))/500000)</f>
        <v>8.4480000000000004</v>
      </c>
    </row>
    <row r="60" spans="1:17">
      <c r="A60" s="55"/>
    </row>
    <row r="61" spans="1:17">
      <c r="A61" s="55" t="s">
        <v>1869</v>
      </c>
    </row>
    <row r="63" spans="1:17" ht="18">
      <c r="A63" s="54" t="s">
        <v>1870</v>
      </c>
    </row>
    <row r="64" spans="1:17">
      <c r="A64" s="55"/>
    </row>
    <row r="65" spans="1:1">
      <c r="A65" s="55" t="s">
        <v>1871</v>
      </c>
    </row>
    <row r="66" spans="1:1">
      <c r="A66" s="55"/>
    </row>
    <row r="67" spans="1:1">
      <c r="A67" s="55" t="s">
        <v>1872</v>
      </c>
    </row>
    <row r="68" spans="1:1">
      <c r="A68" s="55"/>
    </row>
    <row r="69" spans="1:1">
      <c r="A69" s="55" t="s">
        <v>1873</v>
      </c>
    </row>
    <row r="71" spans="1:1" ht="23.4">
      <c r="A71" s="115" t="s">
        <v>1874</v>
      </c>
    </row>
    <row r="73" spans="1:1">
      <c r="A73" t="s">
        <v>1875</v>
      </c>
    </row>
    <row r="74" spans="1:1">
      <c r="A74" s="55"/>
    </row>
    <row r="75" spans="1:1">
      <c r="A75" s="55" t="s">
        <v>1876</v>
      </c>
    </row>
    <row r="76" spans="1:1">
      <c r="A76" s="55"/>
    </row>
    <row r="77" spans="1:1">
      <c r="A77" s="55" t="s">
        <v>1877</v>
      </c>
    </row>
    <row r="78" spans="1:1">
      <c r="A78" s="55"/>
    </row>
    <row r="79" spans="1:1">
      <c r="A79" s="55" t="s">
        <v>1878</v>
      </c>
    </row>
    <row r="81" spans="1:10" ht="30.6" customHeight="1">
      <c r="A81" s="302" t="s">
        <v>1879</v>
      </c>
      <c r="B81" s="302"/>
      <c r="C81" s="302"/>
      <c r="D81" s="302"/>
      <c r="E81" s="302"/>
      <c r="F81" s="302"/>
      <c r="G81" s="302"/>
      <c r="H81" s="302"/>
      <c r="I81" s="302"/>
      <c r="J81" s="302"/>
    </row>
    <row r="83" spans="1:10">
      <c r="A83" t="s">
        <v>1880</v>
      </c>
    </row>
    <row r="85" spans="1:10" ht="29.4" customHeight="1">
      <c r="A85" s="302" t="s">
        <v>1881</v>
      </c>
      <c r="B85" s="302"/>
      <c r="C85" s="302"/>
      <c r="D85" s="302"/>
      <c r="E85" s="302"/>
      <c r="F85" s="302"/>
      <c r="G85" s="302"/>
      <c r="H85" s="302"/>
      <c r="I85" s="302"/>
      <c r="J85" s="302"/>
    </row>
    <row r="87" spans="1:10" ht="23.4">
      <c r="A87" s="115" t="s">
        <v>1882</v>
      </c>
    </row>
    <row r="89" spans="1:10" ht="18">
      <c r="A89" s="54" t="s">
        <v>1883</v>
      </c>
    </row>
    <row r="91" spans="1:10">
      <c r="A91" t="s">
        <v>637</v>
      </c>
    </row>
    <row r="93" spans="1:10">
      <c r="A93" s="156" t="s">
        <v>1884</v>
      </c>
    </row>
    <row r="94" spans="1:10">
      <c r="A94" s="156" t="s">
        <v>1885</v>
      </c>
    </row>
    <row r="95" spans="1:10">
      <c r="A95" s="156" t="s">
        <v>1886</v>
      </c>
    </row>
    <row r="96" spans="1:10">
      <c r="A96" s="156" t="s">
        <v>1887</v>
      </c>
    </row>
    <row r="97" spans="1:1">
      <c r="A97" s="156" t="s">
        <v>1888</v>
      </c>
    </row>
    <row r="98" spans="1:1">
      <c r="A98" s="156" t="s">
        <v>1889</v>
      </c>
    </row>
    <row r="99" spans="1:1">
      <c r="A99" s="156" t="s">
        <v>1890</v>
      </c>
    </row>
    <row r="101" spans="1:1" ht="18">
      <c r="A101" s="54" t="s">
        <v>1891</v>
      </c>
    </row>
    <row r="103" spans="1:1">
      <c r="A103" t="s">
        <v>1862</v>
      </c>
    </row>
    <row r="105" spans="1:1">
      <c r="A105" s="156" t="e">
        <f>(4000000*(1 - 0.05*((WACC%-0.07)/0.01))*(1+0.05*((Growth%-0.01)/0.01))/500000)*(1-0.15)*(1-0.3)</f>
        <v>#NAME?</v>
      </c>
    </row>
    <row r="107" spans="1:1" ht="18">
      <c r="A107" s="54" t="s">
        <v>1892</v>
      </c>
    </row>
    <row r="109" spans="1:1">
      <c r="A109" t="s">
        <v>1862</v>
      </c>
    </row>
    <row r="111" spans="1:1">
      <c r="A111" s="156" t="e">
        <f>(4400000*(1 - 0.1*((WACC%-0.07)/0.01))*(1+0.1*((Growth%-0.01)/0.01))/500000)</f>
        <v>#NAME?</v>
      </c>
    </row>
    <row r="113" spans="1:6" ht="18">
      <c r="A113" s="54" t="s">
        <v>1893</v>
      </c>
    </row>
    <row r="115" spans="1:6" ht="28.8">
      <c r="A115" s="40" t="s">
        <v>1865</v>
      </c>
      <c r="B115" s="157">
        <v>7.0000000000000007E-2</v>
      </c>
      <c r="C115" s="157">
        <v>0.08</v>
      </c>
      <c r="D115" s="157">
        <v>0.09</v>
      </c>
      <c r="E115" s="157">
        <v>0.1</v>
      </c>
      <c r="F115" s="157">
        <v>0.11</v>
      </c>
    </row>
    <row r="116" spans="1:6" ht="43.2">
      <c r="A116" s="158">
        <v>0.03</v>
      </c>
      <c r="B116" s="49" t="s">
        <v>1894</v>
      </c>
      <c r="C116" s="49" t="s">
        <v>1895</v>
      </c>
      <c r="D116" s="49" t="s">
        <v>1896</v>
      </c>
      <c r="E116" s="49" t="s">
        <v>1897</v>
      </c>
      <c r="F116" s="49" t="s">
        <v>1898</v>
      </c>
    </row>
    <row r="117" spans="1:6">
      <c r="B117" t="e">
        <f>(4000000*(1 - 0.05*((WACC%-0.07)/0.01))*(1+0.05*((Growth%-0.01)/0.01))/500000)*(1-0.15)*(1-0.3)</f>
        <v>#NAME?</v>
      </c>
    </row>
    <row r="118" spans="1:6" ht="18">
      <c r="A118" s="54" t="s">
        <v>1899</v>
      </c>
    </row>
    <row r="119" spans="1:6">
      <c r="A119" s="55"/>
    </row>
    <row r="120" spans="1:6">
      <c r="A120" s="55" t="s">
        <v>1900</v>
      </c>
    </row>
    <row r="121" spans="1:6">
      <c r="A121" s="55"/>
    </row>
    <row r="122" spans="1:6">
      <c r="A122" s="55" t="s">
        <v>1901</v>
      </c>
    </row>
    <row r="123" spans="1:6">
      <c r="A123" s="55"/>
    </row>
    <row r="124" spans="1:6">
      <c r="A124" s="55"/>
    </row>
    <row r="125" spans="1:6">
      <c r="A125" s="120"/>
    </row>
    <row r="126" spans="1:6">
      <c r="A126" s="120" t="s">
        <v>1902</v>
      </c>
    </row>
    <row r="127" spans="1:6">
      <c r="A127" s="55"/>
    </row>
    <row r="128" spans="1:6">
      <c r="A128" s="55" t="s">
        <v>1903</v>
      </c>
    </row>
    <row r="129" spans="1:10">
      <c r="A129" s="55"/>
    </row>
    <row r="130" spans="1:10">
      <c r="A130" s="55" t="s">
        <v>1904</v>
      </c>
    </row>
    <row r="132" spans="1:10" ht="43.2" customHeight="1">
      <c r="A132" s="302" t="s">
        <v>1905</v>
      </c>
      <c r="B132" s="302"/>
      <c r="C132" s="302"/>
      <c r="D132" s="302"/>
      <c r="E132" s="302"/>
      <c r="F132" s="302"/>
      <c r="G132" s="302"/>
      <c r="H132" s="302"/>
      <c r="I132" s="302"/>
      <c r="J132" s="302"/>
    </row>
  </sheetData>
  <mergeCells count="15">
    <mergeCell ref="A81:J81"/>
    <mergeCell ref="A85:J85"/>
    <mergeCell ref="A132:J132"/>
    <mergeCell ref="D17:D21"/>
    <mergeCell ref="D22:D26"/>
    <mergeCell ref="D27:D29"/>
    <mergeCell ref="D30:D34"/>
    <mergeCell ref="A17:A21"/>
    <mergeCell ref="A22:A26"/>
    <mergeCell ref="A27:A29"/>
    <mergeCell ref="A30:A34"/>
    <mergeCell ref="B17:B21"/>
    <mergeCell ref="B22:B26"/>
    <mergeCell ref="B27:B29"/>
    <mergeCell ref="B30:B34"/>
  </mergeCells>
  <dataValidations count="4">
    <dataValidation type="list" allowBlank="1" showInputMessage="1" showErrorMessage="1" sqref="D17:D21" xr:uid="{8876DEA6-04FF-4444-8BD6-EA4B4B185BED}">
      <formula1>$C$17:$C$21</formula1>
    </dataValidation>
    <dataValidation type="list" allowBlank="1" showInputMessage="1" showErrorMessage="1" sqref="D22:D26" xr:uid="{8EECC76A-BA14-4171-A198-B5B34E9585A0}">
      <formula1>$C$22:$C$26</formula1>
    </dataValidation>
    <dataValidation type="list" allowBlank="1" showInputMessage="1" showErrorMessage="1" sqref="D27:D29" xr:uid="{94D7CA90-C519-4FE7-8FF4-72D21744FFF6}">
      <formula1>$C$27:$C$29</formula1>
    </dataValidation>
    <dataValidation type="list" allowBlank="1" showInputMessage="1" showErrorMessage="1" sqref="D30:D34" xr:uid="{1FD1FAB0-04BC-49B1-BC82-F9F19DF9555A}">
      <formula1>$C$30:$C$34</formula1>
    </dataValidation>
  </dataValidation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8C9B-451E-4118-9DB8-EB3541E79ADB}">
  <dimension ref="A1:G18"/>
  <sheetViews>
    <sheetView workbookViewId="0">
      <selection activeCell="G7" sqref="G7"/>
    </sheetView>
  </sheetViews>
  <sheetFormatPr defaultRowHeight="14.4"/>
  <cols>
    <col min="1" max="3" width="16.33203125" customWidth="1"/>
    <col min="4" max="4" width="26.44140625" customWidth="1"/>
    <col min="5" max="5" width="16.77734375" style="7" customWidth="1"/>
    <col min="6" max="6" width="27.109375" customWidth="1"/>
    <col min="7" max="7" width="12" style="7" customWidth="1"/>
  </cols>
  <sheetData>
    <row r="1" spans="1:7">
      <c r="A1" t="s">
        <v>1392</v>
      </c>
    </row>
    <row r="3" spans="1:7">
      <c r="A3" s="40" t="s">
        <v>1393</v>
      </c>
      <c r="B3" s="40" t="s">
        <v>1394</v>
      </c>
      <c r="C3" s="40" t="s">
        <v>1395</v>
      </c>
      <c r="D3" s="40" t="s">
        <v>1285</v>
      </c>
      <c r="E3" s="40" t="s">
        <v>1396</v>
      </c>
      <c r="F3" s="40" t="s">
        <v>1397</v>
      </c>
      <c r="G3" s="40" t="s">
        <v>1398</v>
      </c>
    </row>
    <row r="4" spans="1:7" ht="28.8">
      <c r="A4" s="49" t="s">
        <v>1399</v>
      </c>
      <c r="B4" s="49" t="s">
        <v>1400</v>
      </c>
      <c r="C4" s="49" t="s">
        <v>1401</v>
      </c>
      <c r="D4" s="49" t="s">
        <v>1402</v>
      </c>
      <c r="E4" s="17" t="s">
        <v>1403</v>
      </c>
      <c r="F4" s="49" t="s">
        <v>1404</v>
      </c>
      <c r="G4" s="17" t="s">
        <v>1405</v>
      </c>
    </row>
    <row r="5" spans="1:7" ht="28.8">
      <c r="A5" s="49" t="s">
        <v>1406</v>
      </c>
      <c r="B5" s="49" t="s">
        <v>1407</v>
      </c>
      <c r="C5" s="49" t="s">
        <v>1408</v>
      </c>
      <c r="D5" s="49" t="s">
        <v>1409</v>
      </c>
      <c r="E5" s="40" t="s">
        <v>1391</v>
      </c>
      <c r="F5" s="49" t="s">
        <v>1410</v>
      </c>
      <c r="G5" s="17" t="s">
        <v>1405</v>
      </c>
    </row>
    <row r="6" spans="1:7" ht="28.8">
      <c r="A6" s="49" t="s">
        <v>1411</v>
      </c>
      <c r="B6" s="49" t="s">
        <v>1412</v>
      </c>
      <c r="C6" s="49" t="s">
        <v>1413</v>
      </c>
      <c r="D6" s="49" t="s">
        <v>1414</v>
      </c>
      <c r="E6" s="40" t="s">
        <v>1391</v>
      </c>
      <c r="F6" s="49" t="s">
        <v>1415</v>
      </c>
      <c r="G6" s="17" t="s">
        <v>1405</v>
      </c>
    </row>
    <row r="7" spans="1:7" ht="28.8">
      <c r="A7" s="49" t="s">
        <v>1416</v>
      </c>
      <c r="B7" s="49" t="s">
        <v>1417</v>
      </c>
      <c r="C7" s="49" t="s">
        <v>1418</v>
      </c>
      <c r="D7" s="49" t="s">
        <v>1419</v>
      </c>
      <c r="E7" s="17" t="s">
        <v>1403</v>
      </c>
      <c r="F7" s="49" t="s">
        <v>1420</v>
      </c>
      <c r="G7" s="17" t="s">
        <v>1405</v>
      </c>
    </row>
    <row r="8" spans="1:7" ht="43.2">
      <c r="A8" s="49" t="s">
        <v>1421</v>
      </c>
      <c r="B8" s="49" t="s">
        <v>1422</v>
      </c>
      <c r="C8" s="49" t="s">
        <v>1423</v>
      </c>
      <c r="D8" s="49" t="s">
        <v>1424</v>
      </c>
      <c r="E8" s="17" t="s">
        <v>1390</v>
      </c>
      <c r="F8" s="49" t="s">
        <v>1425</v>
      </c>
      <c r="G8" s="17" t="s">
        <v>1405</v>
      </c>
    </row>
    <row r="9" spans="1:7" ht="40.799999999999997">
      <c r="A9" s="49" t="s">
        <v>1426</v>
      </c>
      <c r="B9" s="49" t="s">
        <v>1427</v>
      </c>
      <c r="C9" s="49" t="s">
        <v>1408</v>
      </c>
      <c r="D9" s="49" t="s">
        <v>1428</v>
      </c>
      <c r="E9" s="40" t="s">
        <v>1391</v>
      </c>
      <c r="F9" s="49" t="s">
        <v>1429</v>
      </c>
      <c r="G9" s="17" t="s">
        <v>1405</v>
      </c>
    </row>
    <row r="10" spans="1:7" ht="28.8">
      <c r="A10" s="49" t="s">
        <v>1430</v>
      </c>
      <c r="B10" s="49" t="s">
        <v>1431</v>
      </c>
      <c r="C10" s="49" t="s">
        <v>1432</v>
      </c>
      <c r="D10" s="49" t="s">
        <v>1433</v>
      </c>
      <c r="E10" s="17" t="s">
        <v>1403</v>
      </c>
      <c r="F10" s="49" t="s">
        <v>1434</v>
      </c>
      <c r="G10" s="17" t="s">
        <v>1435</v>
      </c>
    </row>
    <row r="13" spans="1:7">
      <c r="A13" t="s">
        <v>1436</v>
      </c>
    </row>
    <row r="15" spans="1:7">
      <c r="A15" t="s">
        <v>1405</v>
      </c>
    </row>
    <row r="16" spans="1:7">
      <c r="A16" t="s">
        <v>1435</v>
      </c>
    </row>
    <row r="17" spans="1:1">
      <c r="A17" t="s">
        <v>1437</v>
      </c>
    </row>
    <row r="18" spans="1:1">
      <c r="A18" t="s">
        <v>1438</v>
      </c>
    </row>
  </sheetData>
  <dataValidations count="1">
    <dataValidation type="list" allowBlank="1" showInputMessage="1" showErrorMessage="1" sqref="G4:G10" xr:uid="{33C184C3-70E2-45B2-9418-3E506C09C936}">
      <formula1>$A$15:$A$18</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65C84B-B4A7-4E04-A9EB-BF585E8D50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00_Ref</vt:lpstr>
      <vt:lpstr>00_Dashboard</vt:lpstr>
      <vt:lpstr>000_Steps in screenshot</vt:lpstr>
      <vt:lpstr>01_Inputs</vt:lpstr>
      <vt:lpstr>02_Normalization</vt:lpstr>
      <vt:lpstr>03_Beta_Calculation</vt:lpstr>
      <vt:lpstr>03i_Beta_Calculation</vt:lpstr>
      <vt:lpstr>03b_Size Premium Method 15Y</vt:lpstr>
      <vt:lpstr>03c_Size Premium Method 10Y</vt:lpstr>
      <vt:lpstr> 04_CAPM</vt:lpstr>
      <vt:lpstr>05_WACC</vt:lpstr>
      <vt:lpstr>06_Income_Based DCF</vt:lpstr>
      <vt:lpstr>06b_Sustainable Growth Rate</vt:lpstr>
      <vt:lpstr>07_Income_Based_Capitalization</vt:lpstr>
      <vt:lpstr>08_Market_Multiple</vt:lpstr>
      <vt:lpstr>09_Asset_Based</vt:lpstr>
      <vt:lpstr>10_CSRP_Scoring</vt:lpstr>
      <vt:lpstr>11a_DLOC</vt:lpstr>
      <vt:lpstr>11b_DLOM</vt:lpstr>
      <vt:lpstr>12_Valuation Summary</vt:lpstr>
      <vt:lpstr>13_Report_Template</vt:lpstr>
      <vt:lpstr>14_Case Study_Gamma</vt:lpstr>
      <vt:lpstr>15_DB_SGX_Industry</vt:lpstr>
      <vt:lpstr>16_DB-SGX_Loading</vt:lpstr>
      <vt:lpstr>16b_Loading by main or catalyst</vt:lpstr>
      <vt:lpstr>17_Toolkit_Overview</vt:lpstr>
      <vt:lpstr>18_Sensitivity_table</vt:lpstr>
      <vt:lpstr>19_Checklist</vt:lpstr>
      <vt:lpstr>RichCapital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Peng Chun Wong</cp:lastModifiedBy>
  <dcterms:created xsi:type="dcterms:W3CDTF">2025-09-06T12:21:11Z</dcterms:created>
  <dcterms:modified xsi:type="dcterms:W3CDTF">2026-05-12T07:12:12Z</dcterms:modified>
</cp:coreProperties>
</file>