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ed Eligibility Criteria" sheetId="1" r:id="rId4"/>
    <sheet state="hidden" name="Options" sheetId="2" r:id="rId5"/>
    <sheet state="visible" name="Data Requests" sheetId="3" r:id="rId6"/>
    <sheet state="hidden" name="Coding - Isaac" sheetId="4" r:id="rId7"/>
    <sheet state="hidden" name="Coding - Laura" sheetId="5" r:id="rId8"/>
    <sheet state="visible" name="Coding - Consensus" sheetId="6" r:id="rId9"/>
    <sheet state="visible" name="Worksheet - Diedrichs et al 201" sheetId="7" r:id="rId10"/>
    <sheet state="visible" name="Worksheet - Atkinson &amp; Wade 201" sheetId="8" r:id="rId11"/>
    <sheet state="hidden" name="Worksheet - Wilksch &amp; Wade 2009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SD ~ 1.2
	-Isaac Ahuvia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Added; 1: Child; 2: Parent (outcomes always for child)
	-Isaac Ahuvia</t>
      </text>
    </comment>
    <comment authorId="0" ref="AF3">
      <text>
        <t xml:space="preserve">Added
	-Isaac Ahuvia</t>
      </text>
    </comment>
    <comment authorId="0" ref="G43">
      <text>
        <t xml:space="preserve">UK
	-Isaac Ahuvia</t>
      </text>
    </comment>
    <comment authorId="0" ref="G39">
      <text>
        <t xml:space="preserve">Brazil
	-Isaac Ahuvia</t>
      </text>
    </comment>
    <comment authorId="0" ref="O37">
      <text>
        <t xml:space="preserve">"77-90%"
	-Isaac Ahuvia</t>
      </text>
    </comment>
    <comment authorId="0" ref="K37">
      <text>
        <t xml:space="preserve">"majority freshmen"
	-Isaac Ahuvia</t>
      </text>
    </comment>
    <comment authorId="0" ref="G35">
      <text>
        <t xml:space="preserve">Germany
	-Isaac Ahuvia</t>
      </text>
    </comment>
    <comment authorId="0" ref="AL33">
      <text>
        <t xml:space="preserve">Self-administered online (tailored experience)
	-Isaac Ahuvia</t>
      </text>
    </comment>
    <comment authorId="0" ref="AL32">
      <text>
        <t xml:space="preserve">Self-administered online (unstructured experience)
	-Isaac Ahuvia</t>
      </text>
    </comment>
    <comment authorId="0" ref="G32">
      <text>
        <t xml:space="preserve">England
	-Isaac Ahuvia</t>
      </text>
    </comment>
    <comment authorId="0" ref="AF30">
      <text>
        <t xml:space="preserve">Random allocation of individuals in blocks of 8
	-Isaac Ahuvia</t>
      </text>
    </comment>
    <comment authorId="0" ref="O30">
      <text>
        <t xml:space="preserve">European American
	-Isaac Ahuvia</t>
      </text>
    </comment>
    <comment authorId="0" ref="H30">
      <text>
        <t xml:space="preserve">Primary care setting (not specific to mental health/therapy)
	-Isaac Ahuvia</t>
      </text>
    </comment>
    <comment authorId="0" ref="G27">
      <text>
        <t xml:space="preserve">England
	-Isaac Ahuvia</t>
      </text>
    </comment>
    <comment authorId="0" ref="AI24">
      <text>
        <t xml:space="preserve">Attended class 3; not sure if this means attended classes 1, 2, and 3
	-Isaac Ahuvia</t>
      </text>
    </comment>
    <comment authorId="0" ref="AV24">
      <text>
        <t xml:space="preserve">Could be overestimate; "completers" is # of students who attended class 3 - not sure if this means they attended classes 1, 2, and 3
	-Isaac Ahuvia</t>
      </text>
    </comment>
    <comment authorId="0" ref="AS24">
      <text>
        <t xml:space="preserve">Assuming each lesson, which went for one class period, was an hour
	-Isaac Ahuvia</t>
      </text>
    </comment>
    <comment authorId="0" ref="G24">
      <text>
        <t xml:space="preserve">Australia
	-Isaac Ahuvia</t>
      </text>
    </comment>
    <comment authorId="0" ref="AR22">
      <text>
        <t xml:space="preserve">Sessions were recorded to assess acceptability by teachers, but not to provide corrective feedback
	-Isaac Ahuvia</t>
      </text>
    </comment>
    <comment authorId="0" ref="AM22">
      <text>
        <t xml:space="preserve">Media literacy; fat talk; positive psychology
	-Isaac Ahuvia</t>
      </text>
    </comment>
    <comment authorId="0" ref="L22">
      <text>
        <t xml:space="preserve">Best guess; all were years 8 and 9
	-Isaac Ahuvia</t>
      </text>
    </comment>
    <comment authorId="0" ref="G22">
      <text>
        <t xml:space="preserve">UK
	-Isaac Ahuvia</t>
      </text>
    </comment>
    <comment authorId="0" ref="G18">
      <text>
        <t xml:space="preserve">Australia
	-Isaac Ahuvia</t>
      </text>
    </comment>
    <comment authorId="0" ref="T16">
      <text>
        <t xml:space="preserve">Includes multi
	-Isaac Ahuvia</t>
      </text>
    </comment>
    <comment authorId="0" ref="AR14">
      <text>
        <t xml:space="preserve">All sessions facilitated by intervention creator
	-Isaac Ahuvia</t>
      </text>
    </comment>
    <comment authorId="0" ref="AQ14">
      <text>
        <t xml:space="preserve">Intervention administered by creator
	-Isaac Ahuvia</t>
      </text>
    </comment>
    <comment authorId="0" ref="AM14">
      <text>
        <t xml:space="preserve">Media literacy
	-Isaac Ahuvia</t>
      </text>
    </comment>
    <comment authorId="0" ref="O14">
      <text>
        <t xml:space="preserve">Best guess based on the other Australia sample; author just stated "typically white"
	-Isaac Ahuvia</t>
      </text>
    </comment>
    <comment authorId="0" ref="L14">
      <text>
        <t xml:space="preserve">Best guess; all were grade 8
	-Isaac Ahuvia</t>
      </text>
    </comment>
    <comment authorId="0" ref="G14">
      <text>
        <t xml:space="preserve">Australia
	-Isaac Ahuvia</t>
      </text>
    </comment>
    <comment authorId="0" ref="AL12">
      <text>
        <t xml:space="preserve">Online group sessions
	-Isaac Ahuvia</t>
      </text>
    </comment>
    <comment authorId="0" ref="Y12">
      <text>
        <t xml:space="preserve">Self-identification of "body image or eating problems"; 2 &amp; 3
	-Isaac Ahuvia</t>
      </text>
    </comment>
    <comment authorId="0" ref="G12">
      <text>
        <t xml:space="preserve">Australia
	-Isaac Ahuvia</t>
      </text>
    </comment>
    <comment authorId="0" ref="AM8">
      <text>
        <t xml:space="preserve">Thin-ideal and behaviors like "fat talk" that are specifically relevant to them being parents
	-Isaac Ahuvia</t>
      </text>
    </comment>
    <comment authorId="0" ref="AG8">
      <text>
        <t xml:space="preserve">Referring to parents
	-Isaac Ahuvia</t>
      </text>
    </comment>
    <comment authorId="0" ref="T8">
      <text>
        <t xml:space="preserve">Other or mixed
	-Isaac Ahuvia</t>
      </text>
    </comment>
    <comment authorId="0" ref="AJ6">
      <text>
        <t xml:space="preserve">Expressive writing
	-Isaac Ahuvia</t>
      </text>
    </comment>
    <comment authorId="0" ref="T4">
      <text>
        <t xml:space="preserve">Includes Native American and multi-ethnic categories
	-Isaac Ahuvia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2">
      <text>
        <t xml:space="preserve">completers/allocated
	-Laura Jans</t>
      </text>
    </comment>
    <comment authorId="0" ref="AF8">
      <text>
        <t xml:space="preserve">parent-daughter dyads
	-Laura Jans</t>
      </text>
    </comment>
    <comment authorId="0" ref="V46">
      <text>
        <t xml:space="preserve">not sure if not reported; not included on table 2
	-Laura Jans</t>
      </text>
    </comment>
    <comment authorId="0" ref="AV47">
      <text>
        <t xml:space="preserve">757 analyzed after exclusions (figure 1);  756 according to table 2
	-Laura Jans</t>
      </text>
    </comment>
    <comment authorId="0" ref="AX46">
      <text>
        <t xml:space="preserve">all values in SD column are standard error
	-Laura Jans</t>
      </text>
    </comment>
    <comment authorId="0" ref="BA46">
      <text>
        <t xml:space="preserve">standard error
	-Laura Jans</t>
      </text>
    </comment>
    <comment authorId="0" ref="AZ46">
      <text>
        <t xml:space="preserve">From supplementary table 6
	-Laura Jans</t>
      </text>
    </comment>
    <comment authorId="0" ref="AA46">
      <text>
        <t xml:space="preserve">Negative affect subscale used
	-Laura Jans</t>
      </text>
    </comment>
    <comment authorId="0" ref="AQ46">
      <text>
        <t xml:space="preserve"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</text>
    </comment>
    <comment authorId="0" ref="AO46">
      <text>
        <t xml:space="preserve">https://www.dove.com/us/en/dove-self-esteem-project/school-workshops-on-body-image-confident-me/five-sessions.html
	-Laura Jans</t>
      </text>
    </comment>
    <comment authorId="0" ref="J46">
      <text>
        <t xml:space="preserve">"Participating schools received a £1,300 honorarium over 36 months, and students were entered into raffle prize draws for £10 gift vouchers at each time point."
	-Laura Jans</t>
      </text>
    </comment>
    <comment authorId="0" ref="G46">
      <text>
        <t xml:space="preserve">England
	-Laura Jans</t>
      </text>
    </comment>
    <comment authorId="0" ref="Q42">
      <text>
        <t xml:space="preserve">Latinx; % of participants who identify with each race not specified
	-Laura Jans</t>
      </text>
    </comment>
    <comment authorId="0" ref="AU42">
      <text>
        <t xml:space="preserve">"A total of 50,6% of intervention participants attended all four sessions (and completed the posttest assessment)"
	-Laura Jans</t>
      </text>
    </comment>
    <comment authorId="0" ref="AA43">
      <text>
        <t xml:space="preserve">The 15 items related to negative emotional states were used
	-Laura Jans</t>
      </text>
    </comment>
    <comment authorId="0" ref="AA42">
      <text>
        <t xml:space="preserve">20 item version
	-Laura Jans</t>
      </text>
    </comment>
    <comment authorId="0" ref="G42">
      <text>
        <t xml:space="preserve">Brazil
	-Laura Jans</t>
      </text>
    </comment>
    <comment authorId="0" ref="AO42">
      <text>
        <t xml:space="preserve">http://www.bodyprojectsupport.org/resources/materials
	-Laura Jans</t>
      </text>
    </comment>
    <comment authorId="0" ref="AL42">
      <text>
        <t xml:space="preserve">thin ideal internalization
	-Laura Jans</t>
      </text>
    </comment>
    <comment authorId="0" ref="AO39">
      <text>
        <t xml:space="preserve"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</text>
    </comment>
    <comment authorId="0" ref="AL39">
      <text>
        <t xml:space="preserve">module topics: body image; eating disorders; mindful eating and exercise; self-worth and self-esteem;  weight bias, bullying and appreciation of others; media literacy
	-Laura Jans</t>
      </text>
    </comment>
    <comment authorId="0" ref="AV39">
      <text>
        <t xml:space="preserve">36 completed baseline; 27 were completers
Mean and SD are for completers
	-Laura Jans</t>
      </text>
    </comment>
    <comment authorId="0" ref="N39">
      <text>
        <t xml:space="preserve">This percentage is for completed participants
[(.926*27)+(.6*10)+(.895*20)]/57 ~
(25+6+18)/57
	-Laura Jans</t>
      </text>
    </comment>
    <comment authorId="0" ref="K39">
      <text>
        <t xml:space="preserve">majority freshmen
	-Laura Jans</t>
      </text>
    </comment>
    <comment authorId="0" ref="AR39">
      <text>
        <t xml:space="preserve">"Meetings occur weekly for 30 minutes to one hour and school-wide or community-based REbeL activities occur throughout the school year and summer months based on the needs and culture of individual chapters and schools."
	-Laura Jans</t>
      </text>
    </comment>
    <comment authorId="0" ref="AT39">
      <text>
        <t xml:space="preserve">"Both REbeL schools began their weekly chapter meetings in October 2015 and ended them in May 2016"
	-Laura Jans</t>
      </text>
    </comment>
    <comment authorId="0" ref="AQ39">
      <text>
        <t xml:space="preserve"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</text>
    </comment>
    <comment authorId="0" ref="AN39">
      <text>
        <t xml:space="preserve">"The semi-manualized and module-based REbeL curriculum allows for greater individualization depending upon school and student need"
	-Laura Jans</t>
      </text>
    </comment>
    <comment authorId="0" ref="AM39">
      <text>
        <t xml:space="preserve">Peer-led with guidance from a teacher-sponsor
	-Laura Jans</t>
      </text>
    </comment>
    <comment authorId="0" ref="AQ37">
      <text>
        <t xml:space="preserve">"Monthly review meetings are held to ensure that the prevention manual is being implemented to a uniformly high standard through the duration of the study." &lt;- from study protocol
	-Laura Jans</t>
      </text>
    </comment>
    <comment authorId="0" ref="AM37">
      <text>
        <t xml:space="preserve">"All sessions are led by a one member of the CPA (Center of the Prevention of Addiction) and one member of the research team with at least masters’ level degree and a background in clinical psychology" &lt;- from study protocol
	-Laura Jans</t>
      </text>
    </comment>
    <comment authorId="0" ref="K37">
      <text>
        <t xml:space="preserve">total (completers)
	-Laura Jans</t>
      </text>
    </comment>
    <comment authorId="0" ref="N37">
      <text>
        <t xml:space="preserve">total (completers)
	-Laura Jans</t>
      </text>
    </comment>
    <comment authorId="0" ref="AV37">
      <text>
        <t xml:space="preserve"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</text>
    </comment>
    <comment authorId="0" ref="AI37">
      <text>
        <t xml:space="preserve">This was the number of participants who completed the intervention and post-intervention assessment.  From earlier in the paper: "The participation rates for the intervention group
were 88% at post-intervention" -- about 950 completed the intervention?
	-Laura Jans</t>
      </text>
    </comment>
    <comment authorId="0" ref="AL37">
      <text>
        <t xml:space="preserve">Intervention targeted Western beauty ideals, media literacy, risk/protective factors for eating disorders, and nutrition.
	-Laura Jans</t>
      </text>
    </comment>
    <comment authorId="0" ref="G37">
      <text>
        <t xml:space="preserve">Germany
	-Laura Jans</t>
      </text>
    </comment>
    <comment authorId="0" ref="AZ34">
      <text>
        <t xml:space="preserve">2 weeks post intervention
	-Laura Jans</t>
      </text>
    </comment>
    <comment authorId="0" ref="BI34">
      <text>
        <t xml:space="preserve">standard error
	-Laura Jans</t>
      </text>
    </comment>
    <comment authorId="0" ref="BE34">
      <text>
        <t xml:space="preserve">standard error
	-Laura Jans</t>
      </text>
    </comment>
    <comment authorId="0" ref="BA34">
      <text>
        <t xml:space="preserve">standard error
	-Laura Jans</t>
      </text>
    </comment>
    <comment authorId="0" ref="AW34">
      <text>
        <t xml:space="preserve">baseline covariate
	-Laura Jans</t>
      </text>
    </comment>
    <comment authorId="0" ref="T34">
      <text>
        <t xml:space="preserve">only % white and % nonwhite reported
	-Laura Jans</t>
      </text>
    </comment>
    <comment authorId="0" ref="K34">
      <text>
        <t xml:space="preserve">weighted mean
	-Laura Jans</t>
      </text>
    </comment>
    <comment authorId="0" ref="AL34">
      <text>
        <t xml:space="preserve">Designed to help mothers foster positive body image among their daughters and themselves; targets body dissatisfaction as well as other topics relevant to mothers &amp; daughters such as appearance conversations and interpersonal relationships.
	-Laura Jans</t>
      </text>
    </comment>
    <comment authorId="0" ref="AA34">
      <text>
        <t xml:space="preserve">Negative affect subscale used
	-Laura Jans</t>
      </text>
    </comment>
    <comment authorId="0" ref="Y34">
      <text>
        <t xml:space="preserve">reported by mothers
	-Laura Jans</t>
      </text>
    </comment>
    <comment authorId="0" ref="G34">
      <text>
        <t xml:space="preserve">England
	-Laura Jans</t>
      </text>
    </comment>
    <comment authorId="0" ref="H32">
      <text>
        <t xml:space="preserve">participants were recruited from primary care medical clinics either through direct mailings, fliers, or medical provider referrals
	-Laura Jans</t>
      </text>
    </comment>
    <comment authorId="0" ref="AW29">
      <text>
        <t xml:space="preserve">boys; girls
	-Laura Jans</t>
      </text>
    </comment>
    <comment authorId="0" ref="AA32">
      <text>
        <t xml:space="preserve">fear, guilt, and sadness subscales
	-Laura Jans</t>
      </text>
    </comment>
    <comment authorId="0" ref="AJ33">
      <text>
        <t xml:space="preserve">educational video control
	-Laura Jans</t>
      </text>
    </comment>
    <comment authorId="0" ref="AQ32">
      <text>
        <t xml:space="preserve">sessions were audio recorded and evaluated for fidelity
	-Laura Jans</t>
      </text>
    </comment>
    <comment authorId="0" ref="AO32">
      <text>
        <t xml:space="preserve">http://www.bodyprojectsupport.org/resources/materials
	-Laura Jans</t>
      </text>
    </comment>
    <comment authorId="0" ref="AM32">
      <text>
        <t xml:space="preserve">behavioral health interns
	-Laura Jans</t>
      </text>
    </comment>
    <comment authorId="0" ref="AL32">
      <text>
        <t xml:space="preserve">thin-ideal internalization
	-Laura Jans</t>
      </text>
    </comment>
    <comment authorId="0" ref="X32">
      <text>
        <t xml:space="preserve">Inclusion criteria was general body image dissatisfaction; 20% of sample had full or partial syndrome eating disorder at baseline.
	-Laura Jans</t>
      </text>
    </comment>
    <comment authorId="0" ref="V29">
      <text>
        <t xml:space="preserve">137/1707 responses missing from table 3
	-Laura Jans</t>
      </text>
    </comment>
    <comment authorId="0" ref="K29">
      <text>
        <t xml:space="preserve">calculated weighted mean
	-Laura Jans</t>
      </text>
    </comment>
    <comment authorId="0" ref="AQ29">
      <text>
        <t xml:space="preserve">"To assess provider adherence, provider competence, and proportion of the intervention delivered, [lessons] were audio-recorded and observed in person by trained research assistants using a standardized checklist."
	-Laura Jans</t>
      </text>
    </comment>
    <comment authorId="0" ref="AO29">
      <text>
        <t xml:space="preserve">45-60 minute version available? https://www.dove.com/uk/dove-self-esteem-project/school-workshops-on-body-image-confident-me/self-esteem-teaching-resources-single-session.html
	-Laura Jans</t>
      </text>
    </comment>
    <comment authorId="0" ref="J29">
      <text>
        <t xml:space="preserve">"Participating schools received a £600 honorarium"
	-Laura Jans</t>
      </text>
    </comment>
    <comment authorId="0" ref="G29">
      <text>
        <t xml:space="preserve">UK
	-Laura Jans</t>
      </text>
    </comment>
    <comment authorId="0" ref="AA29">
      <text>
        <t xml:space="preserve">Negative affect subscale used
	-Laura Jans</t>
      </text>
    </comment>
    <comment authorId="0" ref="AZ26">
      <text>
        <t xml:space="preserve">low risk group; high risk group
	-Laura Jans</t>
      </text>
    </comment>
    <comment authorId="0" ref="AA26">
      <text>
        <t xml:space="preserve">Sadness, Guilt, and Fear/Anxiety subscales
	-Laura Jans</t>
      </text>
    </comment>
    <comment authorId="0" ref="AW26">
      <text>
        <t xml:space="preserve">baseline mean for all 347 participants pre-randomization
	-Laura Jans</t>
      </text>
    </comment>
    <comment authorId="0" ref="AO26">
      <text>
        <t xml:space="preserve">Facilitator guide from Stice et al.
	-Laura Jans</t>
      </text>
    </comment>
    <comment authorId="0" ref="AL26">
      <text>
        <t xml:space="preserve">thin-ideal internalization
	-Laura Jans</t>
      </text>
    </comment>
    <comment authorId="0" ref="I26">
      <text>
        <t xml:space="preserve">"Parents gave opt-in informed consent for their daughter"
	-Laura Jans</t>
      </text>
    </comment>
    <comment authorId="0" ref="G26">
      <text>
        <t xml:space="preserve">Australia
	-Laura Jans</t>
      </text>
    </comment>
    <comment authorId="0" ref="K24">
      <text>
        <t xml:space="preserve">calculated weighted mean
	-Laura Jans</t>
      </text>
    </comment>
    <comment authorId="0" ref="AA24">
      <text>
        <t xml:space="preserve">depression subscale used
	-Laura Jans</t>
      </text>
    </comment>
    <comment authorId="0" ref="AQ24">
      <text>
        <t xml:space="preserve">Fidelity of delivery of the intervention was assessed through lesson observations;  In the current trial, no corrective action was taken if staff deviated from the intervention during observations
	-Laura Jans</t>
      </text>
    </comment>
    <comment authorId="0" ref="AO24">
      <text>
        <t xml:space="preserve">available from the authors
	-Laura Jans</t>
      </text>
    </comment>
    <comment authorId="0" ref="G24">
      <text>
        <t xml:space="preserve">UK
	-Laura Jans</t>
      </text>
    </comment>
    <comment authorId="0" ref="AO20">
      <text>
        <t xml:space="preserve">"Detailed manuals for the various versions of this intervention are available from the authors by request"
	-Laura Jans</t>
      </text>
    </comment>
    <comment authorId="0" ref="AL20">
      <text>
        <t xml:space="preserve">thin-ideal internalization
	-Laura Jans</t>
      </text>
    </comment>
    <comment authorId="0" ref="AJ22">
      <text>
        <t xml:space="preserve">Expressive writing active control
	-Laura Jans</t>
      </text>
    </comment>
    <comment authorId="0" ref="AA20">
      <text>
        <t xml:space="preserve">sadness, guilt, and fear/anxiety
subscales were used
	-Laura Jans</t>
      </text>
    </comment>
    <comment authorId="0" ref="T20">
      <text>
        <t xml:space="preserve">"other or mixed racial heritage"
	-Laura Jans</t>
      </text>
    </comment>
    <comment authorId="0" ref="X18">
      <text>
        <t xml:space="preserve">intervention designed for adolescent boys
	-Laura Jans</t>
      </text>
    </comment>
    <comment authorId="0" ref="AH18">
      <text>
        <t xml:space="preserve">"Records were not kept of the attendance at each session."
	-Laura Jans</t>
      </text>
    </comment>
    <comment authorId="0" ref="G18">
      <text>
        <t xml:space="preserve">Australia
	-Laura Jans</t>
      </text>
    </comment>
    <comment authorId="0" ref="I18">
      <text>
        <t xml:space="preserve">"Information letters and consent forms were sent to the parent(s) or legal guardian(s) of grade 7, 8 and 9 boys at the participating schools. Boys were only allowed to participate in the study if they had returned their signed consent form."
	-Laura Jans</t>
      </text>
    </comment>
    <comment authorId="0" ref="AD18">
      <text>
        <t xml:space="preserve">"symptoms of
depression, anxiety and stress"
	-Laura Jans</t>
      </text>
    </comment>
    <comment authorId="0" ref="AL16">
      <text>
        <t xml:space="preserve">thin-ideal internalization
	-Laura Jans</t>
      </text>
    </comment>
    <comment authorId="0" ref="T16">
      <text>
        <t xml:space="preserve">"other or mixed racial heritage"
	-Laura Jans</t>
      </text>
    </comment>
    <comment authorId="0" ref="AZ14">
      <text>
        <t xml:space="preserve">girls; boys
	-Laura Jans</t>
      </text>
    </comment>
    <comment authorId="0" ref="AI14">
      <text>
        <t xml:space="preserve">"Attendance at each lesson not recorded"
	-Laura Jans</t>
      </text>
    </comment>
    <comment authorId="0" ref="AL14">
      <text>
        <t xml:space="preserve">media internalization
	-Laura Jans</t>
      </text>
    </comment>
    <comment authorId="0" ref="O14">
      <text>
        <t xml:space="preserve">"Schools composed typically of
white students from middle-income families."
	-Laura Jans</t>
      </text>
    </comment>
    <comment authorId="0" ref="G14">
      <text>
        <t xml:space="preserve">Australia
	-Laura Jans</t>
      </text>
    </comment>
    <comment authorId="0" ref="AY12">
      <text>
        <t xml:space="preserve">assessed 6-8 weeks after baseline
	-Laura Jans</t>
      </text>
    </comment>
    <comment authorId="0" ref="AW12">
      <text>
        <t xml:space="preserve">These are the intention to treat summary statistics.  Different numbers are provided for completers.
	-Laura Jans</t>
      </text>
    </comment>
    <comment authorId="0" ref="O12">
      <text>
        <t xml:space="preserve">"The majority of participants were Caucasian, but three
were of Indian subcontinent descent and one of Asian decent."
	-Laura Jans</t>
      </text>
    </comment>
    <comment authorId="0" ref="Y12">
      <text>
        <t xml:space="preserve">Self-identification of body image or eating problems was used for inclusion criteria
	-Laura Jans</t>
      </text>
    </comment>
    <comment authorId="0" ref="G12">
      <text>
        <t xml:space="preserve">Australia
	-Laura Jans</t>
      </text>
    </comment>
    <comment authorId="0" ref="AA10">
      <text>
        <t xml:space="preserve">sadness, guilt, and
fear/anxiety subscales
	-Laura Jans</t>
      </text>
    </comment>
    <comment authorId="0" ref="AO10">
      <text>
        <t xml:space="preserve">"Detailed manuals for the various versions of this intervention are available from the authors by request"
	-Laura Jans</t>
      </text>
    </comment>
    <comment authorId="0" ref="AL10">
      <text>
        <t xml:space="preserve">thin-ideal internalization
	-Laura Jans</t>
      </text>
    </comment>
    <comment authorId="0" ref="T10">
      <text>
        <t xml:space="preserve">other or mixed racial heritage
	-Laura Jans</t>
      </text>
    </comment>
    <comment authorId="0" ref="BC8">
      <text>
        <t xml:space="preserve">84% of all participants completed follow-up
	-Laura Jans</t>
      </text>
    </comment>
    <comment authorId="0" ref="AY8">
      <text>
        <t xml:space="preserve">91% of all participants completed termination survey
	-Laura Jans</t>
      </text>
    </comment>
    <comment authorId="0" ref="AA4">
      <text>
        <t xml:space="preserve">sadness, guilt, and fear/anxiety
subscales were used
	-Laura Jans</t>
      </text>
    </comment>
    <comment authorId="0" ref="AI8">
      <text>
        <t xml:space="preserve">"Only two parents opted not to return after the first meeting"
	-Laura Jans</t>
      </text>
    </comment>
    <comment authorId="0" ref="T8">
      <text>
        <t xml:space="preserve">other or mixed racial heritage
	-Laura Jans</t>
      </text>
    </comment>
    <comment authorId="0" ref="AQ8">
      <text>
        <t xml:space="preserve">each session facilitated by author
	-Laura Jans</t>
      </text>
    </comment>
    <comment authorId="0" ref="AP8">
      <text>
        <t xml:space="preserve">each session facilitated by author
	-Laura Jans</t>
      </text>
    </comment>
    <comment authorId="0" ref="Y8">
      <text>
        <t xml:space="preserve">parent reported
	-Laura Jans</t>
      </text>
    </comment>
    <comment authorId="0" ref="AL8">
      <text>
        <t xml:space="preserve">thin-ideal internalization
	-Laura Jans</t>
      </text>
    </comment>
    <comment authorId="0" ref="AO4">
      <text>
        <t xml:space="preserve">"Detailed manuals for the various versions of this intervention are available from the authors by request"
Not sure if this is the same as the Body Project
http://www.bodyprojectsupport.org/resources/materials
	-Laura Jans</t>
      </text>
    </comment>
    <comment authorId="0" ref="AJ6">
      <text>
        <t xml:space="preserve">Expressive writing active control
	-Laura Jans</t>
      </text>
    </comment>
    <comment authorId="0" ref="AL4">
      <text>
        <t xml:space="preserve">thin-ideal internalization
	-Laura Jans</t>
      </text>
    </comment>
    <comment authorId="0" ref="T4">
      <text>
        <t xml:space="preserve">"other or mixed racial heritage"
	-Laura Jans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6">
      <text>
        <t xml:space="preserve">"Latin-American"... but w/in Brazil there is also light, dark/black, etc. Not sure it makes sense to code this
	-Isaac Ahuvia</t>
      </text>
    </comment>
    <comment authorId="0" ref="AL34">
      <text>
        <t xml:space="preserve">Peer-led
	-Isaac Ahuvia</t>
      </text>
    </comment>
    <comment authorId="0" ref="AF18">
      <text>
        <t xml:space="preserve">Per-session attendance given, but not all-session attendance
	-Isaac Ahuvia</t>
      </text>
    </comment>
    <comment authorId="0" ref="V18">
      <text>
        <t xml:space="preserve">All-girls schools = high-risk group
	-Isaac Ahuvia</t>
      </text>
    </comment>
    <comment authorId="0" ref="J16">
      <text>
        <t xml:space="preserve">"Year 8 and 9" = Grades 7 and 8 = Ages 12 and 13
	-Isaac Ahuvia</t>
      </text>
    </comment>
    <comment authorId="0" ref="AK12">
      <text>
        <t xml:space="preserve">Media literacy
	-Isaac Ahuvia</t>
      </text>
    </comment>
    <comment authorId="0" ref="AK8">
      <text>
        <t xml:space="preserve">Endorsement, communication of thin ideal
	-Isaac Ahuvia</t>
      </text>
    </comment>
    <comment authorId="0" ref="AO12">
      <text>
        <t xml:space="preserve">Intervention designer facilitated
	-Isaac Ahuvia</t>
      </text>
    </comment>
    <comment authorId="0" ref="AO8">
      <text>
        <t xml:space="preserve">Intervention designer facilitated
	-Isaac Ahuvia</t>
      </text>
    </comment>
    <comment authorId="0" ref="BC8">
      <text>
        <t xml:space="preserve">"84%"
	-Isaac Ahuvia</t>
      </text>
    </comment>
    <comment authorId="0" ref="AY8">
      <text>
        <t xml:space="preserve">"91%"
	-Isaac Ahuvia</t>
      </text>
    </comment>
    <comment authorId="0" ref="BB8">
      <text>
        <t xml:space="preserve">"3 months"
	-Isaac Ahuvia</t>
      </text>
    </comment>
    <comment authorId="0" ref="AG8">
      <text>
        <t xml:space="preserve">"95%"
	-Isaac Ahuvia</t>
      </text>
    </comment>
  </commentList>
</comments>
</file>

<file path=xl/sharedStrings.xml><?xml version="1.0" encoding="utf-8"?>
<sst xmlns="http://schemas.openxmlformats.org/spreadsheetml/2006/main" count="3413" uniqueCount="341">
  <si>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</si>
  <si>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</si>
  <si>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</si>
  <si>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</si>
  <si>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</si>
  <si>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</si>
  <si>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</si>
  <si>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</si>
  <si>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</si>
  <si>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</si>
  <si>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</si>
  <si>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</si>
  <si>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</si>
  <si>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</si>
  <si>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</si>
  <si>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</si>
  <si>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</si>
  <si>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</si>
  <si>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</si>
  <si>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</si>
  <si>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</si>
  <si>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</si>
  <si>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</si>
  <si>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</si>
  <si>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</si>
  <si>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</si>
  <si>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</si>
  <si>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</si>
  <si>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</si>
  <si>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</si>
  <si>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</si>
  <si>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</si>
  <si>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</si>
  <si>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</si>
  <si>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</si>
  <si>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</si>
  <si>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</si>
  <si>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</si>
  <si>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</si>
  <si>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</si>
  <si>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</si>
  <si>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</si>
  <si>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</si>
  <si>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</si>
  <si>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</si>
  <si>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</si>
  <si>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</si>
  <si>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</si>
  <si>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</si>
  <si>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</si>
  <si>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</si>
  <si>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</si>
  <si>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</si>
  <si>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</si>
  <si>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</si>
  <si>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</si>
  <si>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</si>
  <si>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</si>
  <si>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</si>
  <si>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</si>
  <si>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</si>
  <si>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</si>
  <si>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</si>
  <si>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</si>
  <si>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</si>
  <si>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</si>
  <si>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</si>
  <si>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</si>
  <si>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</si>
  <si>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</si>
  <si>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</si>
  <si>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</si>
  <si>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</si>
  <si>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</si>
  <si>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</si>
  <si>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</si>
  <si>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</si>
  <si>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</si>
  <si>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</si>
  <si>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</si>
  <si>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</si>
  <si>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</si>
  <si>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</si>
  <si>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</si>
  <si>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</si>
  <si>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</si>
  <si>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</si>
  <si>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</si>
  <si>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</si>
  <si>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</si>
  <si>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</si>
  <si>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</si>
  <si>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</si>
  <si>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</si>
  <si>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</si>
  <si>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</si>
  <si>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</si>
  <si>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</si>
  <si>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</si>
  <si>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</si>
  <si>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</si>
  <si>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</si>
  <si>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</si>
  <si>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</si>
  <si>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</si>
  <si>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</si>
  <si>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</si>
  <si>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</si>
  <si>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</si>
  <si>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</si>
  <si>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</si>
  <si>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</si>
  <si>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</si>
  <si>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</si>
  <si>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</si>
  <si>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</si>
  <si>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</si>
  <si>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</si>
  <si>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</si>
  <si>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</si>
  <si>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</si>
  <si>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rFont val="Arial"/>
        <b/>
        <color theme="1"/>
      </rPr>
      <t>Melissa Atkinson</t>
    </r>
    <r>
      <rPr>
        <rFont val="Arial"/>
        <color theme="1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</si>
  <si>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</si>
  <si>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</si>
  <si>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</si>
  <si>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</si>
  <si>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rFont val="Arial"/>
        <b/>
        <color theme="1"/>
      </rPr>
      <t>Melissa Atkinson</t>
    </r>
    <r>
      <rPr>
        <rFont val="Arial"/>
        <color theme="1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</si>
  <si>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</si>
  <si>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</si>
  <si>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</si>
  <si>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</si>
  <si>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</si>
  <si>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</si>
  <si>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</si>
  <si>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</si>
  <si>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Responded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</si>
  <si>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</si>
  <si>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</si>
  <si>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</si>
  <si>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</si>
  <si>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</si>
  <si>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</si>
  <si>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</si>
  <si>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</si>
  <si>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</si>
  <si>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</si>
  <si>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</si>
  <si>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No response</t>
  </si>
  <si>
    <t>M.J.Atkinson@bath.ac.uk; melissa.atkinson@uwe.ac.uk</t>
  </si>
  <si>
    <t>Atkinson &amp; Wade 2015, Diedrichs et al 2015, Diedrichs et al 2020</t>
  </si>
  <si>
    <t>Available</t>
  </si>
  <si>
    <t>lundgrenj@umkc.edu</t>
  </si>
  <si>
    <t>Available (Depression)</t>
  </si>
  <si>
    <t>Phillippa.Diedrichs@uwe.ac.uk</t>
  </si>
  <si>
    <t>Diedrichs et al 2015, 2020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</si>
  <si>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</si>
  <si>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</si>
  <si>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</si>
  <si>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</si>
  <si>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</si>
  <si>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</si>
  <si>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</si>
  <si>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</si>
  <si>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</si>
  <si>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</si>
  <si>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</si>
  <si>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</si>
  <si>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</si>
  <si>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</si>
  <si>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</si>
  <si>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</si>
  <si>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</si>
  <si>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</si>
  <si>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</si>
  <si>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</si>
  <si>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</si>
  <si>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</si>
  <si>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</si>
  <si>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</si>
  <si>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</si>
  <si>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</si>
  <si>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</si>
  <si>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</si>
  <si>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</si>
  <si>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</si>
  <si>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</si>
  <si>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</si>
  <si>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</si>
  <si>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</si>
  <si>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</si>
  <si>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</si>
  <si>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</si>
  <si>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</si>
  <si>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</si>
  <si>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</si>
  <si>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</si>
  <si>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</si>
  <si>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</si>
  <si>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</si>
  <si>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</si>
  <si>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</si>
  <si>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</si>
  <si>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</si>
  <si>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</si>
  <si>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</si>
  <si>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</si>
  <si>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</si>
  <si>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</si>
  <si>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</si>
  <si>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</si>
  <si>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</si>
  <si>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</si>
  <si>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</si>
  <si>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</si>
  <si>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</si>
  <si>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</si>
  <si>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</si>
  <si>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</si>
  <si>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</si>
  <si>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</si>
  <si>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</si>
  <si>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</si>
  <si>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</si>
  <si>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</si>
  <si>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</si>
  <si>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</si>
  <si>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</si>
  <si>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</si>
  <si>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</si>
  <si>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</si>
  <si>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</si>
  <si>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</si>
  <si>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</si>
  <si>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</si>
  <si>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</si>
  <si>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</si>
  <si>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</si>
  <si>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</si>
  <si>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</si>
  <si>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</si>
  <si>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</si>
  <si>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</si>
  <si>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</si>
  <si>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</si>
  <si>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</si>
  <si>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</si>
  <si>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</si>
  <si>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</si>
  <si>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</si>
  <si>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</si>
  <si>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</si>
  <si>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</si>
  <si>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</si>
  <si>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</si>
  <si>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</si>
  <si>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</si>
  <si>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</si>
  <si>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</si>
  <si>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</si>
  <si>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</si>
  <si>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</si>
  <si>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</si>
  <si>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</si>
  <si>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</si>
  <si>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</si>
  <si>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</si>
  <si>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</si>
  <si>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</si>
  <si>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</si>
  <si>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</si>
  <si>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</si>
  <si>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</si>
  <si>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</si>
  <si>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</si>
  <si>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</si>
  <si>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</si>
  <si>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</si>
  <si>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</si>
  <si>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</si>
  <si>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</si>
  <si>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</si>
  <si>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</si>
  <si>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</si>
  <si>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</si>
  <si>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</si>
  <si>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</si>
  <si>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</si>
  <si>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</si>
  <si>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</si>
  <si>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</si>
  <si>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</si>
  <si>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</si>
  <si>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</si>
  <si>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</si>
  <si>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</si>
  <si>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</si>
  <si>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</si>
  <si>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Mean Type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</si>
  <si>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</si>
  <si>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</si>
  <si>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</si>
  <si>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</si>
  <si>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</si>
  <si>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</si>
  <si>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</si>
  <si>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</si>
  <si>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</si>
  <si>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</si>
  <si>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</si>
  <si>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</si>
  <si>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</si>
  <si>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</si>
  <si>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Unadjusted</t>
  </si>
  <si>
    <t>Outcome data provided via email</t>
  </si>
  <si>
    <t>Need descriptives (no adjusted)</t>
  </si>
  <si>
    <t>Need descriptives (provides adjusted)</t>
  </si>
  <si>
    <t>Adjusted</t>
  </si>
  <si>
    <t>Need descriptives (provides split)</t>
  </si>
  <si>
    <t>Wilksch et al 2015</t>
  </si>
  <si>
    <r>
      <rPr>
        <rFont val="Arial"/>
        <color rgb="FFFF0000"/>
      </rPr>
      <t xml:space="preserve">Not in initial search; add to screening databases. </t>
    </r>
    <r>
      <rPr>
        <rFont val="Arial"/>
        <color rgb="FF000000"/>
      </rPr>
      <t>Outcome data provided via email</t>
    </r>
  </si>
  <si>
    <t>Treatment (Media Smart)</t>
  </si>
  <si>
    <t>Treatment (HELPP)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</si>
  <si>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</si>
  <si>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</si>
  <si>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</si>
  <si>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</si>
  <si>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</si>
  <si>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</si>
  <si>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</si>
  <si>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</si>
  <si>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</si>
  <si>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</si>
  <si>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1-Month Follow-up</t>
  </si>
  <si>
    <t>6-Month Follow-up</t>
  </si>
  <si>
    <t>Low Risk</t>
  </si>
  <si>
    <t>High Risk</t>
  </si>
  <si>
    <t>CAU</t>
  </si>
  <si>
    <t>MBI</t>
  </si>
  <si>
    <t>DBI</t>
  </si>
  <si>
    <t>6-Moth Follow-up</t>
  </si>
  <si>
    <t>30-Month Follow-up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</si>
</sst>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trike/>
      <color theme="1"/>
      <name val="Arial"/>
    </font>
    <font>
      <color rgb="FFFF0000"/>
      <name val="Arial"/>
    </font>
    <font>
      <b/>
      <color rgb="FFFF0000"/>
      <name val="Arial"/>
    </font>
    <font>
      <sz val="10.0"/>
      <color rgb="FFFF0000"/>
    </font>
    <font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2" fillId="2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2" fontId="0" numFmtId="0" xfId="0" applyAlignment="1" applyBorder="1" applyFont="1">
      <alignment readingOrder="0" shrinkToFit="0" vertical="bottom" wrapText="1"/>
    </xf>
    <xf borderId="3" fillId="2" fontId="0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6" fontId="2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4" numFmtId="0" xfId="0" applyAlignment="1" applyFont="1">
      <alignment readingOrder="0"/>
    </xf>
    <xf borderId="0" fillId="4" fontId="0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5" fillId="0" fontId="5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vertical="top"/>
    </xf>
    <xf borderId="0" fillId="4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6" fontId="4" numFmtId="165" xfId="0" applyAlignment="1" applyFont="1" applyNumberFormat="1">
      <alignment horizontal="right" readingOrder="0"/>
    </xf>
    <xf borderId="0" fillId="5" fontId="4" numFmtId="0" xfId="0" applyAlignment="1" applyFont="1">
      <alignment horizontal="right" readingOrder="0"/>
    </xf>
    <xf borderId="0" fillId="3" fontId="4" numFmtId="0" xfId="0" applyAlignment="1" applyFont="1">
      <alignment horizontal="left" readingOrder="0" shrinkToFit="0" vertical="top" wrapText="1"/>
    </xf>
    <xf borderId="0" fillId="4" fontId="4" numFmtId="2" xfId="0" applyAlignment="1" applyFont="1" applyNumberFormat="1">
      <alignment horizontal="right"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/>
    </xf>
    <xf borderId="0" fillId="6" fontId="4" numFmtId="2" xfId="0" applyAlignment="1" applyFont="1" applyNumberFormat="1">
      <alignment horizontal="right" readingOrder="0"/>
    </xf>
    <xf borderId="0" fillId="3" fontId="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0"/>
    </xf>
    <xf borderId="0" fillId="3" fontId="4" numFmtId="2" xfId="0" applyAlignment="1" applyFont="1" applyNumberFormat="1">
      <alignment horizontal="right" readingOrder="0" shrinkToFit="0" wrapText="0"/>
    </xf>
    <xf borderId="0" fillId="3" fontId="4" numFmtId="0" xfId="0" applyAlignment="1" applyFont="1">
      <alignment readingOrder="0" shrinkToFit="0" wrapText="0"/>
    </xf>
    <xf borderId="0" fillId="6" fontId="7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3" fontId="2" numFmtId="0" xfId="0" applyAlignment="1" applyFont="1">
      <alignment horizontal="center" readingOrder="0" shrinkToFit="0" vertical="bottom" wrapText="0"/>
    </xf>
    <xf borderId="0" fillId="7" fontId="7" numFmtId="0" xfId="0" applyAlignment="1" applyFill="1" applyFont="1">
      <alignment horizontal="right" readingOrder="0"/>
    </xf>
    <xf borderId="0" fillId="4" fontId="3" numFmtId="0" xfId="0" applyAlignment="1" applyFont="1">
      <alignment horizontal="right" readingOrder="0"/>
    </xf>
    <xf borderId="0" fillId="5" fontId="4" numFmtId="2" xfId="0" applyAlignment="1" applyFont="1" applyNumberFormat="1">
      <alignment horizontal="right" readingOrder="0"/>
    </xf>
    <xf borderId="0" fillId="3" fontId="8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horizontal="right" readingOrder="0"/>
    </xf>
    <xf borderId="0" fillId="4" fontId="5" numFmtId="2" xfId="0" applyAlignment="1" applyFont="1" applyNumberFormat="1">
      <alignment horizontal="right" readingOrder="0"/>
    </xf>
    <xf borderId="0" fillId="5" fontId="5" numFmtId="0" xfId="0" applyAlignment="1" applyFont="1">
      <alignment readingOrder="0"/>
    </xf>
    <xf borderId="0" fillId="5" fontId="5" numFmtId="0" xfId="0" applyAlignment="1" applyFont="1">
      <alignment readingOrder="0" shrinkToFit="0" wrapText="0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right" readingOrder="0"/>
    </xf>
    <xf borderId="0" fillId="7" fontId="8" numFmtId="0" xfId="0" applyAlignment="1" applyFont="1">
      <alignment horizontal="right" readingOrder="0"/>
    </xf>
    <xf borderId="0" fillId="5" fontId="5" numFmtId="0" xfId="0" applyAlignment="1" applyFont="1">
      <alignment horizontal="right" readingOrder="0"/>
    </xf>
    <xf borderId="0" fillId="5" fontId="5" numFmtId="2" xfId="0" applyAlignment="1" applyFont="1" applyNumberFormat="1">
      <alignment horizontal="right"/>
    </xf>
    <xf borderId="0" fillId="6" fontId="5" numFmtId="2" xfId="0" applyAlignment="1" applyFont="1" applyNumberFormat="1">
      <alignment horizontal="right" readingOrder="0"/>
    </xf>
    <xf borderId="0" fillId="5" fontId="5" numFmtId="2" xfId="0" applyAlignment="1" applyFont="1" applyNumberFormat="1">
      <alignment horizontal="right" readingOrder="0"/>
    </xf>
    <xf borderId="0" fillId="6" fontId="3" numFmtId="0" xfId="0" applyAlignment="1" applyFont="1">
      <alignment horizontal="right" readingOrder="0"/>
    </xf>
    <xf borderId="0" fillId="2" fontId="9" numFmtId="0" xfId="0" applyAlignment="1" applyFont="1">
      <alignment readingOrder="0" shrinkToFit="0" vertical="bottom" wrapText="0"/>
    </xf>
    <xf borderId="0" fillId="4" fontId="9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horizontal="right" readingOrder="0"/>
    </xf>
    <xf borderId="0" fillId="4" fontId="7" numFmtId="2" xfId="0" applyAlignment="1" applyFont="1" applyNumberFormat="1">
      <alignment horizontal="right" readingOrder="0"/>
    </xf>
    <xf borderId="0" fillId="5" fontId="10" numFmtId="0" xfId="0" applyAlignment="1" applyFont="1">
      <alignment readingOrder="0"/>
    </xf>
    <xf borderId="0" fillId="6" fontId="10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7" fontId="10" numFmtId="0" xfId="0" applyAlignment="1" applyFont="1">
      <alignment horizontal="right" readingOrder="0"/>
    </xf>
    <xf borderId="0" fillId="5" fontId="10" numFmtId="0" xfId="0" applyAlignment="1" applyFont="1">
      <alignment horizontal="right" readingOrder="0"/>
    </xf>
    <xf borderId="0" fillId="5" fontId="10" numFmtId="2" xfId="0" applyAlignment="1" applyFont="1" applyNumberForma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4.43"/>
    <col customWidth="1" min="3" max="3" width="29.43"/>
    <col customWidth="1" min="4" max="4" width="4.43"/>
    <col customWidth="1" min="5" max="5" width="37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0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4" t="s">
        <v>36</v>
      </c>
      <c r="AV2" s="13"/>
      <c r="AW2" s="13"/>
      <c r="AX2" s="14" t="s">
        <v>37</v>
      </c>
      <c r="AY2" s="13"/>
      <c r="AZ2" s="13"/>
      <c r="BA2" s="14" t="s">
        <v>38</v>
      </c>
      <c r="BB2" s="13"/>
      <c r="BC2" s="13"/>
      <c r="BD2" s="13"/>
      <c r="BE2" s="14" t="s">
        <v>39</v>
      </c>
      <c r="BF2" s="13"/>
      <c r="BG2" s="13"/>
      <c r="BH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34</v>
      </c>
      <c r="AF3" s="19" t="s">
        <v>69</v>
      </c>
      <c r="AG3" s="19" t="s">
        <v>70</v>
      </c>
      <c r="AH3" s="19" t="s">
        <v>71</v>
      </c>
      <c r="AI3" s="19" t="s">
        <v>72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84</v>
      </c>
      <c r="AV3" s="18" t="s">
        <v>85</v>
      </c>
      <c r="AW3" s="18" t="s">
        <v>86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84</v>
      </c>
      <c r="BC3" s="18" t="s">
        <v>85</v>
      </c>
      <c r="BD3" s="18" t="s">
        <v>86</v>
      </c>
      <c r="BE3" s="18" t="s">
        <v>87</v>
      </c>
      <c r="BF3" s="18" t="s">
        <v>84</v>
      </c>
      <c r="BG3" s="18" t="s">
        <v>85</v>
      </c>
      <c r="BH3" s="18" t="s">
        <v>86</v>
      </c>
    </row>
    <row r="4">
      <c r="A4" s="21"/>
      <c r="B4" s="22"/>
      <c r="C4" s="23"/>
      <c r="D4" s="24" t="s">
        <v>88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1.0</v>
      </c>
      <c r="Y4" s="24">
        <v>1.0</v>
      </c>
      <c r="Z4" s="24">
        <v>1.0</v>
      </c>
      <c r="AA4" s="26"/>
      <c r="AB4" s="26"/>
      <c r="AC4" s="26">
        <v>1.0</v>
      </c>
      <c r="AD4" s="26">
        <v>1.0</v>
      </c>
      <c r="AE4" s="27"/>
      <c r="AF4" s="27"/>
      <c r="AG4" s="27"/>
      <c r="AH4" s="27"/>
      <c r="AI4" s="27">
        <v>1.0</v>
      </c>
      <c r="AJ4" s="27">
        <v>1.0</v>
      </c>
      <c r="AK4" s="27">
        <v>1.0</v>
      </c>
      <c r="AL4" s="27">
        <v>1.0</v>
      </c>
      <c r="AM4" s="27">
        <v>1.0</v>
      </c>
      <c r="AN4" s="27">
        <v>1.0</v>
      </c>
      <c r="AO4" s="27">
        <v>1.0</v>
      </c>
      <c r="AP4" s="27">
        <v>1.0</v>
      </c>
      <c r="AQ4" s="27"/>
      <c r="AR4" s="27"/>
      <c r="AS4" s="27"/>
      <c r="AT4" s="27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1"/>
      <c r="B5" s="22"/>
      <c r="C5" s="23"/>
      <c r="D5" s="24" t="s">
        <v>89</v>
      </c>
      <c r="E5" s="25">
        <v>2007.0</v>
      </c>
      <c r="F5" s="24">
        <v>2.0</v>
      </c>
      <c r="G5" s="24">
        <v>2.0</v>
      </c>
      <c r="H5" s="24">
        <v>2.0</v>
      </c>
      <c r="I5" s="24">
        <v>2.0</v>
      </c>
      <c r="J5" s="24">
        <v>2.0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>
        <v>2.0</v>
      </c>
      <c r="Y5" s="24">
        <v>2.0</v>
      </c>
      <c r="Z5" s="24">
        <v>2.0</v>
      </c>
      <c r="AA5" s="26"/>
      <c r="AB5" s="26"/>
      <c r="AC5" s="26">
        <v>2.0</v>
      </c>
      <c r="AD5" s="26">
        <v>2.0</v>
      </c>
      <c r="AE5" s="27"/>
      <c r="AF5" s="27"/>
      <c r="AG5" s="27"/>
      <c r="AH5" s="27"/>
      <c r="AI5" s="27">
        <v>2.0</v>
      </c>
      <c r="AJ5" s="27">
        <v>2.0</v>
      </c>
      <c r="AK5" s="27">
        <v>2.0</v>
      </c>
      <c r="AL5" s="27">
        <v>2.0</v>
      </c>
      <c r="AM5" s="27">
        <v>2.0</v>
      </c>
      <c r="AN5" s="27">
        <v>2.0</v>
      </c>
      <c r="AO5" s="27">
        <v>2.0</v>
      </c>
      <c r="AP5" s="27">
        <v>2.0</v>
      </c>
      <c r="AQ5" s="27"/>
      <c r="AR5" s="27"/>
      <c r="AS5" s="27"/>
      <c r="AT5" s="27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1"/>
      <c r="B6" s="22"/>
      <c r="C6" s="28"/>
      <c r="D6" s="24"/>
      <c r="E6" s="25">
        <v>2008.0</v>
      </c>
      <c r="F6" s="24" t="s">
        <v>90</v>
      </c>
      <c r="G6" s="24">
        <v>3.0</v>
      </c>
      <c r="H6" s="24">
        <v>3.0</v>
      </c>
      <c r="I6" s="24" t="s">
        <v>90</v>
      </c>
      <c r="J6" s="24" t="s">
        <v>90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3.0</v>
      </c>
      <c r="Y6" s="24">
        <v>3.0</v>
      </c>
      <c r="Z6" s="24" t="s">
        <v>90</v>
      </c>
      <c r="AA6" s="26"/>
      <c r="AB6" s="26"/>
      <c r="AC6" s="26">
        <v>3.0</v>
      </c>
      <c r="AD6" s="26">
        <v>3.0</v>
      </c>
      <c r="AE6" s="27"/>
      <c r="AF6" s="27"/>
      <c r="AG6" s="27"/>
      <c r="AH6" s="27"/>
      <c r="AI6" s="27">
        <v>3.0</v>
      </c>
      <c r="AJ6" s="27">
        <v>3.0</v>
      </c>
      <c r="AK6" s="27" t="s">
        <v>90</v>
      </c>
      <c r="AL6" s="27">
        <v>3.0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/>
      <c r="AR6" s="27"/>
      <c r="AS6" s="27"/>
      <c r="AT6" s="27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1"/>
      <c r="B7" s="22"/>
      <c r="C7" s="28"/>
      <c r="D7" s="24"/>
      <c r="E7" s="25">
        <v>2009.0</v>
      </c>
      <c r="F7" s="24"/>
      <c r="G7" s="24" t="s">
        <v>90</v>
      </c>
      <c r="H7" s="24">
        <v>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4.0</v>
      </c>
      <c r="Y7" s="24">
        <v>4.0</v>
      </c>
      <c r="Z7" s="24"/>
      <c r="AA7" s="26"/>
      <c r="AB7" s="26"/>
      <c r="AC7" s="26">
        <v>4.0</v>
      </c>
      <c r="AD7" s="26">
        <v>4.0</v>
      </c>
      <c r="AE7" s="27"/>
      <c r="AF7" s="27"/>
      <c r="AG7" s="27"/>
      <c r="AH7" s="27"/>
      <c r="AI7" s="27">
        <v>4.0</v>
      </c>
      <c r="AJ7" s="27">
        <v>4.0</v>
      </c>
      <c r="AK7" s="27"/>
      <c r="AL7" s="27">
        <v>4.0</v>
      </c>
      <c r="AM7" s="27"/>
      <c r="AN7" s="27"/>
      <c r="AO7" s="27"/>
      <c r="AP7" s="27"/>
      <c r="AQ7" s="27"/>
      <c r="AR7" s="27"/>
      <c r="AS7" s="27"/>
      <c r="AT7" s="27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1"/>
      <c r="B8" s="22"/>
      <c r="C8" s="23"/>
      <c r="D8" s="24"/>
      <c r="E8" s="25">
        <v>2010.0</v>
      </c>
      <c r="F8" s="24"/>
      <c r="G8" s="24"/>
      <c r="H8" s="24">
        <v>5.0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90</v>
      </c>
      <c r="Y8" s="24">
        <v>5.0</v>
      </c>
      <c r="Z8" s="24"/>
      <c r="AA8" s="26"/>
      <c r="AB8" s="26"/>
      <c r="AC8" s="29" t="s">
        <v>90</v>
      </c>
      <c r="AD8" s="26">
        <v>5.0</v>
      </c>
      <c r="AE8" s="27"/>
      <c r="AF8" s="27"/>
      <c r="AG8" s="27"/>
      <c r="AH8" s="27"/>
      <c r="AI8" s="27" t="s">
        <v>90</v>
      </c>
      <c r="AJ8" s="27">
        <v>5.0</v>
      </c>
      <c r="AK8" s="27"/>
      <c r="AL8" s="27" t="s">
        <v>90</v>
      </c>
      <c r="AM8" s="27"/>
      <c r="AN8" s="27"/>
      <c r="AO8" s="27"/>
      <c r="AP8" s="27"/>
      <c r="AQ8" s="27"/>
      <c r="AR8" s="27"/>
      <c r="AS8" s="27"/>
      <c r="AT8" s="27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>
      <c r="A9" s="21"/>
      <c r="B9" s="22"/>
      <c r="C9" s="23"/>
      <c r="D9" s="24"/>
      <c r="E9" s="25">
        <v>2011.0</v>
      </c>
      <c r="F9" s="24"/>
      <c r="G9" s="24"/>
      <c r="H9" s="24">
        <v>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 t="s">
        <v>90</v>
      </c>
      <c r="Z9" s="24"/>
      <c r="AA9" s="26"/>
      <c r="AB9" s="26"/>
      <c r="AC9" s="26"/>
      <c r="AD9" s="26">
        <v>6.0</v>
      </c>
      <c r="AE9" s="27"/>
      <c r="AF9" s="27"/>
      <c r="AG9" s="27"/>
      <c r="AH9" s="27"/>
      <c r="AI9" s="27"/>
      <c r="AJ9" s="27" t="s">
        <v>90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>
      <c r="A10" s="21"/>
      <c r="B10" s="22"/>
      <c r="C10" s="23"/>
      <c r="D10" s="24"/>
      <c r="E10" s="25">
        <v>2012.0</v>
      </c>
      <c r="F10" s="24"/>
      <c r="G10" s="24"/>
      <c r="H10" s="24" t="s">
        <v>90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6"/>
      <c r="AB10" s="26"/>
      <c r="AC10" s="26"/>
      <c r="AD10" s="26">
        <v>7.0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>
      <c r="A11" s="21"/>
      <c r="B11" s="22"/>
      <c r="C11" s="23"/>
      <c r="D11" s="24"/>
      <c r="E11" s="25">
        <v>2013.0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6"/>
      <c r="AB11" s="26"/>
      <c r="AC11" s="26"/>
      <c r="AD11" s="26">
        <v>8.0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>
      <c r="A12" s="21"/>
      <c r="B12" s="22"/>
      <c r="C12" s="23"/>
      <c r="D12" s="24"/>
      <c r="E12" s="25">
        <v>2014.0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6"/>
      <c r="AB12" s="26"/>
      <c r="AC12" s="26"/>
      <c r="AD12" s="26">
        <v>9.0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1"/>
      <c r="B13" s="22"/>
      <c r="C13" s="23"/>
      <c r="D13" s="24"/>
      <c r="E13" s="25">
        <v>2015.0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6"/>
      <c r="AB13" s="26"/>
      <c r="AC13" s="26"/>
      <c r="AD13" s="26">
        <v>10.0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1"/>
      <c r="B14" s="22"/>
      <c r="C14" s="23"/>
      <c r="D14" s="24"/>
      <c r="E14" s="25">
        <v>2016.0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6"/>
      <c r="AB14" s="26"/>
      <c r="AC14" s="26"/>
      <c r="AD14" s="26">
        <v>11.0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1"/>
      <c r="B15" s="22"/>
      <c r="C15" s="23"/>
      <c r="D15" s="24"/>
      <c r="E15" s="25">
        <v>2017.0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6"/>
      <c r="AB15" s="26"/>
      <c r="AC15" s="26"/>
      <c r="AD15" s="26">
        <v>12.0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1"/>
      <c r="B16" s="22"/>
      <c r="C16" s="28"/>
      <c r="D16" s="30"/>
      <c r="E16" s="25">
        <v>2018.0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  <c r="AC16" s="29"/>
      <c r="AD16" s="29" t="s">
        <v>90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>
      <c r="A17" s="21"/>
      <c r="B17" s="22"/>
      <c r="C17" s="28"/>
      <c r="D17" s="30"/>
      <c r="E17" s="25">
        <v>2019.0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2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>
      <c r="A18" s="21"/>
      <c r="B18" s="22"/>
      <c r="C18" s="23"/>
      <c r="D18" s="24"/>
      <c r="E18" s="25">
        <v>2020.0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>
      <c r="A19" s="21"/>
      <c r="B19" s="22"/>
      <c r="C19" s="23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>
      <c r="A20" s="21"/>
      <c r="B20" s="22"/>
      <c r="C20" s="28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1"/>
      <c r="B21" s="22"/>
      <c r="C21" s="28"/>
      <c r="D21" s="24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1"/>
      <c r="B22" s="22"/>
      <c r="C22" s="23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1"/>
      <c r="B23" s="22"/>
      <c r="C23" s="23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>
      <c r="A24" s="21"/>
      <c r="B24" s="22"/>
      <c r="C24" s="23"/>
      <c r="D24" s="24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1"/>
      <c r="B25" s="22"/>
      <c r="C25" s="23"/>
      <c r="D25" s="24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>
      <c r="A26" s="21"/>
      <c r="B26" s="22"/>
      <c r="C26" s="23"/>
      <c r="D26" s="24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>
      <c r="A27" s="21"/>
      <c r="B27" s="22"/>
      <c r="C27" s="23"/>
      <c r="D27" s="24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>
      <c r="A28" s="21"/>
      <c r="B28" s="22"/>
      <c r="C28" s="28"/>
      <c r="D28" s="24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>
      <c r="A29" s="21"/>
      <c r="B29" s="22"/>
      <c r="C29" s="28"/>
      <c r="D29" s="24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1"/>
      <c r="B30" s="22"/>
      <c r="C30" s="23"/>
      <c r="D30" s="24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>
      <c r="A31" s="21"/>
      <c r="B31" s="22"/>
      <c r="C31" s="23"/>
      <c r="D31" s="24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>
      <c r="A32" s="21"/>
      <c r="B32" s="22"/>
      <c r="C32" s="28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>
      <c r="A33" s="21"/>
      <c r="B33" s="22"/>
      <c r="C33" s="28"/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>
      <c r="A34" s="21"/>
      <c r="B34" s="22"/>
      <c r="C34" s="23"/>
      <c r="D34" s="24"/>
      <c r="E34" s="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</row>
    <row r="35">
      <c r="A35" s="21"/>
      <c r="B35" s="22"/>
      <c r="C35" s="23"/>
      <c r="D35" s="24"/>
      <c r="E35" s="2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>
      <c r="A36" s="21"/>
      <c r="B36" s="22"/>
      <c r="C36" s="23"/>
      <c r="D36" s="24"/>
      <c r="E36" s="2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21"/>
      <c r="B37" s="22"/>
      <c r="C37" s="23"/>
      <c r="D37" s="24"/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57"/>
    <col customWidth="1" min="3" max="3" width="72.86"/>
    <col customWidth="1" min="4" max="4" width="8.57"/>
    <col customWidth="1" min="5" max="5" width="9.43"/>
    <col customWidth="1" min="6" max="6" width="13.57"/>
    <col customWidth="1" min="8" max="8" width="27.0"/>
  </cols>
  <sheetData>
    <row r="1">
      <c r="A1" s="32" t="s">
        <v>91</v>
      </c>
      <c r="B1" s="32" t="s">
        <v>92</v>
      </c>
      <c r="C1" s="32" t="s">
        <v>93</v>
      </c>
      <c r="H1" s="32" t="s">
        <v>91</v>
      </c>
      <c r="I1" s="32" t="s">
        <v>94</v>
      </c>
      <c r="J1" s="32" t="s">
        <v>95</v>
      </c>
      <c r="K1" s="32" t="s">
        <v>96</v>
      </c>
      <c r="L1" s="32" t="s">
        <v>97</v>
      </c>
      <c r="M1" s="32" t="s">
        <v>98</v>
      </c>
      <c r="N1" s="32" t="s">
        <v>99</v>
      </c>
      <c r="O1" s="32" t="s">
        <v>100</v>
      </c>
    </row>
    <row r="2">
      <c r="A2" s="33" t="s">
        <v>101</v>
      </c>
      <c r="B2" s="33" t="s">
        <v>102</v>
      </c>
      <c r="C2" s="34" t="s">
        <v>103</v>
      </c>
      <c r="H2" s="34" t="s">
        <v>104</v>
      </c>
      <c r="I2" s="34" t="s">
        <v>105</v>
      </c>
      <c r="O2" s="33" t="s">
        <v>105</v>
      </c>
    </row>
    <row r="3">
      <c r="A3" s="33" t="s">
        <v>106</v>
      </c>
      <c r="B3" s="33" t="s">
        <v>107</v>
      </c>
      <c r="C3" s="33" t="s">
        <v>108</v>
      </c>
      <c r="H3" s="34" t="s">
        <v>109</v>
      </c>
      <c r="I3" s="34" t="s">
        <v>105</v>
      </c>
      <c r="O3" s="33" t="s">
        <v>105</v>
      </c>
    </row>
    <row r="4">
      <c r="A4" s="33" t="s">
        <v>110</v>
      </c>
      <c r="B4" s="33" t="s">
        <v>111</v>
      </c>
      <c r="C4" s="33" t="s">
        <v>112</v>
      </c>
      <c r="H4" s="34" t="s">
        <v>113</v>
      </c>
      <c r="I4" s="34" t="s">
        <v>105</v>
      </c>
      <c r="N4" s="33" t="s">
        <v>105</v>
      </c>
    </row>
    <row r="5">
      <c r="A5" s="33" t="s">
        <v>114</v>
      </c>
      <c r="B5" s="33" t="s">
        <v>115</v>
      </c>
      <c r="C5" s="33" t="s">
        <v>116</v>
      </c>
      <c r="H5" s="33" t="s">
        <v>101</v>
      </c>
      <c r="J5" s="33"/>
      <c r="K5" s="33" t="s">
        <v>105</v>
      </c>
      <c r="N5" s="33" t="s">
        <v>105</v>
      </c>
    </row>
    <row r="6">
      <c r="A6" s="33" t="s">
        <v>117</v>
      </c>
      <c r="B6" s="33" t="s">
        <v>118</v>
      </c>
      <c r="C6" s="34" t="s">
        <v>103</v>
      </c>
      <c r="H6" s="34" t="s">
        <v>106</v>
      </c>
      <c r="I6" s="34" t="s">
        <v>105</v>
      </c>
      <c r="J6" s="35"/>
      <c r="K6" s="35"/>
      <c r="L6" s="35"/>
      <c r="M6" s="34"/>
      <c r="N6" s="34" t="s">
        <v>105</v>
      </c>
      <c r="O6" s="35"/>
    </row>
    <row r="7">
      <c r="A7" s="33" t="s">
        <v>119</v>
      </c>
      <c r="B7" s="33" t="s">
        <v>120</v>
      </c>
      <c r="C7" s="33" t="s">
        <v>121</v>
      </c>
      <c r="H7" s="34" t="s">
        <v>110</v>
      </c>
      <c r="L7" s="34" t="s">
        <v>105</v>
      </c>
      <c r="N7" s="33" t="s">
        <v>105</v>
      </c>
    </row>
    <row r="8">
      <c r="A8" s="33" t="s">
        <v>122</v>
      </c>
      <c r="B8" s="33" t="s">
        <v>123</v>
      </c>
      <c r="C8" s="33" t="s">
        <v>124</v>
      </c>
      <c r="H8" s="33" t="s">
        <v>114</v>
      </c>
      <c r="J8" s="33"/>
      <c r="K8" s="33" t="s">
        <v>105</v>
      </c>
      <c r="N8" s="33" t="s">
        <v>105</v>
      </c>
    </row>
    <row r="9">
      <c r="A9" s="33" t="s">
        <v>125</v>
      </c>
      <c r="B9" s="33" t="s">
        <v>120</v>
      </c>
      <c r="C9" s="33" t="s">
        <v>126</v>
      </c>
      <c r="H9" s="33" t="s">
        <v>117</v>
      </c>
      <c r="J9" s="33"/>
      <c r="K9" s="33" t="s">
        <v>105</v>
      </c>
      <c r="O9" s="33" t="s">
        <v>105</v>
      </c>
    </row>
    <row r="10">
      <c r="H10" s="33" t="s">
        <v>119</v>
      </c>
      <c r="J10" s="33" t="s">
        <v>105</v>
      </c>
      <c r="O10" s="33" t="s">
        <v>105</v>
      </c>
    </row>
    <row r="11">
      <c r="A11" s="32" t="s">
        <v>127</v>
      </c>
      <c r="B11" s="32" t="s">
        <v>128</v>
      </c>
      <c r="C11" s="32" t="s">
        <v>129</v>
      </c>
      <c r="D11" s="32" t="s">
        <v>130</v>
      </c>
      <c r="E11" s="32" t="s">
        <v>131</v>
      </c>
      <c r="F11" s="32" t="s">
        <v>132</v>
      </c>
      <c r="H11" s="34" t="s">
        <v>133</v>
      </c>
      <c r="I11" s="34" t="s">
        <v>105</v>
      </c>
      <c r="O11" s="33" t="s">
        <v>105</v>
      </c>
    </row>
    <row r="12">
      <c r="A12" s="33" t="s">
        <v>102</v>
      </c>
      <c r="B12" s="33" t="s">
        <v>134</v>
      </c>
      <c r="C12" s="33" t="s">
        <v>101</v>
      </c>
      <c r="D12" s="36">
        <v>44294.0</v>
      </c>
      <c r="E12" s="36">
        <v>44334.0</v>
      </c>
      <c r="F12" s="33" t="s">
        <v>135</v>
      </c>
      <c r="H12" s="34" t="s">
        <v>136</v>
      </c>
      <c r="I12" s="34" t="s">
        <v>105</v>
      </c>
      <c r="O12" s="33" t="s">
        <v>105</v>
      </c>
    </row>
    <row r="13">
      <c r="A13" s="37" t="s">
        <v>103</v>
      </c>
      <c r="B13" s="37" t="s">
        <v>137</v>
      </c>
      <c r="C13" s="37" t="s">
        <v>138</v>
      </c>
      <c r="D13" s="38">
        <v>44322.0</v>
      </c>
      <c r="E13" s="39"/>
      <c r="F13" s="37" t="s">
        <v>139</v>
      </c>
      <c r="H13" s="34" t="s">
        <v>140</v>
      </c>
      <c r="I13" s="34" t="s">
        <v>105</v>
      </c>
      <c r="N13" s="33" t="s">
        <v>105</v>
      </c>
    </row>
    <row r="14">
      <c r="A14" s="37" t="s">
        <v>107</v>
      </c>
      <c r="B14" s="37" t="s">
        <v>141</v>
      </c>
      <c r="C14" s="37" t="s">
        <v>106</v>
      </c>
      <c r="D14" s="38">
        <v>44322.0</v>
      </c>
      <c r="E14" s="39"/>
      <c r="F14" s="37" t="s">
        <v>142</v>
      </c>
      <c r="H14" s="33" t="s">
        <v>122</v>
      </c>
      <c r="J14" s="33" t="s">
        <v>105</v>
      </c>
      <c r="O14" s="33" t="s">
        <v>105</v>
      </c>
    </row>
    <row r="15">
      <c r="A15" s="37" t="s">
        <v>111</v>
      </c>
      <c r="B15" s="37" t="s">
        <v>143</v>
      </c>
      <c r="C15" s="37" t="s">
        <v>110</v>
      </c>
      <c r="D15" s="38">
        <v>44322.0</v>
      </c>
      <c r="E15" s="39"/>
      <c r="F15" s="37" t="s">
        <v>144</v>
      </c>
      <c r="H15" s="34" t="s">
        <v>145</v>
      </c>
      <c r="I15" s="34" t="s">
        <v>105</v>
      </c>
      <c r="N15" s="33" t="s">
        <v>105</v>
      </c>
      <c r="O15" s="33" t="s">
        <v>105</v>
      </c>
    </row>
    <row r="16">
      <c r="A16" s="33" t="s">
        <v>115</v>
      </c>
      <c r="B16" s="33" t="s">
        <v>146</v>
      </c>
      <c r="C16" s="33" t="s">
        <v>114</v>
      </c>
      <c r="D16" s="36">
        <v>44322.0</v>
      </c>
      <c r="E16" s="36">
        <v>44334.0</v>
      </c>
      <c r="F16" s="33" t="s">
        <v>147</v>
      </c>
      <c r="H16" s="33" t="s">
        <v>125</v>
      </c>
      <c r="L16" s="33" t="s">
        <v>105</v>
      </c>
      <c r="O16" s="33" t="s">
        <v>105</v>
      </c>
    </row>
    <row r="17">
      <c r="A17" s="33" t="s">
        <v>118</v>
      </c>
      <c r="B17" s="33" t="s">
        <v>148</v>
      </c>
      <c r="C17" s="33" t="s">
        <v>149</v>
      </c>
      <c r="D17" s="36">
        <v>44322.0</v>
      </c>
      <c r="E17" s="36">
        <v>44334.0</v>
      </c>
      <c r="F17" s="33" t="s">
        <v>147</v>
      </c>
      <c r="H17" s="40" t="s">
        <v>150</v>
      </c>
      <c r="I17" s="41">
        <f>COUNTIF(I2:I16, "x")</f>
        <v>8</v>
      </c>
      <c r="J17" s="41">
        <f t="shared" ref="J17:M17" si="1">I17+ COUNTIF(J2:J16, "x")</f>
        <v>10</v>
      </c>
      <c r="K17" s="41">
        <f t="shared" si="1"/>
        <v>13</v>
      </c>
      <c r="L17" s="41">
        <f t="shared" si="1"/>
        <v>15</v>
      </c>
      <c r="M17" s="41">
        <f t="shared" si="1"/>
        <v>15</v>
      </c>
    </row>
    <row r="18">
      <c r="A18" s="33" t="s">
        <v>123</v>
      </c>
      <c r="B18" s="33" t="s">
        <v>151</v>
      </c>
      <c r="C18" s="33" t="s">
        <v>122</v>
      </c>
      <c r="D18" s="36">
        <v>44322.0</v>
      </c>
      <c r="E18" s="36">
        <v>44334.0</v>
      </c>
      <c r="F18" s="33" t="s">
        <v>147</v>
      </c>
      <c r="H18" s="33" t="s">
        <v>152</v>
      </c>
      <c r="I18" s="42">
        <f>COUNTIFS(I$2:I$16, "x", $N$2:$N$16, "x")</f>
        <v>4</v>
      </c>
      <c r="J18" s="42">
        <f t="shared" ref="J18:M18" si="2">I18+COUNTIFS(J$2:J$16, "x", $N$2:$N$16, "x")</f>
        <v>4</v>
      </c>
      <c r="K18" s="42">
        <f t="shared" si="2"/>
        <v>6</v>
      </c>
      <c r="L18" s="42">
        <f t="shared" si="2"/>
        <v>7</v>
      </c>
      <c r="M18" s="42">
        <f t="shared" si="2"/>
        <v>7</v>
      </c>
    </row>
    <row r="19">
      <c r="A19" s="33" t="s">
        <v>120</v>
      </c>
      <c r="B19" s="33" t="s">
        <v>153</v>
      </c>
      <c r="C19" s="33" t="s">
        <v>154</v>
      </c>
      <c r="D19" s="36">
        <v>44322.0</v>
      </c>
      <c r="E19" s="36">
        <v>44334.0</v>
      </c>
      <c r="F19" s="33" t="s">
        <v>147</v>
      </c>
      <c r="H19" s="33" t="s">
        <v>155</v>
      </c>
      <c r="I19" s="42">
        <f>COUNTIFS(I$2:I$16, "x", $O$2:$O$16, "x")</f>
        <v>5</v>
      </c>
      <c r="J19" s="42">
        <f t="shared" ref="J19:M19" si="3">I19+COUNTIFS(J$2:J$16, "x", $O$2:$O$16, "x")</f>
        <v>7</v>
      </c>
      <c r="K19" s="42">
        <f t="shared" si="3"/>
        <v>8</v>
      </c>
      <c r="L19" s="42">
        <f t="shared" si="3"/>
        <v>9</v>
      </c>
      <c r="M19" s="42">
        <f t="shared" si="3"/>
        <v>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2" width="8.0"/>
  </cols>
  <sheetData>
    <row r="1">
      <c r="A1" s="10" t="s">
        <v>30</v>
      </c>
      <c r="C1" s="11" t="s">
        <v>31</v>
      </c>
      <c r="D1" s="43" t="s">
        <v>32</v>
      </c>
      <c r="AA1" s="44" t="s">
        <v>33</v>
      </c>
      <c r="AE1" s="45" t="s">
        <v>34</v>
      </c>
      <c r="AW1" s="14" t="s">
        <v>35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 t="s">
        <v>36</v>
      </c>
      <c r="AX2" s="13"/>
      <c r="AY2" s="13"/>
      <c r="AZ2" s="14" t="s">
        <v>37</v>
      </c>
      <c r="BA2" s="13"/>
      <c r="BB2" s="13"/>
      <c r="BC2" s="14" t="s">
        <v>38</v>
      </c>
      <c r="BD2" s="13"/>
      <c r="BE2" s="13"/>
      <c r="BF2" s="13"/>
      <c r="BG2" s="14" t="s">
        <v>39</v>
      </c>
      <c r="BH2" s="13"/>
      <c r="BI2" s="13"/>
      <c r="BJ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156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158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159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  <c r="AU3" s="19" t="s">
        <v>82</v>
      </c>
      <c r="AV3" s="19" t="s">
        <v>83</v>
      </c>
      <c r="AW3" s="18" t="s">
        <v>84</v>
      </c>
      <c r="AX3" s="18" t="s">
        <v>85</v>
      </c>
      <c r="AY3" s="18" t="s">
        <v>86</v>
      </c>
      <c r="AZ3" s="18" t="s">
        <v>84</v>
      </c>
      <c r="BA3" s="18" t="s">
        <v>85</v>
      </c>
      <c r="BB3" s="18" t="s">
        <v>86</v>
      </c>
      <c r="BC3" s="18" t="s">
        <v>87</v>
      </c>
      <c r="BD3" s="18" t="s">
        <v>84</v>
      </c>
      <c r="BE3" s="18" t="s">
        <v>85</v>
      </c>
      <c r="BF3" s="18" t="s">
        <v>86</v>
      </c>
      <c r="BG3" s="18" t="s">
        <v>87</v>
      </c>
      <c r="BH3" s="18" t="s">
        <v>84</v>
      </c>
      <c r="BI3" s="18" t="s">
        <v>85</v>
      </c>
      <c r="BJ3" s="18" t="s">
        <v>86</v>
      </c>
    </row>
    <row r="4">
      <c r="A4" s="21" t="s">
        <v>160</v>
      </c>
      <c r="B4" s="22">
        <v>2006.0</v>
      </c>
      <c r="C4" s="46"/>
      <c r="D4" s="24" t="s">
        <v>88</v>
      </c>
      <c r="E4" s="25">
        <v>2006.0</v>
      </c>
      <c r="F4" s="47">
        <v>1.0</v>
      </c>
      <c r="G4" s="47">
        <v>1.0</v>
      </c>
      <c r="H4" s="47">
        <v>1.0</v>
      </c>
      <c r="I4" s="47">
        <v>1.0</v>
      </c>
      <c r="J4" s="47">
        <v>1.0</v>
      </c>
      <c r="K4" s="47">
        <v>17.0</v>
      </c>
      <c r="L4" s="47">
        <v>14.0</v>
      </c>
      <c r="M4" s="47">
        <v>19.0</v>
      </c>
      <c r="N4" s="47">
        <v>100.0</v>
      </c>
      <c r="O4" s="47">
        <v>58.0</v>
      </c>
      <c r="P4" s="47">
        <v>6.0</v>
      </c>
      <c r="Q4" s="47">
        <v>19.0</v>
      </c>
      <c r="R4" s="47">
        <v>10.0</v>
      </c>
      <c r="S4" s="47" t="s">
        <v>161</v>
      </c>
      <c r="T4" s="47">
        <v>7.0</v>
      </c>
      <c r="U4" s="47" t="s">
        <v>161</v>
      </c>
      <c r="V4" s="47">
        <v>0.0</v>
      </c>
      <c r="W4" s="47" t="s">
        <v>161</v>
      </c>
      <c r="X4" s="47">
        <v>2.0</v>
      </c>
      <c r="Y4" s="47">
        <v>3.0</v>
      </c>
      <c r="Z4" s="47">
        <v>1.0</v>
      </c>
      <c r="AA4" s="26" t="s">
        <v>162</v>
      </c>
      <c r="AB4" s="26" t="s">
        <v>163</v>
      </c>
      <c r="AC4" s="26">
        <v>1.0</v>
      </c>
      <c r="AD4" s="26">
        <v>2.0</v>
      </c>
      <c r="AE4" s="27" t="s">
        <v>164</v>
      </c>
      <c r="AF4" s="48">
        <v>115.0</v>
      </c>
      <c r="AG4" s="48">
        <v>115.0</v>
      </c>
      <c r="AH4" s="48">
        <v>115.0</v>
      </c>
      <c r="AI4" s="48">
        <v>110.0</v>
      </c>
      <c r="AJ4" s="48" t="s">
        <v>90</v>
      </c>
      <c r="AK4" s="48">
        <v>1.0</v>
      </c>
      <c r="AL4" s="48">
        <v>2.0</v>
      </c>
      <c r="AM4" s="48">
        <v>1.0</v>
      </c>
      <c r="AN4" s="48">
        <v>2.0</v>
      </c>
      <c r="AO4" s="48">
        <v>1.0</v>
      </c>
      <c r="AP4" s="48">
        <v>1.0</v>
      </c>
      <c r="AQ4" s="48">
        <v>1.0</v>
      </c>
      <c r="AR4" s="48">
        <v>1.0</v>
      </c>
      <c r="AS4" s="48">
        <v>180.0</v>
      </c>
      <c r="AT4" s="48">
        <v>3.0</v>
      </c>
      <c r="AU4" s="48">
        <v>21.0</v>
      </c>
      <c r="AV4" s="49">
        <f t="shared" ref="AV4:AV5" si="1">100*(AI4/AG4)</f>
        <v>95.65217391</v>
      </c>
      <c r="AW4" s="50">
        <v>115.0</v>
      </c>
      <c r="AX4" s="50">
        <v>2.21</v>
      </c>
      <c r="AY4" s="50">
        <v>0.89</v>
      </c>
      <c r="AZ4" s="50">
        <v>115.0</v>
      </c>
      <c r="BA4" s="50">
        <v>1.56</v>
      </c>
      <c r="BB4" s="50">
        <v>0.69</v>
      </c>
      <c r="BC4" s="50">
        <v>24.0</v>
      </c>
      <c r="BD4" s="50">
        <v>108.0</v>
      </c>
      <c r="BE4" s="50">
        <v>1.72</v>
      </c>
      <c r="BF4" s="50">
        <v>0.65</v>
      </c>
      <c r="BG4" s="50">
        <v>52.0</v>
      </c>
      <c r="BH4" s="50">
        <v>110.0</v>
      </c>
      <c r="BI4" s="50">
        <v>1.77</v>
      </c>
      <c r="BJ4" s="50">
        <v>0.75</v>
      </c>
    </row>
    <row r="5">
      <c r="A5" s="21" t="s">
        <v>160</v>
      </c>
      <c r="B5" s="22">
        <v>2006.0</v>
      </c>
      <c r="D5" s="24" t="s">
        <v>88</v>
      </c>
      <c r="E5" s="25">
        <v>2006.0</v>
      </c>
      <c r="F5" s="47">
        <v>1.0</v>
      </c>
      <c r="G5" s="47">
        <v>1.0</v>
      </c>
      <c r="H5" s="47">
        <v>1.0</v>
      </c>
      <c r="I5" s="47">
        <v>1.0</v>
      </c>
      <c r="J5" s="47">
        <v>1.0</v>
      </c>
      <c r="K5" s="47">
        <v>17.0</v>
      </c>
      <c r="L5" s="47">
        <v>14.0</v>
      </c>
      <c r="M5" s="47">
        <v>19.0</v>
      </c>
      <c r="N5" s="47">
        <v>100.0</v>
      </c>
      <c r="O5" s="47">
        <v>58.0</v>
      </c>
      <c r="P5" s="47">
        <v>6.0</v>
      </c>
      <c r="Q5" s="47">
        <v>19.0</v>
      </c>
      <c r="R5" s="47">
        <v>10.0</v>
      </c>
      <c r="S5" s="47" t="s">
        <v>161</v>
      </c>
      <c r="T5" s="47">
        <v>7.0</v>
      </c>
      <c r="U5" s="47" t="s">
        <v>161</v>
      </c>
      <c r="V5" s="47">
        <v>0.0</v>
      </c>
      <c r="W5" s="47" t="s">
        <v>161</v>
      </c>
      <c r="X5" s="47">
        <v>2.0</v>
      </c>
      <c r="Y5" s="47">
        <v>3.0</v>
      </c>
      <c r="Z5" s="47">
        <v>1.0</v>
      </c>
      <c r="AA5" s="26" t="s">
        <v>162</v>
      </c>
      <c r="AB5" s="26" t="s">
        <v>163</v>
      </c>
      <c r="AC5" s="26">
        <v>1.0</v>
      </c>
      <c r="AD5" s="26">
        <v>2.0</v>
      </c>
      <c r="AE5" s="27" t="s">
        <v>165</v>
      </c>
      <c r="AF5" s="48">
        <v>117.0</v>
      </c>
      <c r="AG5" s="48">
        <v>117.0</v>
      </c>
      <c r="AH5" s="48">
        <v>117.0</v>
      </c>
      <c r="AI5" s="48">
        <v>108.0</v>
      </c>
      <c r="AJ5" s="48" t="s">
        <v>90</v>
      </c>
      <c r="AK5" s="48">
        <v>1.0</v>
      </c>
      <c r="AL5" s="48">
        <v>2.0</v>
      </c>
      <c r="AM5" s="48">
        <v>1.0</v>
      </c>
      <c r="AN5" s="48">
        <v>2.0</v>
      </c>
      <c r="AO5" s="48">
        <v>1.0</v>
      </c>
      <c r="AP5" s="48">
        <v>1.0</v>
      </c>
      <c r="AQ5" s="48">
        <v>1.0</v>
      </c>
      <c r="AR5" s="48">
        <v>1.0</v>
      </c>
      <c r="AS5" s="48">
        <v>180.0</v>
      </c>
      <c r="AT5" s="48">
        <v>3.0</v>
      </c>
      <c r="AU5" s="48">
        <v>21.0</v>
      </c>
      <c r="AV5" s="49">
        <f t="shared" si="1"/>
        <v>92.30769231</v>
      </c>
      <c r="AW5" s="50">
        <v>117.0</v>
      </c>
      <c r="AX5" s="50">
        <v>2.1</v>
      </c>
      <c r="AY5" s="50">
        <v>0.81</v>
      </c>
      <c r="AZ5" s="50">
        <v>117.0</v>
      </c>
      <c r="BA5" s="50">
        <v>1.61</v>
      </c>
      <c r="BB5" s="50">
        <v>0.75</v>
      </c>
      <c r="BC5" s="50">
        <v>24.0</v>
      </c>
      <c r="BD5" s="50">
        <v>111.0</v>
      </c>
      <c r="BE5" s="50">
        <v>1.83</v>
      </c>
      <c r="BF5" s="50">
        <v>0.79</v>
      </c>
      <c r="BG5" s="50">
        <v>52.0</v>
      </c>
      <c r="BH5" s="50">
        <v>110.0</v>
      </c>
      <c r="BI5" s="50">
        <v>1.84</v>
      </c>
      <c r="BJ5" s="50">
        <v>0.84</v>
      </c>
    </row>
    <row r="6">
      <c r="A6" s="21" t="s">
        <v>160</v>
      </c>
      <c r="B6" s="22">
        <v>2006.0</v>
      </c>
      <c r="D6" s="24" t="s">
        <v>88</v>
      </c>
      <c r="E6" s="25">
        <v>2006.0</v>
      </c>
      <c r="F6" s="47">
        <v>1.0</v>
      </c>
      <c r="G6" s="47">
        <v>1.0</v>
      </c>
      <c r="H6" s="47">
        <v>1.0</v>
      </c>
      <c r="I6" s="47">
        <v>1.0</v>
      </c>
      <c r="J6" s="47">
        <v>1.0</v>
      </c>
      <c r="K6" s="47">
        <v>17.0</v>
      </c>
      <c r="L6" s="47">
        <v>14.0</v>
      </c>
      <c r="M6" s="47">
        <v>19.0</v>
      </c>
      <c r="N6" s="47">
        <v>100.0</v>
      </c>
      <c r="O6" s="47">
        <v>58.0</v>
      </c>
      <c r="P6" s="47">
        <v>6.0</v>
      </c>
      <c r="Q6" s="47">
        <v>19.0</v>
      </c>
      <c r="R6" s="47">
        <v>10.0</v>
      </c>
      <c r="S6" s="47" t="s">
        <v>161</v>
      </c>
      <c r="T6" s="47">
        <v>7.0</v>
      </c>
      <c r="U6" s="47" t="s">
        <v>161</v>
      </c>
      <c r="V6" s="47">
        <v>0.0</v>
      </c>
      <c r="W6" s="47" t="s">
        <v>161</v>
      </c>
      <c r="X6" s="47">
        <v>2.0</v>
      </c>
      <c r="Y6" s="47">
        <v>3.0</v>
      </c>
      <c r="Z6" s="47">
        <v>1.0</v>
      </c>
      <c r="AA6" s="26" t="s">
        <v>162</v>
      </c>
      <c r="AB6" s="26" t="s">
        <v>163</v>
      </c>
      <c r="AC6" s="26">
        <v>1.0</v>
      </c>
      <c r="AD6" s="26">
        <v>2.0</v>
      </c>
      <c r="AE6" s="27" t="s">
        <v>166</v>
      </c>
      <c r="AF6" s="48">
        <v>123.0</v>
      </c>
      <c r="AG6" s="48">
        <v>123.0</v>
      </c>
      <c r="AH6" s="48">
        <v>123.0</v>
      </c>
      <c r="AI6" s="48">
        <v>122.0</v>
      </c>
      <c r="AJ6" s="48">
        <v>4.0</v>
      </c>
      <c r="AK6" s="48" t="s">
        <v>90</v>
      </c>
      <c r="AL6" s="48" t="s">
        <v>90</v>
      </c>
      <c r="AM6" s="48" t="s">
        <v>90</v>
      </c>
      <c r="AN6" s="48" t="s">
        <v>90</v>
      </c>
      <c r="AO6" s="48" t="s">
        <v>90</v>
      </c>
      <c r="AP6" s="48" t="s">
        <v>90</v>
      </c>
      <c r="AQ6" s="48" t="s">
        <v>90</v>
      </c>
      <c r="AR6" s="48" t="s">
        <v>90</v>
      </c>
      <c r="AS6" s="48" t="s">
        <v>90</v>
      </c>
      <c r="AT6" s="48" t="s">
        <v>90</v>
      </c>
      <c r="AU6" s="48" t="s">
        <v>90</v>
      </c>
      <c r="AV6" s="48" t="s">
        <v>90</v>
      </c>
      <c r="AW6" s="50">
        <v>123.0</v>
      </c>
      <c r="AX6" s="50">
        <v>2.15</v>
      </c>
      <c r="AY6" s="50">
        <v>0.95</v>
      </c>
      <c r="AZ6" s="50">
        <v>123.0</v>
      </c>
      <c r="BA6" s="50">
        <v>1.87</v>
      </c>
      <c r="BB6" s="50">
        <v>0.81</v>
      </c>
      <c r="BC6" s="50">
        <v>24.0</v>
      </c>
      <c r="BD6" s="50">
        <v>121.0</v>
      </c>
      <c r="BE6" s="50">
        <v>1.86</v>
      </c>
      <c r="BF6" s="50">
        <v>0.85</v>
      </c>
      <c r="BG6" s="50">
        <v>52.0</v>
      </c>
      <c r="BH6" s="50">
        <v>120.0</v>
      </c>
      <c r="BI6" s="50">
        <v>1.85</v>
      </c>
      <c r="BJ6" s="50">
        <v>0.73</v>
      </c>
    </row>
    <row r="7">
      <c r="A7" s="21" t="s">
        <v>160</v>
      </c>
      <c r="B7" s="22">
        <v>2006.0</v>
      </c>
      <c r="D7" s="24" t="s">
        <v>88</v>
      </c>
      <c r="E7" s="25">
        <v>2006.0</v>
      </c>
      <c r="F7" s="47">
        <v>1.0</v>
      </c>
      <c r="G7" s="47">
        <v>1.0</v>
      </c>
      <c r="H7" s="47">
        <v>1.0</v>
      </c>
      <c r="I7" s="47">
        <v>1.0</v>
      </c>
      <c r="J7" s="47">
        <v>1.0</v>
      </c>
      <c r="K7" s="47">
        <v>17.0</v>
      </c>
      <c r="L7" s="47">
        <v>14.0</v>
      </c>
      <c r="M7" s="47">
        <v>19.0</v>
      </c>
      <c r="N7" s="47">
        <v>100.0</v>
      </c>
      <c r="O7" s="47">
        <v>58.0</v>
      </c>
      <c r="P7" s="47">
        <v>6.0</v>
      </c>
      <c r="Q7" s="47">
        <v>19.0</v>
      </c>
      <c r="R7" s="47">
        <v>10.0</v>
      </c>
      <c r="S7" s="47" t="s">
        <v>161</v>
      </c>
      <c r="T7" s="47">
        <v>7.0</v>
      </c>
      <c r="U7" s="47" t="s">
        <v>161</v>
      </c>
      <c r="V7" s="47">
        <v>0.0</v>
      </c>
      <c r="W7" s="47" t="s">
        <v>161</v>
      </c>
      <c r="X7" s="47">
        <v>2.0</v>
      </c>
      <c r="Y7" s="47">
        <v>3.0</v>
      </c>
      <c r="Z7" s="47">
        <v>1.0</v>
      </c>
      <c r="AA7" s="26" t="s">
        <v>162</v>
      </c>
      <c r="AB7" s="26" t="s">
        <v>163</v>
      </c>
      <c r="AC7" s="26">
        <v>1.0</v>
      </c>
      <c r="AD7" s="26">
        <v>2.0</v>
      </c>
      <c r="AE7" s="27" t="s">
        <v>167</v>
      </c>
      <c r="AF7" s="48">
        <v>126.0</v>
      </c>
      <c r="AG7" s="48">
        <v>126.0</v>
      </c>
      <c r="AH7" s="48" t="s">
        <v>90</v>
      </c>
      <c r="AI7" s="48" t="s">
        <v>90</v>
      </c>
      <c r="AJ7" s="48">
        <v>1.0</v>
      </c>
      <c r="AK7" s="48" t="s">
        <v>90</v>
      </c>
      <c r="AL7" s="48" t="s">
        <v>90</v>
      </c>
      <c r="AM7" s="48" t="s">
        <v>90</v>
      </c>
      <c r="AN7" s="48" t="s">
        <v>90</v>
      </c>
      <c r="AO7" s="48" t="s">
        <v>90</v>
      </c>
      <c r="AP7" s="48" t="s">
        <v>90</v>
      </c>
      <c r="AQ7" s="48" t="s">
        <v>90</v>
      </c>
      <c r="AR7" s="48" t="s">
        <v>90</v>
      </c>
      <c r="AS7" s="48" t="s">
        <v>90</v>
      </c>
      <c r="AT7" s="48" t="s">
        <v>90</v>
      </c>
      <c r="AU7" s="48" t="s">
        <v>90</v>
      </c>
      <c r="AV7" s="48" t="s">
        <v>90</v>
      </c>
      <c r="AW7" s="50">
        <v>126.0</v>
      </c>
      <c r="AX7" s="50">
        <v>2.22</v>
      </c>
      <c r="AY7" s="50">
        <v>0.92</v>
      </c>
      <c r="AZ7" s="50">
        <v>126.0</v>
      </c>
      <c r="BA7" s="50">
        <v>1.92</v>
      </c>
      <c r="BB7" s="50">
        <v>0.84</v>
      </c>
      <c r="BC7" s="50">
        <v>24.0</v>
      </c>
      <c r="BD7" s="50">
        <v>123.0</v>
      </c>
      <c r="BE7" s="50">
        <v>1.93</v>
      </c>
      <c r="BF7" s="50">
        <v>0.84</v>
      </c>
      <c r="BG7" s="50">
        <v>52.0</v>
      </c>
      <c r="BH7" s="50">
        <v>121.0</v>
      </c>
      <c r="BI7" s="50">
        <v>1.92</v>
      </c>
      <c r="BJ7" s="50">
        <v>0.83</v>
      </c>
    </row>
    <row r="8">
      <c r="A8" s="21" t="s">
        <v>168</v>
      </c>
      <c r="B8" s="22">
        <v>2006.0</v>
      </c>
      <c r="C8" s="51"/>
      <c r="D8" s="24" t="s">
        <v>88</v>
      </c>
      <c r="E8" s="25">
        <v>2006.0</v>
      </c>
      <c r="F8" s="47">
        <v>2.0</v>
      </c>
      <c r="G8" s="47">
        <v>1.0</v>
      </c>
      <c r="H8" s="47">
        <v>1.0</v>
      </c>
      <c r="I8" s="47">
        <v>1.0</v>
      </c>
      <c r="J8" s="47">
        <v>1.0</v>
      </c>
      <c r="K8" s="52">
        <f t="shared" ref="K8:K9" si="2">((12.51*39)+(12.35*42))/(39+42)</f>
        <v>12.42703704</v>
      </c>
      <c r="L8" s="47">
        <v>11.0</v>
      </c>
      <c r="M8" s="47">
        <v>13.0</v>
      </c>
      <c r="N8" s="47">
        <v>100.0</v>
      </c>
      <c r="O8" s="52">
        <f t="shared" ref="O8:O9" si="3">((80*39)+(81*42))/(39+42)</f>
        <v>80.51851852</v>
      </c>
      <c r="P8" s="47" t="s">
        <v>161</v>
      </c>
      <c r="Q8" s="52">
        <f t="shared" ref="Q8:Q9" si="4">((5*39)+(9*42))/(39+42)</f>
        <v>7.074074074</v>
      </c>
      <c r="R8" s="52">
        <f t="shared" ref="R8:R9" si="5">((0*39)+(2*42))/(39+42)</f>
        <v>1.037037037</v>
      </c>
      <c r="S8" s="47" t="s">
        <v>161</v>
      </c>
      <c r="T8" s="52">
        <f t="shared" ref="T8:T9" si="6">((13*39)+(7*42))/(39+42)</f>
        <v>9.888888889</v>
      </c>
      <c r="U8" s="47" t="s">
        <v>161</v>
      </c>
      <c r="V8" s="47">
        <v>0.0</v>
      </c>
      <c r="W8" s="47" t="s">
        <v>161</v>
      </c>
      <c r="X8" s="47">
        <v>2.0</v>
      </c>
      <c r="Y8" s="47">
        <v>3.0</v>
      </c>
      <c r="Z8" s="47">
        <v>2.0</v>
      </c>
      <c r="AA8" s="26" t="s">
        <v>162</v>
      </c>
      <c r="AB8" s="26" t="s">
        <v>163</v>
      </c>
      <c r="AC8" s="26">
        <v>1.0</v>
      </c>
      <c r="AD8" s="26">
        <v>2.0</v>
      </c>
      <c r="AE8" s="27" t="s">
        <v>169</v>
      </c>
      <c r="AF8" s="48">
        <v>39.0</v>
      </c>
      <c r="AG8" s="48">
        <v>39.0</v>
      </c>
      <c r="AH8" s="48" t="s">
        <v>161</v>
      </c>
      <c r="AI8" s="48">
        <f>AG8*0.95</f>
        <v>37.05</v>
      </c>
      <c r="AJ8" s="48" t="s">
        <v>90</v>
      </c>
      <c r="AK8" s="48">
        <v>2.0</v>
      </c>
      <c r="AL8" s="48">
        <v>2.0</v>
      </c>
      <c r="AM8" s="48">
        <v>2.0</v>
      </c>
      <c r="AN8" s="48">
        <v>2.0</v>
      </c>
      <c r="AO8" s="48">
        <v>1.0</v>
      </c>
      <c r="AP8" s="48">
        <v>1.0</v>
      </c>
      <c r="AQ8" s="48">
        <v>1.0</v>
      </c>
      <c r="AR8" s="48">
        <v>2.0</v>
      </c>
      <c r="AS8" s="48">
        <v>270.0</v>
      </c>
      <c r="AT8" s="48">
        <v>3.0</v>
      </c>
      <c r="AU8" s="48">
        <v>21.0</v>
      </c>
      <c r="AV8" s="48">
        <v>95.0</v>
      </c>
      <c r="AW8" s="50">
        <v>39.0</v>
      </c>
      <c r="AX8" s="50">
        <v>28.69</v>
      </c>
      <c r="AY8" s="50">
        <v>11.43</v>
      </c>
      <c r="AZ8" s="50">
        <f t="shared" ref="AZ8:AZ9" si="7">AW8*0.91</f>
        <v>35.49</v>
      </c>
      <c r="BA8" s="50">
        <v>26.85</v>
      </c>
      <c r="BB8" s="50">
        <v>11.59</v>
      </c>
      <c r="BC8" s="50">
        <v>12.0</v>
      </c>
      <c r="BD8" s="50">
        <f t="shared" ref="BD8:BD9" si="8">AW8*0.84</f>
        <v>32.76</v>
      </c>
      <c r="BE8" s="50">
        <v>25.71</v>
      </c>
      <c r="BF8" s="50">
        <v>9.78</v>
      </c>
      <c r="BG8" s="50" t="s">
        <v>90</v>
      </c>
      <c r="BH8" s="50" t="s">
        <v>90</v>
      </c>
      <c r="BI8" s="50" t="s">
        <v>90</v>
      </c>
      <c r="BJ8" s="50" t="s">
        <v>90</v>
      </c>
    </row>
    <row r="9">
      <c r="A9" s="21" t="s">
        <v>168</v>
      </c>
      <c r="B9" s="22">
        <v>2006.0</v>
      </c>
      <c r="D9" s="24" t="s">
        <v>88</v>
      </c>
      <c r="E9" s="25">
        <v>2006.0</v>
      </c>
      <c r="F9" s="47">
        <v>2.0</v>
      </c>
      <c r="G9" s="47">
        <v>1.0</v>
      </c>
      <c r="H9" s="47">
        <v>1.0</v>
      </c>
      <c r="I9" s="47">
        <v>1.0</v>
      </c>
      <c r="J9" s="47">
        <v>1.0</v>
      </c>
      <c r="K9" s="52">
        <f t="shared" si="2"/>
        <v>12.42703704</v>
      </c>
      <c r="L9" s="47">
        <v>11.0</v>
      </c>
      <c r="M9" s="47">
        <v>13.0</v>
      </c>
      <c r="N9" s="47">
        <v>100.0</v>
      </c>
      <c r="O9" s="52">
        <f t="shared" si="3"/>
        <v>80.51851852</v>
      </c>
      <c r="P9" s="47" t="s">
        <v>161</v>
      </c>
      <c r="Q9" s="52">
        <f t="shared" si="4"/>
        <v>7.074074074</v>
      </c>
      <c r="R9" s="52">
        <f t="shared" si="5"/>
        <v>1.037037037</v>
      </c>
      <c r="S9" s="47" t="s">
        <v>161</v>
      </c>
      <c r="T9" s="52">
        <f t="shared" si="6"/>
        <v>9.888888889</v>
      </c>
      <c r="U9" s="47" t="s">
        <v>161</v>
      </c>
      <c r="V9" s="47">
        <v>0.0</v>
      </c>
      <c r="W9" s="47" t="s">
        <v>161</v>
      </c>
      <c r="X9" s="47">
        <v>2.0</v>
      </c>
      <c r="Y9" s="47">
        <v>3.0</v>
      </c>
      <c r="Z9" s="47">
        <v>2.0</v>
      </c>
      <c r="AA9" s="26" t="s">
        <v>162</v>
      </c>
      <c r="AB9" s="26" t="s">
        <v>163</v>
      </c>
      <c r="AC9" s="26">
        <v>1.0</v>
      </c>
      <c r="AD9" s="26">
        <v>2.0</v>
      </c>
      <c r="AE9" s="27" t="s">
        <v>170</v>
      </c>
      <c r="AF9" s="48">
        <v>42.0</v>
      </c>
      <c r="AG9" s="48">
        <v>42.0</v>
      </c>
      <c r="AH9" s="48" t="s">
        <v>90</v>
      </c>
      <c r="AI9" s="48" t="s">
        <v>90</v>
      </c>
      <c r="AJ9" s="48">
        <v>1.0</v>
      </c>
      <c r="AK9" s="48" t="s">
        <v>90</v>
      </c>
      <c r="AL9" s="48" t="s">
        <v>90</v>
      </c>
      <c r="AM9" s="48" t="s">
        <v>90</v>
      </c>
      <c r="AN9" s="48" t="s">
        <v>90</v>
      </c>
      <c r="AO9" s="48" t="s">
        <v>90</v>
      </c>
      <c r="AP9" s="48" t="s">
        <v>90</v>
      </c>
      <c r="AQ9" s="48" t="s">
        <v>90</v>
      </c>
      <c r="AR9" s="48" t="s">
        <v>90</v>
      </c>
      <c r="AS9" s="48" t="s">
        <v>90</v>
      </c>
      <c r="AT9" s="48" t="s">
        <v>90</v>
      </c>
      <c r="AU9" s="48" t="s">
        <v>90</v>
      </c>
      <c r="AV9" s="48" t="s">
        <v>90</v>
      </c>
      <c r="AW9" s="50">
        <v>42.0</v>
      </c>
      <c r="AX9" s="50">
        <v>27.89</v>
      </c>
      <c r="AY9" s="50">
        <v>12.8</v>
      </c>
      <c r="AZ9" s="50">
        <f t="shared" si="7"/>
        <v>38.22</v>
      </c>
      <c r="BA9" s="50">
        <v>27.79</v>
      </c>
      <c r="BB9" s="50">
        <v>12.43</v>
      </c>
      <c r="BC9" s="50">
        <v>12.0</v>
      </c>
      <c r="BD9" s="50">
        <f t="shared" si="8"/>
        <v>35.28</v>
      </c>
      <c r="BE9" s="50">
        <v>24.67</v>
      </c>
      <c r="BF9" s="50">
        <v>8.13</v>
      </c>
      <c r="BG9" s="50" t="s">
        <v>90</v>
      </c>
      <c r="BH9" s="50" t="s">
        <v>90</v>
      </c>
      <c r="BI9" s="50" t="s">
        <v>90</v>
      </c>
      <c r="BJ9" s="50" t="s">
        <v>90</v>
      </c>
    </row>
    <row r="10">
      <c r="A10" s="53" t="s">
        <v>171</v>
      </c>
      <c r="B10" s="54">
        <v>2007.0</v>
      </c>
      <c r="C10" s="51" t="s">
        <v>172</v>
      </c>
      <c r="D10" s="28" t="s">
        <v>88</v>
      </c>
      <c r="E10" s="54">
        <v>2007.0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28"/>
      <c r="AB10" s="28"/>
      <c r="AC10" s="28"/>
      <c r="AD10" s="28"/>
      <c r="AE10" s="28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</row>
    <row r="11">
      <c r="A11" s="53" t="s">
        <v>171</v>
      </c>
      <c r="B11" s="54">
        <v>2007.0</v>
      </c>
      <c r="D11" s="28" t="s">
        <v>88</v>
      </c>
      <c r="E11" s="54">
        <v>2007.0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28"/>
      <c r="AB11" s="28"/>
      <c r="AC11" s="28"/>
      <c r="AD11" s="28"/>
      <c r="AE11" s="28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</row>
    <row r="12">
      <c r="A12" s="21" t="s">
        <v>173</v>
      </c>
      <c r="B12" s="22">
        <v>2007.0</v>
      </c>
      <c r="C12" s="46"/>
      <c r="D12" s="24" t="s">
        <v>88</v>
      </c>
      <c r="E12" s="25">
        <v>2007.0</v>
      </c>
      <c r="F12" s="47">
        <v>1.0</v>
      </c>
      <c r="G12" s="47">
        <v>3.0</v>
      </c>
      <c r="H12" s="47">
        <v>1.0</v>
      </c>
      <c r="I12" s="47">
        <v>1.0</v>
      </c>
      <c r="J12" s="47" t="s">
        <v>161</v>
      </c>
      <c r="K12" s="47">
        <v>14.4</v>
      </c>
      <c r="L12" s="47">
        <v>12.0</v>
      </c>
      <c r="M12" s="47">
        <v>18.0</v>
      </c>
      <c r="N12" s="47">
        <v>100.0</v>
      </c>
      <c r="O12" s="52">
        <f t="shared" ref="O12:O13" si="9">(79/83)*100</f>
        <v>95.18072289</v>
      </c>
      <c r="P12" s="47">
        <v>0.0</v>
      </c>
      <c r="Q12" s="47">
        <v>0.0</v>
      </c>
      <c r="R12" s="52">
        <f t="shared" ref="R12:R13" si="10">(4/83)*100</f>
        <v>4.819277108</v>
      </c>
      <c r="S12" s="47">
        <v>0.0</v>
      </c>
      <c r="T12" s="47">
        <v>0.0</v>
      </c>
      <c r="U12" s="47">
        <v>0.0</v>
      </c>
      <c r="V12" s="47">
        <v>0.0</v>
      </c>
      <c r="W12" s="47" t="s">
        <v>161</v>
      </c>
      <c r="X12" s="47">
        <v>2.0</v>
      </c>
      <c r="Y12" s="47">
        <v>5.0</v>
      </c>
      <c r="Z12" s="47">
        <v>2.0</v>
      </c>
      <c r="AA12" s="26" t="s">
        <v>174</v>
      </c>
      <c r="AB12" s="26" t="s">
        <v>175</v>
      </c>
      <c r="AC12" s="26">
        <v>1.0</v>
      </c>
      <c r="AD12" s="26">
        <v>1.0</v>
      </c>
      <c r="AE12" s="27" t="s">
        <v>169</v>
      </c>
      <c r="AF12" s="48">
        <v>40.0</v>
      </c>
      <c r="AG12" s="48">
        <v>40.0</v>
      </c>
      <c r="AH12" s="48">
        <v>36.0</v>
      </c>
      <c r="AI12" s="48">
        <v>28.0</v>
      </c>
      <c r="AJ12" s="48" t="s">
        <v>90</v>
      </c>
      <c r="AK12" s="48">
        <v>1.0</v>
      </c>
      <c r="AL12" s="48">
        <v>5.0</v>
      </c>
      <c r="AM12" s="48">
        <v>1.0</v>
      </c>
      <c r="AN12" s="48">
        <v>2.0</v>
      </c>
      <c r="AO12" s="48">
        <v>1.0</v>
      </c>
      <c r="AP12" s="48">
        <v>2.0</v>
      </c>
      <c r="AQ12" s="48">
        <v>1.0</v>
      </c>
      <c r="AR12" s="48">
        <v>2.0</v>
      </c>
      <c r="AS12" s="48">
        <v>540.0</v>
      </c>
      <c r="AT12" s="48">
        <v>6.0</v>
      </c>
      <c r="AU12" s="48">
        <v>42.0</v>
      </c>
      <c r="AV12" s="56">
        <f>(AI12/AH12)*100</f>
        <v>77.77777778</v>
      </c>
      <c r="AW12" s="50">
        <v>36.0</v>
      </c>
      <c r="AX12" s="50">
        <v>12.97</v>
      </c>
      <c r="AY12" s="50">
        <v>9.41</v>
      </c>
      <c r="AZ12" s="50">
        <v>36.0</v>
      </c>
      <c r="BA12" s="50">
        <v>7.53</v>
      </c>
      <c r="BB12" s="50">
        <v>8.54</v>
      </c>
      <c r="BC12" s="50" t="s">
        <v>90</v>
      </c>
      <c r="BD12" s="50" t="s">
        <v>90</v>
      </c>
      <c r="BE12" s="50" t="s">
        <v>90</v>
      </c>
      <c r="BF12" s="50" t="s">
        <v>90</v>
      </c>
      <c r="BG12" s="50" t="s">
        <v>90</v>
      </c>
      <c r="BH12" s="50" t="s">
        <v>90</v>
      </c>
      <c r="BI12" s="50" t="s">
        <v>90</v>
      </c>
      <c r="BJ12" s="50" t="s">
        <v>90</v>
      </c>
    </row>
    <row r="13">
      <c r="A13" s="21" t="s">
        <v>173</v>
      </c>
      <c r="B13" s="22">
        <v>2007.0</v>
      </c>
      <c r="D13" s="24" t="s">
        <v>88</v>
      </c>
      <c r="E13" s="25">
        <v>2007.0</v>
      </c>
      <c r="F13" s="47">
        <v>1.0</v>
      </c>
      <c r="G13" s="47">
        <v>3.0</v>
      </c>
      <c r="H13" s="47">
        <v>1.0</v>
      </c>
      <c r="I13" s="47">
        <v>1.0</v>
      </c>
      <c r="J13" s="47" t="s">
        <v>161</v>
      </c>
      <c r="K13" s="47">
        <v>14.4</v>
      </c>
      <c r="L13" s="47">
        <v>12.0</v>
      </c>
      <c r="M13" s="47">
        <v>18.0</v>
      </c>
      <c r="N13" s="47">
        <v>100.0</v>
      </c>
      <c r="O13" s="52">
        <f t="shared" si="9"/>
        <v>95.18072289</v>
      </c>
      <c r="P13" s="47">
        <v>0.0</v>
      </c>
      <c r="Q13" s="47">
        <v>0.0</v>
      </c>
      <c r="R13" s="52">
        <f t="shared" si="10"/>
        <v>4.819277108</v>
      </c>
      <c r="S13" s="47">
        <v>0.0</v>
      </c>
      <c r="T13" s="47">
        <v>0.0</v>
      </c>
      <c r="U13" s="47">
        <v>0.0</v>
      </c>
      <c r="V13" s="47">
        <v>0.0</v>
      </c>
      <c r="W13" s="47" t="s">
        <v>161</v>
      </c>
      <c r="X13" s="47">
        <v>2.0</v>
      </c>
      <c r="Y13" s="47">
        <v>5.0</v>
      </c>
      <c r="Z13" s="47">
        <v>2.0</v>
      </c>
      <c r="AA13" s="26" t="s">
        <v>174</v>
      </c>
      <c r="AB13" s="26" t="s">
        <v>175</v>
      </c>
      <c r="AC13" s="26">
        <v>1.0</v>
      </c>
      <c r="AD13" s="26">
        <v>1.0</v>
      </c>
      <c r="AE13" s="27" t="s">
        <v>170</v>
      </c>
      <c r="AF13" s="48">
        <v>43.0</v>
      </c>
      <c r="AG13" s="48">
        <v>43.0</v>
      </c>
      <c r="AH13" s="48">
        <v>37.0</v>
      </c>
      <c r="AI13" s="48">
        <v>34.0</v>
      </c>
      <c r="AJ13" s="48">
        <v>1.0</v>
      </c>
      <c r="AK13" s="48" t="s">
        <v>90</v>
      </c>
      <c r="AL13" s="48" t="s">
        <v>90</v>
      </c>
      <c r="AM13" s="48" t="s">
        <v>90</v>
      </c>
      <c r="AN13" s="48" t="s">
        <v>90</v>
      </c>
      <c r="AO13" s="48" t="s">
        <v>90</v>
      </c>
      <c r="AP13" s="48" t="s">
        <v>90</v>
      </c>
      <c r="AQ13" s="48" t="s">
        <v>90</v>
      </c>
      <c r="AR13" s="48" t="s">
        <v>90</v>
      </c>
      <c r="AS13" s="48" t="s">
        <v>90</v>
      </c>
      <c r="AT13" s="48" t="s">
        <v>90</v>
      </c>
      <c r="AU13" s="48" t="s">
        <v>90</v>
      </c>
      <c r="AV13" s="48" t="s">
        <v>90</v>
      </c>
      <c r="AW13" s="50">
        <v>37.0</v>
      </c>
      <c r="AX13" s="50">
        <v>14.12</v>
      </c>
      <c r="AY13" s="50">
        <v>9.69</v>
      </c>
      <c r="AZ13" s="50">
        <v>37.0</v>
      </c>
      <c r="BA13" s="50">
        <v>12.35</v>
      </c>
      <c r="BB13" s="50">
        <v>10.03</v>
      </c>
      <c r="BC13" s="50" t="s">
        <v>90</v>
      </c>
      <c r="BD13" s="50" t="s">
        <v>90</v>
      </c>
      <c r="BE13" s="50" t="s">
        <v>90</v>
      </c>
      <c r="BF13" s="50" t="s">
        <v>90</v>
      </c>
      <c r="BG13" s="50" t="s">
        <v>90</v>
      </c>
      <c r="BH13" s="50" t="s">
        <v>90</v>
      </c>
      <c r="BI13" s="50" t="s">
        <v>90</v>
      </c>
      <c r="BJ13" s="50" t="s">
        <v>90</v>
      </c>
    </row>
    <row r="14">
      <c r="A14" s="21" t="s">
        <v>176</v>
      </c>
      <c r="B14" s="22">
        <v>2009.0</v>
      </c>
      <c r="C14" s="57" t="s">
        <v>177</v>
      </c>
      <c r="D14" s="24" t="s">
        <v>88</v>
      </c>
      <c r="E14" s="25">
        <v>2009.0</v>
      </c>
      <c r="F14" s="47">
        <v>1.0</v>
      </c>
      <c r="G14" s="47">
        <v>3.0</v>
      </c>
      <c r="H14" s="47">
        <v>1.0</v>
      </c>
      <c r="I14" s="47">
        <v>2.0</v>
      </c>
      <c r="J14" s="47">
        <v>2.0</v>
      </c>
      <c r="K14" s="47">
        <v>13.62</v>
      </c>
      <c r="L14" s="47">
        <v>13.0</v>
      </c>
      <c r="M14" s="47">
        <v>14.0</v>
      </c>
      <c r="N14" s="52">
        <f t="shared" ref="N14:N15" si="11">100*(126+147)/(126+147+107+160)</f>
        <v>50.55555556</v>
      </c>
      <c r="O14" s="47">
        <v>95.0</v>
      </c>
      <c r="P14" s="47" t="s">
        <v>161</v>
      </c>
      <c r="Q14" s="47" t="s">
        <v>161</v>
      </c>
      <c r="R14" s="47" t="s">
        <v>161</v>
      </c>
      <c r="S14" s="47" t="s">
        <v>161</v>
      </c>
      <c r="T14" s="47" t="s">
        <v>161</v>
      </c>
      <c r="U14" s="47">
        <v>5.0</v>
      </c>
      <c r="V14" s="47">
        <v>0.0</v>
      </c>
      <c r="W14" s="47" t="s">
        <v>161</v>
      </c>
      <c r="X14" s="47">
        <v>4.0</v>
      </c>
      <c r="Y14" s="47">
        <v>1.0</v>
      </c>
      <c r="Z14" s="47">
        <v>2.0</v>
      </c>
      <c r="AA14" s="26" t="s">
        <v>178</v>
      </c>
      <c r="AB14" s="26" t="s">
        <v>179</v>
      </c>
      <c r="AC14" s="26">
        <v>1.0</v>
      </c>
      <c r="AD14" s="26">
        <v>1.0</v>
      </c>
      <c r="AE14" s="27" t="s">
        <v>169</v>
      </c>
      <c r="AF14" s="48">
        <v>11.0</v>
      </c>
      <c r="AG14" s="48">
        <v>233.0</v>
      </c>
      <c r="AH14" s="48" t="s">
        <v>90</v>
      </c>
      <c r="AI14" s="48" t="s">
        <v>90</v>
      </c>
      <c r="AJ14" s="48" t="s">
        <v>90</v>
      </c>
      <c r="AK14" s="48">
        <v>1.0</v>
      </c>
      <c r="AL14" s="48">
        <v>2.0</v>
      </c>
      <c r="AM14" s="48">
        <v>2.0</v>
      </c>
      <c r="AN14" s="48">
        <v>2.0</v>
      </c>
      <c r="AO14" s="48">
        <v>1.0</v>
      </c>
      <c r="AP14" s="48">
        <v>2.0</v>
      </c>
      <c r="AQ14" s="48">
        <v>1.0</v>
      </c>
      <c r="AR14" s="48" t="s">
        <v>90</v>
      </c>
      <c r="AS14" s="48">
        <v>400.0</v>
      </c>
      <c r="AT14" s="48">
        <v>8.0</v>
      </c>
      <c r="AU14" s="48">
        <v>28.0</v>
      </c>
      <c r="AV14" s="48" t="s">
        <v>161</v>
      </c>
      <c r="AW14" s="58" t="s">
        <v>161</v>
      </c>
      <c r="AX14" s="58" t="s">
        <v>161</v>
      </c>
      <c r="AY14" s="58" t="s">
        <v>161</v>
      </c>
      <c r="AZ14" s="58" t="s">
        <v>161</v>
      </c>
      <c r="BA14" s="58" t="s">
        <v>161</v>
      </c>
      <c r="BB14" s="58" t="s">
        <v>161</v>
      </c>
      <c r="BC14" s="58" t="s">
        <v>161</v>
      </c>
      <c r="BD14" s="58" t="s">
        <v>161</v>
      </c>
      <c r="BE14" s="58" t="s">
        <v>161</v>
      </c>
      <c r="BF14" s="58" t="s">
        <v>161</v>
      </c>
      <c r="BG14" s="58" t="s">
        <v>161</v>
      </c>
      <c r="BH14" s="58" t="s">
        <v>161</v>
      </c>
      <c r="BI14" s="58" t="s">
        <v>161</v>
      </c>
      <c r="BJ14" s="58" t="s">
        <v>161</v>
      </c>
    </row>
    <row r="15">
      <c r="A15" s="21" t="s">
        <v>176</v>
      </c>
      <c r="B15" s="22">
        <v>2009.0</v>
      </c>
      <c r="D15" s="24" t="s">
        <v>88</v>
      </c>
      <c r="E15" s="25">
        <v>2009.0</v>
      </c>
      <c r="F15" s="47">
        <v>1.0</v>
      </c>
      <c r="G15" s="47">
        <v>3.0</v>
      </c>
      <c r="H15" s="47">
        <v>1.0</v>
      </c>
      <c r="I15" s="47">
        <v>2.0</v>
      </c>
      <c r="J15" s="47">
        <v>2.0</v>
      </c>
      <c r="K15" s="47">
        <v>13.62</v>
      </c>
      <c r="L15" s="47">
        <v>13.0</v>
      </c>
      <c r="M15" s="47">
        <v>14.0</v>
      </c>
      <c r="N15" s="52">
        <f t="shared" si="11"/>
        <v>50.55555556</v>
      </c>
      <c r="O15" s="47">
        <v>95.0</v>
      </c>
      <c r="P15" s="47" t="s">
        <v>161</v>
      </c>
      <c r="Q15" s="47" t="s">
        <v>161</v>
      </c>
      <c r="R15" s="47" t="s">
        <v>161</v>
      </c>
      <c r="S15" s="47" t="s">
        <v>161</v>
      </c>
      <c r="T15" s="47" t="s">
        <v>161</v>
      </c>
      <c r="U15" s="47">
        <v>5.0</v>
      </c>
      <c r="V15" s="47">
        <v>0.0</v>
      </c>
      <c r="W15" s="47" t="s">
        <v>161</v>
      </c>
      <c r="X15" s="47">
        <v>4.0</v>
      </c>
      <c r="Y15" s="47">
        <v>1.0</v>
      </c>
      <c r="Z15" s="47">
        <v>2.0</v>
      </c>
      <c r="AA15" s="26" t="s">
        <v>178</v>
      </c>
      <c r="AB15" s="26" t="s">
        <v>179</v>
      </c>
      <c r="AC15" s="26">
        <v>1.0</v>
      </c>
      <c r="AD15" s="26">
        <v>1.0</v>
      </c>
      <c r="AE15" s="27" t="s">
        <v>170</v>
      </c>
      <c r="AF15" s="48">
        <v>11.0</v>
      </c>
      <c r="AG15" s="48">
        <v>307.0</v>
      </c>
      <c r="AH15" s="48" t="s">
        <v>90</v>
      </c>
      <c r="AI15" s="48" t="s">
        <v>90</v>
      </c>
      <c r="AJ15" s="48">
        <v>1.0</v>
      </c>
      <c r="AK15" s="48" t="s">
        <v>90</v>
      </c>
      <c r="AL15" s="48" t="s">
        <v>90</v>
      </c>
      <c r="AM15" s="48" t="s">
        <v>90</v>
      </c>
      <c r="AN15" s="48" t="s">
        <v>90</v>
      </c>
      <c r="AO15" s="48" t="s">
        <v>90</v>
      </c>
      <c r="AP15" s="48" t="s">
        <v>90</v>
      </c>
      <c r="AQ15" s="48" t="s">
        <v>90</v>
      </c>
      <c r="AR15" s="48" t="s">
        <v>90</v>
      </c>
      <c r="AS15" s="48" t="s">
        <v>90</v>
      </c>
      <c r="AT15" s="48" t="s">
        <v>90</v>
      </c>
      <c r="AU15" s="48" t="s">
        <v>90</v>
      </c>
      <c r="AV15" s="48" t="s">
        <v>90</v>
      </c>
      <c r="AW15" s="58" t="s">
        <v>161</v>
      </c>
      <c r="AX15" s="58" t="s">
        <v>161</v>
      </c>
      <c r="AY15" s="58" t="s">
        <v>161</v>
      </c>
      <c r="AZ15" s="58" t="s">
        <v>161</v>
      </c>
      <c r="BA15" s="58" t="s">
        <v>161</v>
      </c>
      <c r="BB15" s="58" t="s">
        <v>161</v>
      </c>
      <c r="BC15" s="58" t="s">
        <v>161</v>
      </c>
      <c r="BD15" s="58" t="s">
        <v>161</v>
      </c>
      <c r="BE15" s="58" t="s">
        <v>161</v>
      </c>
      <c r="BF15" s="58" t="s">
        <v>161</v>
      </c>
      <c r="BG15" s="58" t="s">
        <v>161</v>
      </c>
      <c r="BH15" s="58" t="s">
        <v>161</v>
      </c>
      <c r="BI15" s="58" t="s">
        <v>161</v>
      </c>
      <c r="BJ15" s="58" t="s">
        <v>161</v>
      </c>
    </row>
    <row r="16">
      <c r="A16" s="21" t="s">
        <v>180</v>
      </c>
      <c r="B16" s="22">
        <v>2009.0</v>
      </c>
      <c r="C16" s="57" t="s">
        <v>181</v>
      </c>
      <c r="D16" s="24" t="s">
        <v>88</v>
      </c>
      <c r="E16" s="25">
        <v>2009.0</v>
      </c>
      <c r="F16" s="47">
        <v>1.0</v>
      </c>
      <c r="G16" s="47">
        <v>1.0</v>
      </c>
      <c r="H16" s="47">
        <v>1.0</v>
      </c>
      <c r="I16" s="47">
        <v>1.0</v>
      </c>
      <c r="J16" s="47">
        <v>1.0</v>
      </c>
      <c r="K16" s="47">
        <v>15.7</v>
      </c>
      <c r="L16" s="47">
        <v>14.0</v>
      </c>
      <c r="M16" s="47">
        <v>19.0</v>
      </c>
      <c r="N16" s="47">
        <v>100.0</v>
      </c>
      <c r="O16" s="47">
        <v>81.0</v>
      </c>
      <c r="P16" s="47">
        <v>2.0</v>
      </c>
      <c r="Q16" s="47">
        <v>9.0</v>
      </c>
      <c r="R16" s="47">
        <v>2.0</v>
      </c>
      <c r="S16" s="47" t="s">
        <v>161</v>
      </c>
      <c r="T16" s="47">
        <v>6.0</v>
      </c>
      <c r="U16" s="47" t="s">
        <v>161</v>
      </c>
      <c r="V16" s="47">
        <v>0.0</v>
      </c>
      <c r="W16" s="47" t="s">
        <v>161</v>
      </c>
      <c r="X16" s="47">
        <v>2.0</v>
      </c>
      <c r="Y16" s="47">
        <v>3.0</v>
      </c>
      <c r="Z16" s="47">
        <v>2.0</v>
      </c>
      <c r="AA16" s="26" t="s">
        <v>182</v>
      </c>
      <c r="AB16" s="26" t="s">
        <v>183</v>
      </c>
      <c r="AC16" s="26">
        <v>1.0</v>
      </c>
      <c r="AD16" s="26">
        <v>1.0</v>
      </c>
      <c r="AE16" s="27" t="s">
        <v>169</v>
      </c>
      <c r="AF16" s="48">
        <v>139.0</v>
      </c>
      <c r="AG16" s="48">
        <v>139.0</v>
      </c>
      <c r="AH16" s="48">
        <v>136.0</v>
      </c>
      <c r="AI16" s="48">
        <v>105.0</v>
      </c>
      <c r="AJ16" s="48" t="s">
        <v>90</v>
      </c>
      <c r="AK16" s="48">
        <v>1.0</v>
      </c>
      <c r="AL16" s="48">
        <v>2.0</v>
      </c>
      <c r="AM16" s="48">
        <v>1.0</v>
      </c>
      <c r="AN16" s="48">
        <v>2.0</v>
      </c>
      <c r="AO16" s="48">
        <v>1.0</v>
      </c>
      <c r="AP16" s="48">
        <v>1.0</v>
      </c>
      <c r="AQ16" s="48">
        <v>1.0</v>
      </c>
      <c r="AR16" s="48">
        <v>1.0</v>
      </c>
      <c r="AS16" s="48">
        <v>240.0</v>
      </c>
      <c r="AT16" s="48">
        <v>4.0</v>
      </c>
      <c r="AU16" s="48">
        <v>28.0</v>
      </c>
      <c r="AV16" s="56">
        <f>100*(105/139)</f>
        <v>75.53956835</v>
      </c>
      <c r="AW16" s="58" t="s">
        <v>161</v>
      </c>
      <c r="AX16" s="58" t="s">
        <v>161</v>
      </c>
      <c r="AY16" s="58" t="s">
        <v>161</v>
      </c>
      <c r="AZ16" s="58" t="s">
        <v>161</v>
      </c>
      <c r="BA16" s="58" t="s">
        <v>161</v>
      </c>
      <c r="BB16" s="58" t="s">
        <v>161</v>
      </c>
      <c r="BC16" s="58" t="s">
        <v>161</v>
      </c>
      <c r="BD16" s="58" t="s">
        <v>161</v>
      </c>
      <c r="BE16" s="58" t="s">
        <v>161</v>
      </c>
      <c r="BF16" s="58" t="s">
        <v>161</v>
      </c>
      <c r="BG16" s="58" t="s">
        <v>161</v>
      </c>
      <c r="BH16" s="58" t="s">
        <v>161</v>
      </c>
      <c r="BI16" s="58" t="s">
        <v>161</v>
      </c>
      <c r="BJ16" s="58" t="s">
        <v>161</v>
      </c>
    </row>
    <row r="17">
      <c r="A17" s="21" t="s">
        <v>180</v>
      </c>
      <c r="B17" s="22">
        <v>2009.0</v>
      </c>
      <c r="D17" s="24" t="s">
        <v>88</v>
      </c>
      <c r="E17" s="25">
        <v>2009.0</v>
      </c>
      <c r="F17" s="47">
        <v>1.0</v>
      </c>
      <c r="G17" s="47">
        <v>1.0</v>
      </c>
      <c r="H17" s="47">
        <v>1.0</v>
      </c>
      <c r="I17" s="47">
        <v>1.0</v>
      </c>
      <c r="J17" s="47">
        <v>1.0</v>
      </c>
      <c r="K17" s="47">
        <v>15.7</v>
      </c>
      <c r="L17" s="47">
        <v>14.0</v>
      </c>
      <c r="M17" s="47">
        <v>19.0</v>
      </c>
      <c r="N17" s="47">
        <v>100.0</v>
      </c>
      <c r="O17" s="47">
        <v>81.0</v>
      </c>
      <c r="P17" s="47">
        <v>2.0</v>
      </c>
      <c r="Q17" s="47">
        <v>9.0</v>
      </c>
      <c r="R17" s="47">
        <v>2.0</v>
      </c>
      <c r="S17" s="47" t="s">
        <v>161</v>
      </c>
      <c r="T17" s="47">
        <v>6.0</v>
      </c>
      <c r="U17" s="47" t="s">
        <v>161</v>
      </c>
      <c r="V17" s="47">
        <v>0.0</v>
      </c>
      <c r="W17" s="47" t="s">
        <v>161</v>
      </c>
      <c r="X17" s="47">
        <v>2.0</v>
      </c>
      <c r="Y17" s="47">
        <v>3.0</v>
      </c>
      <c r="Z17" s="47">
        <v>2.0</v>
      </c>
      <c r="AA17" s="26" t="s">
        <v>182</v>
      </c>
      <c r="AB17" s="26" t="s">
        <v>183</v>
      </c>
      <c r="AC17" s="26">
        <v>1.0</v>
      </c>
      <c r="AD17" s="26">
        <v>1.0</v>
      </c>
      <c r="AE17" s="27" t="s">
        <v>170</v>
      </c>
      <c r="AF17" s="48">
        <v>167.0</v>
      </c>
      <c r="AG17" s="48">
        <v>167.0</v>
      </c>
      <c r="AH17" s="48" t="s">
        <v>90</v>
      </c>
      <c r="AI17" s="48" t="s">
        <v>90</v>
      </c>
      <c r="AJ17" s="48">
        <v>2.0</v>
      </c>
      <c r="AK17" s="48" t="s">
        <v>90</v>
      </c>
      <c r="AL17" s="48" t="s">
        <v>90</v>
      </c>
      <c r="AM17" s="48" t="s">
        <v>90</v>
      </c>
      <c r="AN17" s="48" t="s">
        <v>90</v>
      </c>
      <c r="AO17" s="48" t="s">
        <v>90</v>
      </c>
      <c r="AP17" s="48" t="s">
        <v>90</v>
      </c>
      <c r="AQ17" s="48" t="s">
        <v>90</v>
      </c>
      <c r="AR17" s="48" t="s">
        <v>90</v>
      </c>
      <c r="AS17" s="48" t="s">
        <v>90</v>
      </c>
      <c r="AT17" s="48" t="s">
        <v>90</v>
      </c>
      <c r="AU17" s="48" t="s">
        <v>90</v>
      </c>
      <c r="AV17" s="48" t="s">
        <v>90</v>
      </c>
      <c r="AW17" s="58" t="s">
        <v>161</v>
      </c>
      <c r="AX17" s="58" t="s">
        <v>161</v>
      </c>
      <c r="AY17" s="58" t="s">
        <v>161</v>
      </c>
      <c r="AZ17" s="58" t="s">
        <v>161</v>
      </c>
      <c r="BA17" s="58" t="s">
        <v>161</v>
      </c>
      <c r="BB17" s="58" t="s">
        <v>161</v>
      </c>
      <c r="BC17" s="58" t="s">
        <v>161</v>
      </c>
      <c r="BD17" s="58" t="s">
        <v>161</v>
      </c>
      <c r="BE17" s="58" t="s">
        <v>161</v>
      </c>
      <c r="BF17" s="58" t="s">
        <v>161</v>
      </c>
      <c r="BG17" s="58" t="s">
        <v>161</v>
      </c>
      <c r="BH17" s="58" t="s">
        <v>161</v>
      </c>
      <c r="BI17" s="58" t="s">
        <v>161</v>
      </c>
      <c r="BJ17" s="58" t="s">
        <v>161</v>
      </c>
    </row>
    <row r="18">
      <c r="A18" s="53" t="s">
        <v>184</v>
      </c>
      <c r="B18" s="54">
        <v>2010.0</v>
      </c>
      <c r="C18" s="51" t="s">
        <v>185</v>
      </c>
      <c r="D18" s="28" t="s">
        <v>88</v>
      </c>
      <c r="E18" s="54">
        <v>2010.0</v>
      </c>
      <c r="F18" s="59">
        <v>1.0</v>
      </c>
      <c r="G18" s="59">
        <v>3.0</v>
      </c>
      <c r="H18" s="59">
        <v>1.0</v>
      </c>
      <c r="I18" s="59">
        <v>1.0</v>
      </c>
      <c r="J18" s="59">
        <v>2.0</v>
      </c>
      <c r="K18" s="60">
        <f t="shared" ref="K18:K19" si="12">(12.96*203 + 13.18*218)/421</f>
        <v>13.07391924</v>
      </c>
      <c r="L18" s="59">
        <v>11.0</v>
      </c>
      <c r="M18" s="59">
        <v>15.0</v>
      </c>
      <c r="N18" s="59">
        <v>0.0</v>
      </c>
      <c r="O18" s="55" t="s">
        <v>161</v>
      </c>
      <c r="P18" s="55" t="s">
        <v>161</v>
      </c>
      <c r="Q18" s="55" t="s">
        <v>161</v>
      </c>
      <c r="R18" s="55" t="s">
        <v>161</v>
      </c>
      <c r="S18" s="55" t="s">
        <v>161</v>
      </c>
      <c r="T18" s="55" t="s">
        <v>161</v>
      </c>
      <c r="U18" s="55" t="s">
        <v>161</v>
      </c>
      <c r="V18" s="55">
        <v>0.0</v>
      </c>
      <c r="W18" s="55" t="s">
        <v>161</v>
      </c>
      <c r="X18" s="59">
        <v>4.0</v>
      </c>
      <c r="Y18" s="59">
        <v>1.0</v>
      </c>
      <c r="Z18" s="59">
        <v>2.0</v>
      </c>
      <c r="AA18" s="61" t="s">
        <v>186</v>
      </c>
      <c r="AB18" s="61" t="s">
        <v>187</v>
      </c>
      <c r="AC18" s="61">
        <v>1.0</v>
      </c>
      <c r="AD18" s="61">
        <v>1.0</v>
      </c>
      <c r="AE18" s="61" t="s">
        <v>169</v>
      </c>
      <c r="AF18" s="59" t="s">
        <v>161</v>
      </c>
      <c r="AG18" s="59">
        <v>203.0</v>
      </c>
      <c r="AH18" s="59" t="s">
        <v>161</v>
      </c>
      <c r="AI18" s="59" t="s">
        <v>161</v>
      </c>
      <c r="AJ18" s="59" t="s">
        <v>90</v>
      </c>
      <c r="AK18" s="59">
        <v>1.0</v>
      </c>
      <c r="AL18" s="59">
        <v>2.0</v>
      </c>
      <c r="AM18" s="59">
        <v>1.0</v>
      </c>
      <c r="AN18" s="59">
        <v>2.0</v>
      </c>
      <c r="AO18" s="59">
        <v>1.0</v>
      </c>
      <c r="AP18" s="59">
        <v>2.0</v>
      </c>
      <c r="AQ18" s="59">
        <v>1.0</v>
      </c>
      <c r="AR18" s="59">
        <v>1.0</v>
      </c>
      <c r="AS18" s="59">
        <v>300.0</v>
      </c>
      <c r="AT18" s="59">
        <v>5.0</v>
      </c>
      <c r="AU18" s="59">
        <v>35.0</v>
      </c>
      <c r="AV18" s="59" t="s">
        <v>161</v>
      </c>
      <c r="AW18" s="55" t="s">
        <v>161</v>
      </c>
      <c r="AX18" s="55" t="s">
        <v>161</v>
      </c>
      <c r="AY18" s="55" t="s">
        <v>161</v>
      </c>
      <c r="AZ18" s="55" t="s">
        <v>161</v>
      </c>
      <c r="BA18" s="55" t="s">
        <v>161</v>
      </c>
      <c r="BB18" s="55" t="s">
        <v>161</v>
      </c>
      <c r="BC18" s="55" t="s">
        <v>161</v>
      </c>
      <c r="BD18" s="55" t="s">
        <v>161</v>
      </c>
      <c r="BE18" s="55" t="s">
        <v>161</v>
      </c>
      <c r="BF18" s="55" t="s">
        <v>161</v>
      </c>
      <c r="BG18" s="55" t="s">
        <v>161</v>
      </c>
      <c r="BH18" s="55" t="s">
        <v>161</v>
      </c>
      <c r="BI18" s="55" t="s">
        <v>161</v>
      </c>
      <c r="BJ18" s="55" t="s">
        <v>161</v>
      </c>
    </row>
    <row r="19">
      <c r="A19" s="53" t="s">
        <v>184</v>
      </c>
      <c r="B19" s="54">
        <v>2010.0</v>
      </c>
      <c r="D19" s="28" t="s">
        <v>88</v>
      </c>
      <c r="E19" s="54">
        <v>2010.0</v>
      </c>
      <c r="F19" s="59">
        <v>1.0</v>
      </c>
      <c r="G19" s="59">
        <v>3.0</v>
      </c>
      <c r="H19" s="59">
        <v>1.0</v>
      </c>
      <c r="I19" s="59">
        <v>1.0</v>
      </c>
      <c r="J19" s="59">
        <v>2.0</v>
      </c>
      <c r="K19" s="60">
        <f t="shared" si="12"/>
        <v>13.07391924</v>
      </c>
      <c r="L19" s="59">
        <v>11.0</v>
      </c>
      <c r="M19" s="59">
        <v>15.0</v>
      </c>
      <c r="N19" s="59">
        <v>0.0</v>
      </c>
      <c r="O19" s="55" t="s">
        <v>161</v>
      </c>
      <c r="P19" s="55" t="s">
        <v>161</v>
      </c>
      <c r="Q19" s="55" t="s">
        <v>161</v>
      </c>
      <c r="R19" s="55" t="s">
        <v>161</v>
      </c>
      <c r="S19" s="55" t="s">
        <v>161</v>
      </c>
      <c r="T19" s="55" t="s">
        <v>161</v>
      </c>
      <c r="U19" s="55" t="s">
        <v>161</v>
      </c>
      <c r="V19" s="55">
        <v>0.0</v>
      </c>
      <c r="W19" s="55" t="s">
        <v>161</v>
      </c>
      <c r="X19" s="59">
        <v>4.0</v>
      </c>
      <c r="Y19" s="59">
        <v>1.0</v>
      </c>
      <c r="Z19" s="59">
        <v>2.0</v>
      </c>
      <c r="AA19" s="61" t="s">
        <v>186</v>
      </c>
      <c r="AB19" s="61" t="s">
        <v>187</v>
      </c>
      <c r="AC19" s="61">
        <v>1.0</v>
      </c>
      <c r="AD19" s="61">
        <v>1.0</v>
      </c>
      <c r="AE19" s="61" t="s">
        <v>170</v>
      </c>
      <c r="AF19" s="59" t="s">
        <v>161</v>
      </c>
      <c r="AG19" s="59">
        <v>218.0</v>
      </c>
      <c r="AH19" s="59" t="s">
        <v>161</v>
      </c>
      <c r="AI19" s="59" t="s">
        <v>161</v>
      </c>
      <c r="AJ19" s="59">
        <v>1.0</v>
      </c>
      <c r="AK19" s="59" t="s">
        <v>90</v>
      </c>
      <c r="AL19" s="59" t="s">
        <v>90</v>
      </c>
      <c r="AM19" s="59" t="s">
        <v>90</v>
      </c>
      <c r="AN19" s="59" t="s">
        <v>90</v>
      </c>
      <c r="AO19" s="59" t="s">
        <v>90</v>
      </c>
      <c r="AP19" s="59" t="s">
        <v>90</v>
      </c>
      <c r="AQ19" s="59" t="s">
        <v>90</v>
      </c>
      <c r="AR19" s="59" t="s">
        <v>90</v>
      </c>
      <c r="AS19" s="59" t="s">
        <v>90</v>
      </c>
      <c r="AT19" s="59" t="s">
        <v>90</v>
      </c>
      <c r="AU19" s="59" t="s">
        <v>90</v>
      </c>
      <c r="AV19" s="59" t="s">
        <v>90</v>
      </c>
      <c r="AW19" s="55" t="s">
        <v>161</v>
      </c>
      <c r="AX19" s="55" t="s">
        <v>161</v>
      </c>
      <c r="AY19" s="55" t="s">
        <v>161</v>
      </c>
      <c r="AZ19" s="55" t="s">
        <v>161</v>
      </c>
      <c r="BA19" s="55" t="s">
        <v>161</v>
      </c>
      <c r="BB19" s="55" t="s">
        <v>161</v>
      </c>
      <c r="BC19" s="55" t="s">
        <v>161</v>
      </c>
      <c r="BD19" s="55" t="s">
        <v>161</v>
      </c>
      <c r="BE19" s="55" t="s">
        <v>161</v>
      </c>
      <c r="BF19" s="55" t="s">
        <v>161</v>
      </c>
      <c r="BG19" s="55" t="s">
        <v>161</v>
      </c>
      <c r="BH19" s="55" t="s">
        <v>161</v>
      </c>
      <c r="BI19" s="55" t="s">
        <v>161</v>
      </c>
      <c r="BJ19" s="55" t="s">
        <v>161</v>
      </c>
    </row>
    <row r="20">
      <c r="A20" s="53" t="s">
        <v>180</v>
      </c>
      <c r="B20" s="53">
        <v>2012.0</v>
      </c>
      <c r="C20" s="51" t="s">
        <v>172</v>
      </c>
      <c r="D20" s="28" t="s">
        <v>88</v>
      </c>
      <c r="E20" s="54">
        <v>2012.0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28"/>
      <c r="AB20" s="28"/>
      <c r="AC20" s="28"/>
      <c r="AD20" s="28"/>
      <c r="AE20" s="28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</row>
    <row r="21">
      <c r="A21" s="53" t="s">
        <v>180</v>
      </c>
      <c r="B21" s="53">
        <v>2012.0</v>
      </c>
      <c r="D21" s="28" t="s">
        <v>88</v>
      </c>
      <c r="E21" s="54">
        <v>2012.0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28"/>
      <c r="AB21" s="28"/>
      <c r="AC21" s="28"/>
      <c r="AD21" s="28"/>
      <c r="AE21" s="28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</row>
    <row r="22">
      <c r="A22" s="21" t="s">
        <v>188</v>
      </c>
      <c r="B22" s="22">
        <v>2013.0</v>
      </c>
      <c r="C22" s="57" t="s">
        <v>189</v>
      </c>
      <c r="D22" s="24" t="s">
        <v>88</v>
      </c>
      <c r="E22" s="25">
        <v>2013.0</v>
      </c>
      <c r="F22" s="47">
        <v>1.0</v>
      </c>
      <c r="G22" s="47">
        <v>3.0</v>
      </c>
      <c r="H22" s="47">
        <v>1.0</v>
      </c>
      <c r="I22" s="47">
        <v>2.0</v>
      </c>
      <c r="J22" s="47">
        <v>2.0</v>
      </c>
      <c r="K22" s="52">
        <f t="shared" ref="K22:K23" si="13">(13.06*255+12.99*181)/(255+181)</f>
        <v>13.03094037</v>
      </c>
      <c r="L22" s="47">
        <v>12.0</v>
      </c>
      <c r="M22" s="47">
        <v>14.0</v>
      </c>
      <c r="N22" s="47">
        <v>100.0</v>
      </c>
      <c r="O22" s="52">
        <f t="shared" ref="O22:O23" si="14">100*(133+79)/(255+181)</f>
        <v>48.62385321</v>
      </c>
      <c r="P22" s="52">
        <f t="shared" ref="P22:P23" si="15">100*(37+35)/(255+181)</f>
        <v>16.51376147</v>
      </c>
      <c r="Q22" s="47" t="s">
        <v>161</v>
      </c>
      <c r="R22" s="52">
        <f t="shared" ref="R22:R23" si="16">100*(43+32)/(255+181)</f>
        <v>17.20183486</v>
      </c>
      <c r="S22" s="47" t="s">
        <v>161</v>
      </c>
      <c r="T22" s="52">
        <f t="shared" ref="T22:T23" si="17">100*(34+20)/(255+181)</f>
        <v>12.3853211</v>
      </c>
      <c r="U22" s="47" t="s">
        <v>161</v>
      </c>
      <c r="V22" s="47">
        <v>0.0</v>
      </c>
      <c r="W22" s="47" t="s">
        <v>161</v>
      </c>
      <c r="X22" s="47">
        <v>3.0</v>
      </c>
      <c r="Y22" s="47">
        <v>1.0</v>
      </c>
      <c r="Z22" s="47">
        <v>2.0</v>
      </c>
      <c r="AA22" s="26" t="s">
        <v>190</v>
      </c>
      <c r="AB22" s="29" t="s">
        <v>187</v>
      </c>
      <c r="AC22" s="26">
        <v>1.0</v>
      </c>
      <c r="AD22" s="26">
        <v>1.0</v>
      </c>
      <c r="AE22" s="27" t="s">
        <v>169</v>
      </c>
      <c r="AF22" s="48">
        <v>9.0</v>
      </c>
      <c r="AG22" s="48">
        <v>261.0</v>
      </c>
      <c r="AH22" s="48" t="s">
        <v>161</v>
      </c>
      <c r="AI22" s="48" t="s">
        <v>161</v>
      </c>
      <c r="AJ22" s="48" t="s">
        <v>90</v>
      </c>
      <c r="AK22" s="48">
        <v>1.0</v>
      </c>
      <c r="AL22" s="48">
        <v>2.0</v>
      </c>
      <c r="AM22" s="48">
        <v>2.0</v>
      </c>
      <c r="AN22" s="48">
        <v>3.0</v>
      </c>
      <c r="AO22" s="48">
        <v>1.0</v>
      </c>
      <c r="AP22" s="48">
        <v>1.0</v>
      </c>
      <c r="AQ22" s="48">
        <v>1.0</v>
      </c>
      <c r="AR22" s="48">
        <v>2.0</v>
      </c>
      <c r="AS22" s="48">
        <v>300.0</v>
      </c>
      <c r="AT22" s="48">
        <v>6.0</v>
      </c>
      <c r="AU22" s="48" t="s">
        <v>161</v>
      </c>
      <c r="AV22" s="48" t="s">
        <v>161</v>
      </c>
      <c r="AW22" s="58" t="s">
        <v>161</v>
      </c>
      <c r="AX22" s="58" t="s">
        <v>161</v>
      </c>
      <c r="AY22" s="58" t="s">
        <v>161</v>
      </c>
      <c r="AZ22" s="58" t="s">
        <v>161</v>
      </c>
      <c r="BA22" s="58" t="s">
        <v>161</v>
      </c>
      <c r="BB22" s="58" t="s">
        <v>161</v>
      </c>
      <c r="BC22" s="58" t="s">
        <v>161</v>
      </c>
      <c r="BD22" s="58" t="s">
        <v>161</v>
      </c>
      <c r="BE22" s="58" t="s">
        <v>161</v>
      </c>
      <c r="BF22" s="58" t="s">
        <v>161</v>
      </c>
      <c r="BG22" s="58" t="s">
        <v>161</v>
      </c>
      <c r="BH22" s="58" t="s">
        <v>161</v>
      </c>
      <c r="BI22" s="58" t="s">
        <v>161</v>
      </c>
      <c r="BJ22" s="58" t="s">
        <v>161</v>
      </c>
    </row>
    <row r="23">
      <c r="A23" s="21" t="s">
        <v>188</v>
      </c>
      <c r="B23" s="22">
        <v>2013.0</v>
      </c>
      <c r="D23" s="24" t="s">
        <v>88</v>
      </c>
      <c r="E23" s="25">
        <v>2013.0</v>
      </c>
      <c r="F23" s="47">
        <v>1.0</v>
      </c>
      <c r="G23" s="47">
        <v>3.0</v>
      </c>
      <c r="H23" s="47">
        <v>1.0</v>
      </c>
      <c r="I23" s="47">
        <v>2.0</v>
      </c>
      <c r="J23" s="47">
        <v>2.0</v>
      </c>
      <c r="K23" s="52">
        <f t="shared" si="13"/>
        <v>13.03094037</v>
      </c>
      <c r="L23" s="47">
        <v>12.0</v>
      </c>
      <c r="M23" s="47">
        <v>14.0</v>
      </c>
      <c r="N23" s="47">
        <v>100.0</v>
      </c>
      <c r="O23" s="52">
        <f t="shared" si="14"/>
        <v>48.62385321</v>
      </c>
      <c r="P23" s="52">
        <f t="shared" si="15"/>
        <v>16.51376147</v>
      </c>
      <c r="Q23" s="47" t="s">
        <v>161</v>
      </c>
      <c r="R23" s="52">
        <f t="shared" si="16"/>
        <v>17.20183486</v>
      </c>
      <c r="S23" s="47" t="s">
        <v>161</v>
      </c>
      <c r="T23" s="52">
        <f t="shared" si="17"/>
        <v>12.3853211</v>
      </c>
      <c r="U23" s="47" t="s">
        <v>161</v>
      </c>
      <c r="V23" s="47">
        <v>0.0</v>
      </c>
      <c r="W23" s="47" t="s">
        <v>161</v>
      </c>
      <c r="X23" s="47">
        <v>3.0</v>
      </c>
      <c r="Y23" s="47">
        <v>1.0</v>
      </c>
      <c r="Z23" s="47">
        <v>2.0</v>
      </c>
      <c r="AA23" s="26" t="s">
        <v>190</v>
      </c>
      <c r="AB23" s="29" t="s">
        <v>187</v>
      </c>
      <c r="AC23" s="26">
        <v>1.0</v>
      </c>
      <c r="AD23" s="26">
        <v>1.0</v>
      </c>
      <c r="AE23" s="27" t="s">
        <v>170</v>
      </c>
      <c r="AF23" s="48">
        <v>7.0</v>
      </c>
      <c r="AG23" s="48">
        <v>187.0</v>
      </c>
      <c r="AH23" s="48" t="s">
        <v>161</v>
      </c>
      <c r="AI23" s="48" t="s">
        <v>161</v>
      </c>
      <c r="AJ23" s="48">
        <v>1.0</v>
      </c>
      <c r="AK23" s="48" t="s">
        <v>90</v>
      </c>
      <c r="AL23" s="48" t="s">
        <v>90</v>
      </c>
      <c r="AM23" s="48" t="s">
        <v>90</v>
      </c>
      <c r="AN23" s="48" t="s">
        <v>90</v>
      </c>
      <c r="AO23" s="48" t="s">
        <v>90</v>
      </c>
      <c r="AP23" s="48" t="s">
        <v>90</v>
      </c>
      <c r="AQ23" s="48" t="s">
        <v>90</v>
      </c>
      <c r="AR23" s="48" t="s">
        <v>90</v>
      </c>
      <c r="AS23" s="48" t="s">
        <v>90</v>
      </c>
      <c r="AT23" s="48" t="s">
        <v>90</v>
      </c>
      <c r="AU23" s="48" t="s">
        <v>90</v>
      </c>
      <c r="AV23" s="48" t="s">
        <v>90</v>
      </c>
      <c r="AW23" s="58" t="s">
        <v>161</v>
      </c>
      <c r="AX23" s="58" t="s">
        <v>161</v>
      </c>
      <c r="AY23" s="58" t="s">
        <v>161</v>
      </c>
      <c r="AZ23" s="58" t="s">
        <v>161</v>
      </c>
      <c r="BA23" s="58" t="s">
        <v>161</v>
      </c>
      <c r="BB23" s="58" t="s">
        <v>161</v>
      </c>
      <c r="BC23" s="58" t="s">
        <v>161</v>
      </c>
      <c r="BD23" s="58" t="s">
        <v>161</v>
      </c>
      <c r="BE23" s="58" t="s">
        <v>161</v>
      </c>
      <c r="BF23" s="58" t="s">
        <v>161</v>
      </c>
      <c r="BG23" s="58" t="s">
        <v>161</v>
      </c>
      <c r="BH23" s="58" t="s">
        <v>161</v>
      </c>
      <c r="BI23" s="58" t="s">
        <v>161</v>
      </c>
      <c r="BJ23" s="58" t="s">
        <v>161</v>
      </c>
    </row>
    <row r="24">
      <c r="A24" s="21" t="s">
        <v>191</v>
      </c>
      <c r="B24" s="22">
        <v>2015.0</v>
      </c>
      <c r="C24" s="57" t="s">
        <v>192</v>
      </c>
      <c r="D24" s="24" t="s">
        <v>88</v>
      </c>
      <c r="E24" s="25">
        <v>2015.0</v>
      </c>
      <c r="F24" s="47">
        <v>1.0</v>
      </c>
      <c r="G24" s="47">
        <v>3.0</v>
      </c>
      <c r="H24" s="47">
        <v>1.0</v>
      </c>
      <c r="I24" s="47">
        <v>2.0</v>
      </c>
      <c r="J24" s="47">
        <v>2.0</v>
      </c>
      <c r="K24" s="47">
        <v>15.7</v>
      </c>
      <c r="L24" s="47">
        <v>14.0</v>
      </c>
      <c r="M24" s="47">
        <v>18.0</v>
      </c>
      <c r="N24" s="47">
        <v>100.0</v>
      </c>
      <c r="O24" s="47">
        <v>84.0</v>
      </c>
      <c r="P24" s="47">
        <v>1.0</v>
      </c>
      <c r="Q24" s="47" t="s">
        <v>161</v>
      </c>
      <c r="R24" s="47">
        <v>8.0</v>
      </c>
      <c r="S24" s="47" t="s">
        <v>161</v>
      </c>
      <c r="T24" s="47">
        <v>4.0</v>
      </c>
      <c r="U24" s="47" t="s">
        <v>161</v>
      </c>
      <c r="V24" s="47">
        <v>0.0</v>
      </c>
      <c r="W24" s="47" t="s">
        <v>161</v>
      </c>
      <c r="X24" s="47">
        <v>3.0</v>
      </c>
      <c r="Y24" s="47">
        <v>1.0</v>
      </c>
      <c r="Z24" s="47">
        <v>2.0</v>
      </c>
      <c r="AA24" s="26" t="s">
        <v>162</v>
      </c>
      <c r="AB24" s="26" t="s">
        <v>193</v>
      </c>
      <c r="AC24" s="26">
        <v>1.0</v>
      </c>
      <c r="AD24" s="26">
        <v>2.0</v>
      </c>
      <c r="AE24" s="27" t="s">
        <v>194</v>
      </c>
      <c r="AF24" s="48">
        <v>7.0</v>
      </c>
      <c r="AG24" s="48">
        <v>138.0</v>
      </c>
      <c r="AH24" s="48">
        <v>129.0</v>
      </c>
      <c r="AI24" s="48">
        <v>119.0</v>
      </c>
      <c r="AJ24" s="48" t="s">
        <v>90</v>
      </c>
      <c r="AK24" s="48">
        <v>1.0</v>
      </c>
      <c r="AL24" s="48">
        <v>2.0</v>
      </c>
      <c r="AM24" s="48">
        <v>1.0</v>
      </c>
      <c r="AN24" s="48">
        <v>2.0</v>
      </c>
      <c r="AO24" s="48">
        <v>1.0</v>
      </c>
      <c r="AP24" s="48">
        <v>2.0</v>
      </c>
      <c r="AQ24" s="48">
        <v>1.0</v>
      </c>
      <c r="AR24" s="48">
        <v>2.0</v>
      </c>
      <c r="AS24" s="48">
        <v>180.0</v>
      </c>
      <c r="AT24" s="48">
        <v>3.0</v>
      </c>
      <c r="AU24" s="48">
        <v>21.0</v>
      </c>
      <c r="AV24" s="56">
        <f t="shared" ref="AV24:AV25" si="18">100*(AI24/AH24)</f>
        <v>92.24806202</v>
      </c>
      <c r="AW24" s="58" t="s">
        <v>161</v>
      </c>
      <c r="AX24" s="58" t="s">
        <v>161</v>
      </c>
      <c r="AY24" s="58" t="s">
        <v>161</v>
      </c>
      <c r="AZ24" s="58" t="s">
        <v>161</v>
      </c>
      <c r="BA24" s="58" t="s">
        <v>161</v>
      </c>
      <c r="BB24" s="58" t="s">
        <v>161</v>
      </c>
      <c r="BC24" s="58" t="s">
        <v>161</v>
      </c>
      <c r="BD24" s="58" t="s">
        <v>161</v>
      </c>
      <c r="BE24" s="58" t="s">
        <v>161</v>
      </c>
      <c r="BF24" s="58" t="s">
        <v>161</v>
      </c>
      <c r="BG24" s="58" t="s">
        <v>161</v>
      </c>
      <c r="BH24" s="58" t="s">
        <v>161</v>
      </c>
      <c r="BI24" s="58" t="s">
        <v>161</v>
      </c>
      <c r="BJ24" s="58" t="s">
        <v>161</v>
      </c>
    </row>
    <row r="25">
      <c r="A25" s="21" t="s">
        <v>191</v>
      </c>
      <c r="B25" s="22">
        <v>2015.0</v>
      </c>
      <c r="D25" s="24" t="s">
        <v>88</v>
      </c>
      <c r="E25" s="25">
        <v>2015.0</v>
      </c>
      <c r="F25" s="47">
        <v>1.0</v>
      </c>
      <c r="G25" s="47">
        <v>3.0</v>
      </c>
      <c r="H25" s="47">
        <v>1.0</v>
      </c>
      <c r="I25" s="47">
        <v>2.0</v>
      </c>
      <c r="J25" s="47">
        <v>2.0</v>
      </c>
      <c r="K25" s="47">
        <v>15.7</v>
      </c>
      <c r="L25" s="47">
        <v>14.0</v>
      </c>
      <c r="M25" s="47">
        <v>18.0</v>
      </c>
      <c r="N25" s="47">
        <v>100.0</v>
      </c>
      <c r="O25" s="47">
        <v>84.0</v>
      </c>
      <c r="P25" s="47">
        <v>1.0</v>
      </c>
      <c r="Q25" s="47" t="s">
        <v>161</v>
      </c>
      <c r="R25" s="47">
        <v>8.0</v>
      </c>
      <c r="S25" s="47" t="s">
        <v>161</v>
      </c>
      <c r="T25" s="47">
        <v>4.0</v>
      </c>
      <c r="U25" s="47" t="s">
        <v>161</v>
      </c>
      <c r="V25" s="47">
        <v>0.0</v>
      </c>
      <c r="W25" s="47" t="s">
        <v>161</v>
      </c>
      <c r="X25" s="47">
        <v>3.0</v>
      </c>
      <c r="Y25" s="47">
        <v>1.0</v>
      </c>
      <c r="Z25" s="47">
        <v>2.0</v>
      </c>
      <c r="AA25" s="26" t="s">
        <v>162</v>
      </c>
      <c r="AB25" s="26" t="s">
        <v>193</v>
      </c>
      <c r="AC25" s="26">
        <v>1.0</v>
      </c>
      <c r="AD25" s="26">
        <v>2.0</v>
      </c>
      <c r="AE25" s="27" t="s">
        <v>195</v>
      </c>
      <c r="AF25" s="48">
        <v>6.0</v>
      </c>
      <c r="AG25" s="48">
        <v>108.0</v>
      </c>
      <c r="AH25" s="48">
        <v>106.0</v>
      </c>
      <c r="AI25" s="48">
        <v>100.0</v>
      </c>
      <c r="AJ25" s="48" t="s">
        <v>90</v>
      </c>
      <c r="AK25" s="48">
        <v>1.0</v>
      </c>
      <c r="AL25" s="48">
        <v>2.0</v>
      </c>
      <c r="AM25" s="48">
        <v>1.0</v>
      </c>
      <c r="AN25" s="48">
        <v>2.0</v>
      </c>
      <c r="AO25" s="48">
        <v>1.0</v>
      </c>
      <c r="AP25" s="48">
        <v>2.0</v>
      </c>
      <c r="AQ25" s="48">
        <v>1.0</v>
      </c>
      <c r="AR25" s="48">
        <v>2.0</v>
      </c>
      <c r="AS25" s="48">
        <v>180.0</v>
      </c>
      <c r="AT25" s="48">
        <v>3.0</v>
      </c>
      <c r="AU25" s="48">
        <v>21.0</v>
      </c>
      <c r="AV25" s="56">
        <f t="shared" si="18"/>
        <v>94.33962264</v>
      </c>
      <c r="AW25" s="58" t="s">
        <v>161</v>
      </c>
      <c r="AX25" s="58" t="s">
        <v>161</v>
      </c>
      <c r="AY25" s="58" t="s">
        <v>161</v>
      </c>
      <c r="AZ25" s="58" t="s">
        <v>161</v>
      </c>
      <c r="BA25" s="58" t="s">
        <v>161</v>
      </c>
      <c r="BB25" s="58" t="s">
        <v>161</v>
      </c>
      <c r="BC25" s="58" t="s">
        <v>161</v>
      </c>
      <c r="BD25" s="58" t="s">
        <v>161</v>
      </c>
      <c r="BE25" s="58" t="s">
        <v>161</v>
      </c>
      <c r="BF25" s="58" t="s">
        <v>161</v>
      </c>
      <c r="BG25" s="58" t="s">
        <v>161</v>
      </c>
      <c r="BH25" s="58" t="s">
        <v>161</v>
      </c>
      <c r="BI25" s="58" t="s">
        <v>161</v>
      </c>
      <c r="BJ25" s="58" t="s">
        <v>161</v>
      </c>
    </row>
    <row r="26">
      <c r="A26" s="21" t="s">
        <v>191</v>
      </c>
      <c r="B26" s="22">
        <v>2015.0</v>
      </c>
      <c r="D26" s="24" t="s">
        <v>88</v>
      </c>
      <c r="E26" s="25">
        <v>2015.0</v>
      </c>
      <c r="F26" s="47">
        <v>1.0</v>
      </c>
      <c r="G26" s="47">
        <v>3.0</v>
      </c>
      <c r="H26" s="47">
        <v>1.0</v>
      </c>
      <c r="I26" s="47">
        <v>2.0</v>
      </c>
      <c r="J26" s="47">
        <v>2.0</v>
      </c>
      <c r="K26" s="47">
        <v>15.7</v>
      </c>
      <c r="L26" s="47">
        <v>14.0</v>
      </c>
      <c r="M26" s="47">
        <v>18.0</v>
      </c>
      <c r="N26" s="47">
        <v>100.0</v>
      </c>
      <c r="O26" s="47">
        <v>84.0</v>
      </c>
      <c r="P26" s="47">
        <v>1.0</v>
      </c>
      <c r="Q26" s="47" t="s">
        <v>161</v>
      </c>
      <c r="R26" s="47">
        <v>8.0</v>
      </c>
      <c r="S26" s="47" t="s">
        <v>161</v>
      </c>
      <c r="T26" s="47">
        <v>4.0</v>
      </c>
      <c r="U26" s="47" t="s">
        <v>161</v>
      </c>
      <c r="V26" s="47">
        <v>0.0</v>
      </c>
      <c r="W26" s="47" t="s">
        <v>161</v>
      </c>
      <c r="X26" s="47">
        <v>3.0</v>
      </c>
      <c r="Y26" s="47">
        <v>1.0</v>
      </c>
      <c r="Z26" s="47">
        <v>2.0</v>
      </c>
      <c r="AA26" s="26" t="s">
        <v>162</v>
      </c>
      <c r="AB26" s="26" t="s">
        <v>193</v>
      </c>
      <c r="AC26" s="26">
        <v>1.0</v>
      </c>
      <c r="AD26" s="26">
        <v>2.0</v>
      </c>
      <c r="AE26" s="27" t="s">
        <v>170</v>
      </c>
      <c r="AF26" s="48">
        <v>6.0</v>
      </c>
      <c r="AG26" s="48">
        <v>101.0</v>
      </c>
      <c r="AH26" s="48" t="s">
        <v>90</v>
      </c>
      <c r="AI26" s="48" t="s">
        <v>90</v>
      </c>
      <c r="AJ26" s="48">
        <v>1.0</v>
      </c>
      <c r="AK26" s="48" t="s">
        <v>90</v>
      </c>
      <c r="AL26" s="48" t="s">
        <v>90</v>
      </c>
      <c r="AM26" s="48" t="s">
        <v>90</v>
      </c>
      <c r="AN26" s="48" t="s">
        <v>90</v>
      </c>
      <c r="AO26" s="48" t="s">
        <v>90</v>
      </c>
      <c r="AP26" s="48" t="s">
        <v>90</v>
      </c>
      <c r="AQ26" s="48" t="s">
        <v>90</v>
      </c>
      <c r="AR26" s="48" t="s">
        <v>90</v>
      </c>
      <c r="AS26" s="48" t="s">
        <v>90</v>
      </c>
      <c r="AT26" s="48" t="s">
        <v>90</v>
      </c>
      <c r="AU26" s="48" t="s">
        <v>90</v>
      </c>
      <c r="AV26" s="48" t="s">
        <v>90</v>
      </c>
      <c r="AW26" s="58" t="s">
        <v>161</v>
      </c>
      <c r="AX26" s="58" t="s">
        <v>161</v>
      </c>
      <c r="AY26" s="58" t="s">
        <v>161</v>
      </c>
      <c r="AZ26" s="58" t="s">
        <v>161</v>
      </c>
      <c r="BA26" s="58" t="s">
        <v>161</v>
      </c>
      <c r="BB26" s="58" t="s">
        <v>161</v>
      </c>
      <c r="BC26" s="58" t="s">
        <v>161</v>
      </c>
      <c r="BD26" s="58" t="s">
        <v>161</v>
      </c>
      <c r="BE26" s="58" t="s">
        <v>161</v>
      </c>
      <c r="BF26" s="58" t="s">
        <v>161</v>
      </c>
      <c r="BG26" s="58" t="s">
        <v>161</v>
      </c>
      <c r="BH26" s="58" t="s">
        <v>161</v>
      </c>
      <c r="BI26" s="58" t="s">
        <v>161</v>
      </c>
      <c r="BJ26" s="58" t="s">
        <v>161</v>
      </c>
    </row>
    <row r="27">
      <c r="A27" s="21" t="s">
        <v>196</v>
      </c>
      <c r="B27" s="22">
        <v>2015.0</v>
      </c>
      <c r="C27" s="57" t="s">
        <v>197</v>
      </c>
      <c r="D27" s="24" t="s">
        <v>88</v>
      </c>
      <c r="E27" s="25">
        <v>2015.0</v>
      </c>
      <c r="F27" s="47">
        <v>1.0</v>
      </c>
      <c r="G27" s="47">
        <v>3.0</v>
      </c>
      <c r="H27" s="47">
        <v>1.0</v>
      </c>
      <c r="I27" s="47">
        <v>2.0</v>
      </c>
      <c r="J27" s="47">
        <v>2.0</v>
      </c>
      <c r="K27" s="52">
        <f t="shared" ref="K27:K29" si="19">(12.11*202+12.3*371+12.12*274+12.11*225+12.16*358+12.16*277)/(202+371+274+225+358+277)</f>
        <v>12.17149971</v>
      </c>
      <c r="L27" s="47">
        <v>11.0</v>
      </c>
      <c r="M27" s="47">
        <v>13.0</v>
      </c>
      <c r="N27" s="52">
        <f t="shared" ref="N27:N29" si="20">100*860/(860+847)</f>
        <v>50.380785</v>
      </c>
      <c r="O27" s="52">
        <f t="shared" ref="O27:O29" si="21">100*(149+291+211+173+293+216)/(202+371+274+225+358+277)</f>
        <v>78.09021675</v>
      </c>
      <c r="P27" s="52">
        <f t="shared" ref="P27:P29" si="22">100*(15+14+13+11+13+9)/(202+371+274+225+358+277)</f>
        <v>4.393673111</v>
      </c>
      <c r="Q27" s="52" t="s">
        <v>161</v>
      </c>
      <c r="R27" s="52">
        <f t="shared" ref="R27:R29" si="23">100*(5+11+19+10+8+21)/(202+371+274+225+358+277)</f>
        <v>4.335090803</v>
      </c>
      <c r="S27" s="52" t="s">
        <v>161</v>
      </c>
      <c r="T27" s="52">
        <f t="shared" ref="T27:T29" si="24">100-O27-P27-R27-U27</f>
        <v>7.967193907</v>
      </c>
      <c r="U27" s="52">
        <f t="shared" ref="U27:U29" si="25">100*(11+27+10+10+16+15)/(202+371+274+225+358+277)</f>
        <v>5.213825425</v>
      </c>
      <c r="V27" s="47">
        <v>0.0</v>
      </c>
      <c r="W27" s="47" t="s">
        <v>161</v>
      </c>
      <c r="X27" s="47">
        <v>4.0</v>
      </c>
      <c r="Y27" s="47">
        <v>1.0</v>
      </c>
      <c r="Z27" s="47">
        <v>2.0</v>
      </c>
      <c r="AA27" s="26" t="s">
        <v>198</v>
      </c>
      <c r="AB27" s="26" t="s">
        <v>199</v>
      </c>
      <c r="AC27" s="26">
        <v>1.0</v>
      </c>
      <c r="AD27" s="26">
        <v>2.0</v>
      </c>
      <c r="AE27" s="27" t="s">
        <v>200</v>
      </c>
      <c r="AF27" s="48">
        <v>2.0</v>
      </c>
      <c r="AG27" s="48">
        <v>551.0</v>
      </c>
      <c r="AH27" s="48">
        <v>551.0</v>
      </c>
      <c r="AI27" s="48">
        <v>495.0</v>
      </c>
      <c r="AJ27" s="48" t="s">
        <v>90</v>
      </c>
      <c r="AK27" s="48">
        <v>1.0</v>
      </c>
      <c r="AL27" s="48">
        <v>2.0</v>
      </c>
      <c r="AM27" s="48">
        <v>1.0</v>
      </c>
      <c r="AN27" s="48">
        <v>2.0</v>
      </c>
      <c r="AO27" s="48">
        <v>1.0</v>
      </c>
      <c r="AP27" s="48">
        <v>2.0</v>
      </c>
      <c r="AQ27" s="48">
        <v>1.0</v>
      </c>
      <c r="AR27" s="48">
        <v>1.0</v>
      </c>
      <c r="AS27" s="48">
        <v>90.0</v>
      </c>
      <c r="AT27" s="48">
        <v>1.0</v>
      </c>
      <c r="AU27" s="48">
        <v>1.0</v>
      </c>
      <c r="AV27" s="56">
        <f t="shared" ref="AV27:AV28" si="26">100*AI27/AH27</f>
        <v>89.83666062</v>
      </c>
      <c r="AW27" s="58" t="s">
        <v>161</v>
      </c>
      <c r="AX27" s="58" t="s">
        <v>161</v>
      </c>
      <c r="AY27" s="58" t="s">
        <v>161</v>
      </c>
      <c r="AZ27" s="58" t="s">
        <v>161</v>
      </c>
      <c r="BA27" s="58" t="s">
        <v>161</v>
      </c>
      <c r="BB27" s="58" t="s">
        <v>161</v>
      </c>
      <c r="BC27" s="58" t="s">
        <v>161</v>
      </c>
      <c r="BD27" s="58" t="s">
        <v>161</v>
      </c>
      <c r="BE27" s="58" t="s">
        <v>161</v>
      </c>
      <c r="BF27" s="58" t="s">
        <v>161</v>
      </c>
      <c r="BG27" s="58" t="s">
        <v>161</v>
      </c>
      <c r="BH27" s="58" t="s">
        <v>161</v>
      </c>
      <c r="BI27" s="58" t="s">
        <v>161</v>
      </c>
      <c r="BJ27" s="58" t="s">
        <v>161</v>
      </c>
    </row>
    <row r="28">
      <c r="A28" s="21" t="s">
        <v>196</v>
      </c>
      <c r="B28" s="22">
        <v>2015.0</v>
      </c>
      <c r="D28" s="24" t="s">
        <v>88</v>
      </c>
      <c r="E28" s="25">
        <v>2015.0</v>
      </c>
      <c r="F28" s="47">
        <v>1.0</v>
      </c>
      <c r="G28" s="47">
        <v>3.0</v>
      </c>
      <c r="H28" s="47">
        <v>1.0</v>
      </c>
      <c r="I28" s="47">
        <v>2.0</v>
      </c>
      <c r="J28" s="47">
        <v>2.0</v>
      </c>
      <c r="K28" s="52">
        <f t="shared" si="19"/>
        <v>12.17149971</v>
      </c>
      <c r="L28" s="47">
        <v>11.0</v>
      </c>
      <c r="M28" s="47">
        <v>13.0</v>
      </c>
      <c r="N28" s="52">
        <f t="shared" si="20"/>
        <v>50.380785</v>
      </c>
      <c r="O28" s="52">
        <f t="shared" si="21"/>
        <v>78.09021675</v>
      </c>
      <c r="P28" s="52">
        <f t="shared" si="22"/>
        <v>4.393673111</v>
      </c>
      <c r="Q28" s="52" t="s">
        <v>161</v>
      </c>
      <c r="R28" s="52">
        <f t="shared" si="23"/>
        <v>4.335090803</v>
      </c>
      <c r="S28" s="52" t="s">
        <v>161</v>
      </c>
      <c r="T28" s="52">
        <f t="shared" si="24"/>
        <v>7.967193907</v>
      </c>
      <c r="U28" s="52">
        <f t="shared" si="25"/>
        <v>5.213825425</v>
      </c>
      <c r="V28" s="47">
        <v>0.0</v>
      </c>
      <c r="W28" s="47" t="s">
        <v>161</v>
      </c>
      <c r="X28" s="47">
        <v>4.0</v>
      </c>
      <c r="Y28" s="47">
        <v>1.0</v>
      </c>
      <c r="Z28" s="47">
        <v>2.0</v>
      </c>
      <c r="AA28" s="26" t="s">
        <v>198</v>
      </c>
      <c r="AB28" s="26" t="s">
        <v>199</v>
      </c>
      <c r="AC28" s="26">
        <v>1.0</v>
      </c>
      <c r="AD28" s="26">
        <v>2.0</v>
      </c>
      <c r="AE28" s="27" t="s">
        <v>201</v>
      </c>
      <c r="AF28" s="48">
        <v>2.0</v>
      </c>
      <c r="AG28" s="48">
        <v>729.0</v>
      </c>
      <c r="AH28" s="48">
        <v>729.0</v>
      </c>
      <c r="AI28" s="48">
        <v>683.0</v>
      </c>
      <c r="AJ28" s="48" t="s">
        <v>90</v>
      </c>
      <c r="AK28" s="48">
        <v>1.0</v>
      </c>
      <c r="AL28" s="48">
        <v>2.0</v>
      </c>
      <c r="AM28" s="48">
        <v>1.0</v>
      </c>
      <c r="AN28" s="48">
        <v>3.0</v>
      </c>
      <c r="AO28" s="48">
        <v>1.0</v>
      </c>
      <c r="AP28" s="48">
        <v>2.0</v>
      </c>
      <c r="AQ28" s="48">
        <v>1.0</v>
      </c>
      <c r="AR28" s="48">
        <v>1.0</v>
      </c>
      <c r="AS28" s="48">
        <v>90.0</v>
      </c>
      <c r="AT28" s="48">
        <v>1.0</v>
      </c>
      <c r="AU28" s="48">
        <v>1.0</v>
      </c>
      <c r="AV28" s="56">
        <f t="shared" si="26"/>
        <v>93.68998628</v>
      </c>
      <c r="AW28" s="58" t="s">
        <v>161</v>
      </c>
      <c r="AX28" s="58" t="s">
        <v>161</v>
      </c>
      <c r="AY28" s="58" t="s">
        <v>161</v>
      </c>
      <c r="AZ28" s="58" t="s">
        <v>161</v>
      </c>
      <c r="BA28" s="58" t="s">
        <v>161</v>
      </c>
      <c r="BB28" s="58" t="s">
        <v>161</v>
      </c>
      <c r="BC28" s="58" t="s">
        <v>161</v>
      </c>
      <c r="BD28" s="58" t="s">
        <v>161</v>
      </c>
      <c r="BE28" s="58" t="s">
        <v>161</v>
      </c>
      <c r="BF28" s="58" t="s">
        <v>161</v>
      </c>
      <c r="BG28" s="58" t="s">
        <v>161</v>
      </c>
      <c r="BH28" s="58" t="s">
        <v>161</v>
      </c>
      <c r="BI28" s="58" t="s">
        <v>161</v>
      </c>
      <c r="BJ28" s="58" t="s">
        <v>161</v>
      </c>
    </row>
    <row r="29">
      <c r="A29" s="21" t="s">
        <v>196</v>
      </c>
      <c r="B29" s="22">
        <v>2015.0</v>
      </c>
      <c r="D29" s="24" t="s">
        <v>88</v>
      </c>
      <c r="E29" s="25">
        <v>2015.0</v>
      </c>
      <c r="F29" s="47">
        <v>1.0</v>
      </c>
      <c r="G29" s="47">
        <v>3.0</v>
      </c>
      <c r="H29" s="47">
        <v>1.0</v>
      </c>
      <c r="I29" s="47">
        <v>2.0</v>
      </c>
      <c r="J29" s="47">
        <v>2.0</v>
      </c>
      <c r="K29" s="52">
        <f t="shared" si="19"/>
        <v>12.17149971</v>
      </c>
      <c r="L29" s="47">
        <v>11.0</v>
      </c>
      <c r="M29" s="47">
        <v>13.0</v>
      </c>
      <c r="N29" s="52">
        <f t="shared" si="20"/>
        <v>50.380785</v>
      </c>
      <c r="O29" s="52">
        <f t="shared" si="21"/>
        <v>78.09021675</v>
      </c>
      <c r="P29" s="52">
        <f t="shared" si="22"/>
        <v>4.393673111</v>
      </c>
      <c r="Q29" s="52" t="s">
        <v>161</v>
      </c>
      <c r="R29" s="52">
        <f t="shared" si="23"/>
        <v>4.335090803</v>
      </c>
      <c r="S29" s="52" t="s">
        <v>161</v>
      </c>
      <c r="T29" s="52">
        <f t="shared" si="24"/>
        <v>7.967193907</v>
      </c>
      <c r="U29" s="52">
        <f t="shared" si="25"/>
        <v>5.213825425</v>
      </c>
      <c r="V29" s="47">
        <v>0.0</v>
      </c>
      <c r="W29" s="47" t="s">
        <v>161</v>
      </c>
      <c r="X29" s="47">
        <v>4.0</v>
      </c>
      <c r="Y29" s="47">
        <v>1.0</v>
      </c>
      <c r="Z29" s="47">
        <v>2.0</v>
      </c>
      <c r="AA29" s="26" t="s">
        <v>198</v>
      </c>
      <c r="AB29" s="26" t="s">
        <v>199</v>
      </c>
      <c r="AC29" s="26">
        <v>1.0</v>
      </c>
      <c r="AD29" s="26">
        <v>2.0</v>
      </c>
      <c r="AE29" s="27" t="s">
        <v>170</v>
      </c>
      <c r="AF29" s="48">
        <v>2.0</v>
      </c>
      <c r="AG29" s="48">
        <v>427.0</v>
      </c>
      <c r="AH29" s="48" t="s">
        <v>90</v>
      </c>
      <c r="AI29" s="48" t="s">
        <v>90</v>
      </c>
      <c r="AJ29" s="48">
        <v>1.0</v>
      </c>
      <c r="AK29" s="48" t="s">
        <v>90</v>
      </c>
      <c r="AL29" s="48" t="s">
        <v>90</v>
      </c>
      <c r="AM29" s="48" t="s">
        <v>90</v>
      </c>
      <c r="AN29" s="48" t="s">
        <v>90</v>
      </c>
      <c r="AO29" s="48" t="s">
        <v>90</v>
      </c>
      <c r="AP29" s="48" t="s">
        <v>90</v>
      </c>
      <c r="AQ29" s="48" t="s">
        <v>90</v>
      </c>
      <c r="AR29" s="48" t="s">
        <v>90</v>
      </c>
      <c r="AS29" s="48" t="s">
        <v>90</v>
      </c>
      <c r="AT29" s="48" t="s">
        <v>90</v>
      </c>
      <c r="AU29" s="48" t="s">
        <v>90</v>
      </c>
      <c r="AV29" s="48" t="s">
        <v>90</v>
      </c>
      <c r="AW29" s="58" t="s">
        <v>161</v>
      </c>
      <c r="AX29" s="58" t="s">
        <v>161</v>
      </c>
      <c r="AY29" s="58" t="s">
        <v>161</v>
      </c>
      <c r="AZ29" s="58" t="s">
        <v>161</v>
      </c>
      <c r="BA29" s="58" t="s">
        <v>161</v>
      </c>
      <c r="BB29" s="58" t="s">
        <v>161</v>
      </c>
      <c r="BC29" s="58" t="s">
        <v>161</v>
      </c>
      <c r="BD29" s="58" t="s">
        <v>161</v>
      </c>
      <c r="BE29" s="58" t="s">
        <v>161</v>
      </c>
      <c r="BF29" s="58" t="s">
        <v>161</v>
      </c>
      <c r="BG29" s="58" t="s">
        <v>161</v>
      </c>
      <c r="BH29" s="58" t="s">
        <v>161</v>
      </c>
      <c r="BI29" s="58" t="s">
        <v>161</v>
      </c>
      <c r="BJ29" s="58" t="s">
        <v>161</v>
      </c>
    </row>
    <row r="30">
      <c r="A30" s="21" t="s">
        <v>202</v>
      </c>
      <c r="B30" s="22">
        <v>2015.0</v>
      </c>
      <c r="C30" s="46"/>
      <c r="D30" s="24" t="s">
        <v>88</v>
      </c>
      <c r="E30" s="25">
        <v>2015.0</v>
      </c>
      <c r="F30" s="47">
        <v>1.0</v>
      </c>
      <c r="G30" s="47">
        <v>1.0</v>
      </c>
      <c r="H30" s="47">
        <v>4.0</v>
      </c>
      <c r="I30" s="47">
        <v>1.0</v>
      </c>
      <c r="J30" s="47">
        <v>1.0</v>
      </c>
      <c r="K30" s="47">
        <v>14.9</v>
      </c>
      <c r="L30" s="47">
        <v>13.0</v>
      </c>
      <c r="M30" s="47">
        <v>17.0</v>
      </c>
      <c r="N30" s="47">
        <v>100.0</v>
      </c>
      <c r="O30" s="47">
        <v>72.0</v>
      </c>
      <c r="P30" s="47">
        <v>2.0</v>
      </c>
      <c r="Q30" s="47">
        <v>15.0</v>
      </c>
      <c r="R30" s="47">
        <v>2.0</v>
      </c>
      <c r="S30" s="47" t="s">
        <v>161</v>
      </c>
      <c r="T30" s="47">
        <v>9.0</v>
      </c>
      <c r="U30" s="47" t="s">
        <v>161</v>
      </c>
      <c r="V30" s="47">
        <v>0.0</v>
      </c>
      <c r="W30" s="47" t="s">
        <v>161</v>
      </c>
      <c r="X30" s="47">
        <v>2.0</v>
      </c>
      <c r="Y30" s="47">
        <v>3.0</v>
      </c>
      <c r="Z30" s="47">
        <v>1.0</v>
      </c>
      <c r="AA30" s="26" t="s">
        <v>162</v>
      </c>
      <c r="AB30" s="26" t="s">
        <v>163</v>
      </c>
      <c r="AC30" s="26">
        <v>1.0</v>
      </c>
      <c r="AD30" s="26">
        <v>2.0</v>
      </c>
      <c r="AE30" s="27" t="s">
        <v>169</v>
      </c>
      <c r="AF30" s="48" t="s">
        <v>90</v>
      </c>
      <c r="AG30" s="48">
        <v>43.0</v>
      </c>
      <c r="AH30" s="48">
        <v>43.0</v>
      </c>
      <c r="AI30" s="48">
        <v>36.0</v>
      </c>
      <c r="AJ30" s="48" t="s">
        <v>90</v>
      </c>
      <c r="AK30" s="48">
        <v>1.0</v>
      </c>
      <c r="AL30" s="48">
        <v>2.0</v>
      </c>
      <c r="AM30" s="48">
        <v>1.0</v>
      </c>
      <c r="AN30" s="48">
        <v>2.0</v>
      </c>
      <c r="AO30" s="48">
        <v>1.0</v>
      </c>
      <c r="AP30" s="48">
        <v>1.0</v>
      </c>
      <c r="AQ30" s="48">
        <v>1.0</v>
      </c>
      <c r="AR30" s="48">
        <v>1.0</v>
      </c>
      <c r="AS30" s="48">
        <v>240.0</v>
      </c>
      <c r="AT30" s="48">
        <v>4.0</v>
      </c>
      <c r="AU30" s="48">
        <v>28.0</v>
      </c>
      <c r="AV30" s="56">
        <f>100*AI30/AH30</f>
        <v>83.72093023</v>
      </c>
      <c r="AW30" s="50">
        <v>43.0</v>
      </c>
      <c r="AX30" s="50">
        <v>2.16</v>
      </c>
      <c r="AY30" s="50">
        <v>0.96</v>
      </c>
      <c r="AZ30" s="50">
        <v>36.0</v>
      </c>
      <c r="BA30" s="50">
        <v>2.25</v>
      </c>
      <c r="BB30" s="50">
        <v>1.05</v>
      </c>
      <c r="BC30" s="50">
        <v>12.0</v>
      </c>
      <c r="BD30" s="50">
        <v>30.0</v>
      </c>
      <c r="BE30" s="50">
        <v>2.13</v>
      </c>
      <c r="BF30" s="50">
        <v>0.98</v>
      </c>
      <c r="BG30" s="50" t="s">
        <v>90</v>
      </c>
      <c r="BH30" s="50" t="s">
        <v>90</v>
      </c>
      <c r="BI30" s="50" t="s">
        <v>90</v>
      </c>
      <c r="BJ30" s="50" t="s">
        <v>90</v>
      </c>
    </row>
    <row r="31">
      <c r="A31" s="21" t="s">
        <v>202</v>
      </c>
      <c r="B31" s="22">
        <v>2015.0</v>
      </c>
      <c r="D31" s="24" t="s">
        <v>88</v>
      </c>
      <c r="E31" s="25">
        <v>2015.0</v>
      </c>
      <c r="F31" s="47">
        <v>1.0</v>
      </c>
      <c r="G31" s="47">
        <v>1.0</v>
      </c>
      <c r="H31" s="47">
        <v>4.0</v>
      </c>
      <c r="I31" s="47">
        <v>1.0</v>
      </c>
      <c r="J31" s="47">
        <v>1.0</v>
      </c>
      <c r="K31" s="47">
        <v>14.9</v>
      </c>
      <c r="L31" s="47">
        <v>13.0</v>
      </c>
      <c r="M31" s="47">
        <v>17.0</v>
      </c>
      <c r="N31" s="47">
        <v>100.0</v>
      </c>
      <c r="O31" s="47">
        <v>72.0</v>
      </c>
      <c r="P31" s="47">
        <v>2.0</v>
      </c>
      <c r="Q31" s="47">
        <v>15.0</v>
      </c>
      <c r="R31" s="47">
        <v>2.0</v>
      </c>
      <c r="S31" s="47" t="s">
        <v>161</v>
      </c>
      <c r="T31" s="47">
        <v>9.0</v>
      </c>
      <c r="U31" s="47" t="s">
        <v>161</v>
      </c>
      <c r="V31" s="47">
        <v>0.0</v>
      </c>
      <c r="W31" s="47" t="s">
        <v>161</v>
      </c>
      <c r="X31" s="47">
        <v>2.0</v>
      </c>
      <c r="Y31" s="47">
        <v>3.0</v>
      </c>
      <c r="Z31" s="47">
        <v>1.0</v>
      </c>
      <c r="AA31" s="26" t="s">
        <v>162</v>
      </c>
      <c r="AB31" s="26" t="s">
        <v>163</v>
      </c>
      <c r="AC31" s="26">
        <v>1.0</v>
      </c>
      <c r="AD31" s="26">
        <v>2.0</v>
      </c>
      <c r="AE31" s="27" t="s">
        <v>170</v>
      </c>
      <c r="AF31" s="48" t="s">
        <v>90</v>
      </c>
      <c r="AG31" s="48">
        <v>23.0</v>
      </c>
      <c r="AH31" s="48">
        <v>23.0</v>
      </c>
      <c r="AI31" s="48">
        <v>15.0</v>
      </c>
      <c r="AJ31" s="48">
        <v>2.0</v>
      </c>
      <c r="AK31" s="48" t="s">
        <v>90</v>
      </c>
      <c r="AL31" s="48" t="s">
        <v>90</v>
      </c>
      <c r="AM31" s="48" t="s">
        <v>90</v>
      </c>
      <c r="AN31" s="48" t="s">
        <v>90</v>
      </c>
      <c r="AO31" s="48" t="s">
        <v>90</v>
      </c>
      <c r="AP31" s="48" t="s">
        <v>90</v>
      </c>
      <c r="AQ31" s="48" t="s">
        <v>90</v>
      </c>
      <c r="AR31" s="48" t="s">
        <v>90</v>
      </c>
      <c r="AS31" s="48" t="s">
        <v>90</v>
      </c>
      <c r="AT31" s="48" t="s">
        <v>90</v>
      </c>
      <c r="AU31" s="48" t="s">
        <v>90</v>
      </c>
      <c r="AV31" s="48" t="s">
        <v>90</v>
      </c>
      <c r="AW31" s="50">
        <v>23.0</v>
      </c>
      <c r="AX31" s="50">
        <v>2.22</v>
      </c>
      <c r="AY31" s="50">
        <v>1.02</v>
      </c>
      <c r="AZ31" s="50">
        <v>15.0</v>
      </c>
      <c r="BA31" s="50">
        <v>1.85</v>
      </c>
      <c r="BB31" s="50">
        <v>0.78</v>
      </c>
      <c r="BC31" s="50">
        <v>12.0</v>
      </c>
      <c r="BD31" s="50">
        <v>17.0</v>
      </c>
      <c r="BE31" s="50">
        <v>1.83</v>
      </c>
      <c r="BF31" s="50">
        <v>0.64</v>
      </c>
      <c r="BG31" s="50" t="s">
        <v>90</v>
      </c>
      <c r="BH31" s="50" t="s">
        <v>90</v>
      </c>
      <c r="BI31" s="50" t="s">
        <v>90</v>
      </c>
      <c r="BJ31" s="50" t="s">
        <v>90</v>
      </c>
    </row>
    <row r="32">
      <c r="A32" s="21" t="s">
        <v>203</v>
      </c>
      <c r="B32" s="22">
        <v>2016.0</v>
      </c>
      <c r="C32" s="51"/>
      <c r="D32" s="24" t="s">
        <v>88</v>
      </c>
      <c r="E32" s="25">
        <v>2016.0</v>
      </c>
      <c r="F32" s="47">
        <v>1.0</v>
      </c>
      <c r="G32" s="47">
        <v>3.0</v>
      </c>
      <c r="H32" s="47">
        <v>1.0</v>
      </c>
      <c r="I32" s="47">
        <v>1.0</v>
      </c>
      <c r="J32" s="47">
        <v>1.0</v>
      </c>
      <c r="K32" s="52">
        <f t="shared" ref="K32:K34" si="27">(12.99*80+12.98*81+13.03*74)/(80+81+74)</f>
        <v>12.99914894</v>
      </c>
      <c r="L32" s="47">
        <v>11.0</v>
      </c>
      <c r="M32" s="47">
        <v>14.0</v>
      </c>
      <c r="N32" s="47">
        <v>100.0</v>
      </c>
      <c r="O32" s="52">
        <f t="shared" ref="O32:O34" si="28">100*(73+72+66)/(80+81+74)</f>
        <v>89.78723404</v>
      </c>
      <c r="P32" s="47" t="s">
        <v>161</v>
      </c>
      <c r="Q32" s="47" t="s">
        <v>161</v>
      </c>
      <c r="R32" s="47" t="s">
        <v>161</v>
      </c>
      <c r="S32" s="47" t="s">
        <v>161</v>
      </c>
      <c r="T32" s="52">
        <f t="shared" ref="T32:T34" si="29">100-O32</f>
        <v>10.21276596</v>
      </c>
      <c r="U32" s="47" t="s">
        <v>161</v>
      </c>
      <c r="V32" s="47">
        <v>0.0</v>
      </c>
      <c r="W32" s="47" t="s">
        <v>161</v>
      </c>
      <c r="X32" s="47">
        <v>2.0</v>
      </c>
      <c r="Y32" s="47">
        <v>3.0</v>
      </c>
      <c r="Z32" s="47">
        <v>2.0</v>
      </c>
      <c r="AA32" s="26" t="s">
        <v>204</v>
      </c>
      <c r="AB32" s="26" t="s">
        <v>199</v>
      </c>
      <c r="AC32" s="26">
        <v>1.0</v>
      </c>
      <c r="AD32" s="26">
        <v>2.0</v>
      </c>
      <c r="AE32" s="27" t="s">
        <v>205</v>
      </c>
      <c r="AF32" s="48">
        <v>3.0</v>
      </c>
      <c r="AG32" s="48">
        <v>84.0</v>
      </c>
      <c r="AH32" s="48">
        <v>81.0</v>
      </c>
      <c r="AI32" s="48">
        <v>81.0</v>
      </c>
      <c r="AJ32" s="48" t="s">
        <v>90</v>
      </c>
      <c r="AK32" s="48">
        <v>2.0</v>
      </c>
      <c r="AL32" s="48">
        <v>1.0</v>
      </c>
      <c r="AM32" s="48">
        <v>1.0</v>
      </c>
      <c r="AN32" s="48">
        <v>1.0</v>
      </c>
      <c r="AO32" s="48" t="s">
        <v>90</v>
      </c>
      <c r="AP32" s="48" t="s">
        <v>90</v>
      </c>
      <c r="AQ32" s="48" t="s">
        <v>90</v>
      </c>
      <c r="AR32" s="48" t="s">
        <v>90</v>
      </c>
      <c r="AS32" s="48">
        <v>30.0</v>
      </c>
      <c r="AT32" s="48">
        <v>1.0</v>
      </c>
      <c r="AU32" s="48">
        <v>1.0</v>
      </c>
      <c r="AV32" s="48">
        <v>100.0</v>
      </c>
      <c r="AW32" s="50">
        <v>81.0</v>
      </c>
      <c r="AX32" s="50">
        <v>1.86</v>
      </c>
      <c r="AY32" s="50">
        <v>0.75</v>
      </c>
      <c r="AZ32" s="50">
        <v>80.0</v>
      </c>
      <c r="BA32" s="50">
        <v>1.86</v>
      </c>
      <c r="BB32" s="50">
        <v>0.08</v>
      </c>
      <c r="BC32" s="50">
        <v>6.0</v>
      </c>
      <c r="BD32" s="50">
        <v>80.0</v>
      </c>
      <c r="BE32" s="50">
        <v>1.97</v>
      </c>
      <c r="BF32" s="50">
        <v>0.1</v>
      </c>
      <c r="BG32" s="50">
        <v>52.0</v>
      </c>
      <c r="BH32" s="50">
        <v>53.0</v>
      </c>
      <c r="BI32" s="50">
        <v>2.13</v>
      </c>
      <c r="BJ32" s="50">
        <v>0.13</v>
      </c>
    </row>
    <row r="33">
      <c r="A33" s="21" t="s">
        <v>203</v>
      </c>
      <c r="B33" s="22">
        <v>2016.0</v>
      </c>
      <c r="D33" s="24" t="s">
        <v>88</v>
      </c>
      <c r="E33" s="25">
        <v>2016.0</v>
      </c>
      <c r="F33" s="47">
        <v>1.0</v>
      </c>
      <c r="G33" s="47">
        <v>3.0</v>
      </c>
      <c r="H33" s="47">
        <v>1.0</v>
      </c>
      <c r="I33" s="47">
        <v>1.0</v>
      </c>
      <c r="J33" s="47">
        <v>1.0</v>
      </c>
      <c r="K33" s="52">
        <f t="shared" si="27"/>
        <v>12.99914894</v>
      </c>
      <c r="L33" s="47">
        <v>11.0</v>
      </c>
      <c r="M33" s="47">
        <v>14.0</v>
      </c>
      <c r="N33" s="47">
        <v>100.0</v>
      </c>
      <c r="O33" s="52">
        <f t="shared" si="28"/>
        <v>89.78723404</v>
      </c>
      <c r="P33" s="47" t="s">
        <v>161</v>
      </c>
      <c r="Q33" s="47" t="s">
        <v>161</v>
      </c>
      <c r="R33" s="47" t="s">
        <v>161</v>
      </c>
      <c r="S33" s="47" t="s">
        <v>161</v>
      </c>
      <c r="T33" s="52">
        <f t="shared" si="29"/>
        <v>10.21276596</v>
      </c>
      <c r="U33" s="47" t="s">
        <v>161</v>
      </c>
      <c r="V33" s="47">
        <v>0.0</v>
      </c>
      <c r="W33" s="47" t="s">
        <v>161</v>
      </c>
      <c r="X33" s="47">
        <v>2.0</v>
      </c>
      <c r="Y33" s="47">
        <v>3.0</v>
      </c>
      <c r="Z33" s="47">
        <v>2.0</v>
      </c>
      <c r="AA33" s="26" t="s">
        <v>204</v>
      </c>
      <c r="AB33" s="26" t="s">
        <v>199</v>
      </c>
      <c r="AC33" s="26">
        <v>1.0</v>
      </c>
      <c r="AD33" s="26">
        <v>2.0</v>
      </c>
      <c r="AE33" s="27" t="s">
        <v>206</v>
      </c>
      <c r="AF33" s="48">
        <v>3.0</v>
      </c>
      <c r="AG33" s="48">
        <v>84.0</v>
      </c>
      <c r="AH33" s="48">
        <v>74.0</v>
      </c>
      <c r="AI33" s="48">
        <v>74.0</v>
      </c>
      <c r="AJ33" s="48" t="s">
        <v>90</v>
      </c>
      <c r="AK33" s="48">
        <v>2.0</v>
      </c>
      <c r="AL33" s="48">
        <v>1.0</v>
      </c>
      <c r="AM33" s="48">
        <v>1.0</v>
      </c>
      <c r="AN33" s="48">
        <v>1.0</v>
      </c>
      <c r="AO33" s="48" t="s">
        <v>90</v>
      </c>
      <c r="AP33" s="48" t="s">
        <v>90</v>
      </c>
      <c r="AQ33" s="48" t="s">
        <v>90</v>
      </c>
      <c r="AR33" s="48" t="s">
        <v>90</v>
      </c>
      <c r="AS33" s="48">
        <v>30.0</v>
      </c>
      <c r="AT33" s="48">
        <v>1.0</v>
      </c>
      <c r="AU33" s="48">
        <v>1.0</v>
      </c>
      <c r="AV33" s="48">
        <v>100.0</v>
      </c>
      <c r="AW33" s="50">
        <v>74.0</v>
      </c>
      <c r="AX33" s="50">
        <v>1.98</v>
      </c>
      <c r="AY33" s="50">
        <v>0.94</v>
      </c>
      <c r="AZ33" s="50">
        <v>73.0</v>
      </c>
      <c r="BA33" s="50">
        <v>1.84</v>
      </c>
      <c r="BB33" s="50">
        <v>0.09</v>
      </c>
      <c r="BC33" s="50">
        <v>6.0</v>
      </c>
      <c r="BD33" s="50">
        <v>73.0</v>
      </c>
      <c r="BE33" s="50">
        <v>1.71</v>
      </c>
      <c r="BF33" s="50">
        <v>0.8</v>
      </c>
      <c r="BG33" s="50">
        <v>52.0</v>
      </c>
      <c r="BH33" s="50">
        <v>57.0</v>
      </c>
      <c r="BI33" s="50">
        <v>2.13</v>
      </c>
      <c r="BJ33" s="50">
        <v>0.1</v>
      </c>
    </row>
    <row r="34">
      <c r="A34" s="21" t="s">
        <v>203</v>
      </c>
      <c r="B34" s="22">
        <v>2016.0</v>
      </c>
      <c r="D34" s="24" t="s">
        <v>88</v>
      </c>
      <c r="E34" s="25">
        <v>2016.0</v>
      </c>
      <c r="F34" s="47">
        <v>1.0</v>
      </c>
      <c r="G34" s="47">
        <v>3.0</v>
      </c>
      <c r="H34" s="47">
        <v>1.0</v>
      </c>
      <c r="I34" s="47">
        <v>1.0</v>
      </c>
      <c r="J34" s="47">
        <v>1.0</v>
      </c>
      <c r="K34" s="52">
        <f t="shared" si="27"/>
        <v>12.99914894</v>
      </c>
      <c r="L34" s="47">
        <v>11.0</v>
      </c>
      <c r="M34" s="47">
        <v>14.0</v>
      </c>
      <c r="N34" s="47">
        <v>100.0</v>
      </c>
      <c r="O34" s="52">
        <f t="shared" si="28"/>
        <v>89.78723404</v>
      </c>
      <c r="P34" s="47" t="s">
        <v>161</v>
      </c>
      <c r="Q34" s="47" t="s">
        <v>161</v>
      </c>
      <c r="R34" s="47" t="s">
        <v>161</v>
      </c>
      <c r="S34" s="47" t="s">
        <v>161</v>
      </c>
      <c r="T34" s="52">
        <f t="shared" si="29"/>
        <v>10.21276596</v>
      </c>
      <c r="U34" s="47" t="s">
        <v>161</v>
      </c>
      <c r="V34" s="47">
        <v>0.0</v>
      </c>
      <c r="W34" s="47" t="s">
        <v>161</v>
      </c>
      <c r="X34" s="47">
        <v>2.0</v>
      </c>
      <c r="Y34" s="47">
        <v>3.0</v>
      </c>
      <c r="Z34" s="47">
        <v>2.0</v>
      </c>
      <c r="AA34" s="26" t="s">
        <v>204</v>
      </c>
      <c r="AB34" s="26" t="s">
        <v>199</v>
      </c>
      <c r="AC34" s="26">
        <v>1.0</v>
      </c>
      <c r="AD34" s="26">
        <v>2.0</v>
      </c>
      <c r="AE34" s="27" t="s">
        <v>170</v>
      </c>
      <c r="AF34" s="48">
        <v>3.0</v>
      </c>
      <c r="AG34" s="48">
        <v>84.0</v>
      </c>
      <c r="AH34" s="48" t="s">
        <v>90</v>
      </c>
      <c r="AI34" s="48" t="s">
        <v>90</v>
      </c>
      <c r="AJ34" s="48">
        <v>1.0</v>
      </c>
      <c r="AK34" s="48" t="s">
        <v>90</v>
      </c>
      <c r="AL34" s="48" t="s">
        <v>90</v>
      </c>
      <c r="AM34" s="48" t="s">
        <v>90</v>
      </c>
      <c r="AN34" s="48" t="s">
        <v>90</v>
      </c>
      <c r="AO34" s="48" t="s">
        <v>90</v>
      </c>
      <c r="AP34" s="48" t="s">
        <v>90</v>
      </c>
      <c r="AQ34" s="48" t="s">
        <v>90</v>
      </c>
      <c r="AR34" s="48" t="s">
        <v>90</v>
      </c>
      <c r="AS34" s="48" t="s">
        <v>90</v>
      </c>
      <c r="AT34" s="48" t="s">
        <v>90</v>
      </c>
      <c r="AU34" s="48" t="s">
        <v>90</v>
      </c>
      <c r="AV34" s="48" t="s">
        <v>90</v>
      </c>
      <c r="AW34" s="50">
        <v>80.0</v>
      </c>
      <c r="AX34" s="50">
        <v>1.84</v>
      </c>
      <c r="AY34" s="50">
        <v>0.86</v>
      </c>
      <c r="AZ34" s="50">
        <v>79.0</v>
      </c>
      <c r="BA34" s="50">
        <v>1.82</v>
      </c>
      <c r="BB34" s="50">
        <v>0.08</v>
      </c>
      <c r="BC34" s="50">
        <v>6.0</v>
      </c>
      <c r="BD34" s="50">
        <v>80.0</v>
      </c>
      <c r="BE34" s="50">
        <v>1.73</v>
      </c>
      <c r="BF34" s="50">
        <v>0.7</v>
      </c>
      <c r="BG34" s="50">
        <v>52.0</v>
      </c>
      <c r="BH34" s="50">
        <v>48.0</v>
      </c>
      <c r="BI34" s="50">
        <v>1.88</v>
      </c>
      <c r="BJ34" s="50">
        <v>0.11</v>
      </c>
    </row>
    <row r="35">
      <c r="A35" s="21" t="s">
        <v>207</v>
      </c>
      <c r="B35" s="22">
        <v>2017.0</v>
      </c>
      <c r="C35" s="46"/>
      <c r="D35" s="24" t="s">
        <v>88</v>
      </c>
      <c r="E35" s="25">
        <v>2017.0</v>
      </c>
      <c r="F35" s="47">
        <v>1.0</v>
      </c>
      <c r="G35" s="47">
        <v>3.0</v>
      </c>
      <c r="H35" s="47">
        <v>1.0</v>
      </c>
      <c r="I35" s="47">
        <v>2.0</v>
      </c>
      <c r="J35" s="47">
        <v>2.0</v>
      </c>
      <c r="K35" s="52">
        <f t="shared" ref="K35:K36" si="30">(14.4*724+14.8*728)/(724+728)</f>
        <v>14.60055096</v>
      </c>
      <c r="L35" s="47">
        <v>14.0</v>
      </c>
      <c r="M35" s="47">
        <v>17.0</v>
      </c>
      <c r="N35" s="52">
        <f t="shared" ref="N35:N36" si="31">100*(393+415)/(724+728)</f>
        <v>55.64738292</v>
      </c>
      <c r="O35" s="47" t="s">
        <v>161</v>
      </c>
      <c r="P35" s="47" t="s">
        <v>161</v>
      </c>
      <c r="Q35" s="47" t="s">
        <v>161</v>
      </c>
      <c r="R35" s="47" t="s">
        <v>161</v>
      </c>
      <c r="S35" s="47" t="s">
        <v>161</v>
      </c>
      <c r="T35" s="47" t="s">
        <v>161</v>
      </c>
      <c r="U35" s="47" t="s">
        <v>161</v>
      </c>
      <c r="V35" s="47" t="s">
        <v>161</v>
      </c>
      <c r="W35" s="47" t="s">
        <v>161</v>
      </c>
      <c r="X35" s="47">
        <v>4.0</v>
      </c>
      <c r="Y35" s="47">
        <v>1.0</v>
      </c>
      <c r="Z35" s="47">
        <v>2.0</v>
      </c>
      <c r="AA35" s="26" t="s">
        <v>208</v>
      </c>
      <c r="AB35" s="26" t="s">
        <v>209</v>
      </c>
      <c r="AC35" s="26">
        <v>1.0</v>
      </c>
      <c r="AD35" s="26">
        <v>1.0</v>
      </c>
      <c r="AE35" s="27" t="s">
        <v>169</v>
      </c>
      <c r="AF35" s="48">
        <v>15.0</v>
      </c>
      <c r="AG35" s="48">
        <v>1187.0</v>
      </c>
      <c r="AH35" s="48">
        <v>1020.0</v>
      </c>
      <c r="AI35" s="48">
        <v>836.0</v>
      </c>
      <c r="AJ35" s="48" t="s">
        <v>90</v>
      </c>
      <c r="AK35" s="48">
        <v>1.0</v>
      </c>
      <c r="AL35" s="48">
        <v>2.0</v>
      </c>
      <c r="AM35" s="48">
        <v>1.0</v>
      </c>
      <c r="AN35" s="48">
        <v>3.0</v>
      </c>
      <c r="AO35" s="48">
        <v>1.0</v>
      </c>
      <c r="AP35" s="48">
        <v>2.0</v>
      </c>
      <c r="AQ35" s="48">
        <v>1.0</v>
      </c>
      <c r="AR35" s="48">
        <v>1.0</v>
      </c>
      <c r="AS35" s="48">
        <v>270.0</v>
      </c>
      <c r="AT35" s="48">
        <v>3.0</v>
      </c>
      <c r="AU35" s="48">
        <v>14.0</v>
      </c>
      <c r="AV35" s="56">
        <f>100*AI35/AH35</f>
        <v>81.96078431</v>
      </c>
      <c r="AW35" s="50">
        <v>1020.0</v>
      </c>
      <c r="AX35" s="50">
        <v>5.41</v>
      </c>
      <c r="AY35" s="50">
        <v>4.32</v>
      </c>
      <c r="AZ35" s="50">
        <v>836.0</v>
      </c>
      <c r="BA35" s="50">
        <v>5.16</v>
      </c>
      <c r="BB35" s="50">
        <v>4.61</v>
      </c>
      <c r="BC35" s="50">
        <v>26.0</v>
      </c>
      <c r="BD35" s="50">
        <v>724.0</v>
      </c>
      <c r="BE35" s="50">
        <v>5.28</v>
      </c>
      <c r="BF35" s="50">
        <v>4.37</v>
      </c>
      <c r="BG35" s="50" t="s">
        <v>90</v>
      </c>
      <c r="BH35" s="50" t="s">
        <v>90</v>
      </c>
      <c r="BI35" s="50" t="s">
        <v>90</v>
      </c>
      <c r="BJ35" s="50" t="s">
        <v>90</v>
      </c>
    </row>
    <row r="36">
      <c r="A36" s="21" t="s">
        <v>207</v>
      </c>
      <c r="B36" s="22">
        <v>2017.0</v>
      </c>
      <c r="D36" s="24" t="s">
        <v>88</v>
      </c>
      <c r="E36" s="25">
        <v>2017.0</v>
      </c>
      <c r="F36" s="47">
        <v>1.0</v>
      </c>
      <c r="G36" s="47">
        <v>3.0</v>
      </c>
      <c r="H36" s="47">
        <v>1.0</v>
      </c>
      <c r="I36" s="47">
        <v>2.0</v>
      </c>
      <c r="J36" s="47">
        <v>2.0</v>
      </c>
      <c r="K36" s="52">
        <f t="shared" si="30"/>
        <v>14.60055096</v>
      </c>
      <c r="L36" s="47">
        <v>14.0</v>
      </c>
      <c r="M36" s="47">
        <v>17.0</v>
      </c>
      <c r="N36" s="52">
        <f t="shared" si="31"/>
        <v>55.64738292</v>
      </c>
      <c r="O36" s="47" t="s">
        <v>161</v>
      </c>
      <c r="P36" s="47" t="s">
        <v>161</v>
      </c>
      <c r="Q36" s="47" t="s">
        <v>161</v>
      </c>
      <c r="R36" s="47" t="s">
        <v>161</v>
      </c>
      <c r="S36" s="47" t="s">
        <v>161</v>
      </c>
      <c r="T36" s="47" t="s">
        <v>161</v>
      </c>
      <c r="U36" s="47" t="s">
        <v>161</v>
      </c>
      <c r="V36" s="47" t="s">
        <v>161</v>
      </c>
      <c r="W36" s="47" t="s">
        <v>161</v>
      </c>
      <c r="X36" s="47">
        <v>4.0</v>
      </c>
      <c r="Y36" s="47">
        <v>1.0</v>
      </c>
      <c r="Z36" s="47">
        <v>2.0</v>
      </c>
      <c r="AA36" s="26" t="s">
        <v>208</v>
      </c>
      <c r="AB36" s="26" t="s">
        <v>209</v>
      </c>
      <c r="AC36" s="26">
        <v>1.0</v>
      </c>
      <c r="AD36" s="26">
        <v>1.0</v>
      </c>
      <c r="AE36" s="27" t="s">
        <v>170</v>
      </c>
      <c r="AF36" s="48">
        <v>8.0</v>
      </c>
      <c r="AG36" s="48">
        <v>1155.0</v>
      </c>
      <c r="AH36" s="48">
        <v>981.0</v>
      </c>
      <c r="AI36" s="48">
        <v>842.0</v>
      </c>
      <c r="AJ36" s="48">
        <v>1.0</v>
      </c>
      <c r="AK36" s="48" t="s">
        <v>90</v>
      </c>
      <c r="AL36" s="48" t="s">
        <v>90</v>
      </c>
      <c r="AM36" s="48" t="s">
        <v>90</v>
      </c>
      <c r="AN36" s="48" t="s">
        <v>90</v>
      </c>
      <c r="AO36" s="48" t="s">
        <v>90</v>
      </c>
      <c r="AP36" s="48" t="s">
        <v>90</v>
      </c>
      <c r="AQ36" s="48" t="s">
        <v>90</v>
      </c>
      <c r="AR36" s="48" t="s">
        <v>90</v>
      </c>
      <c r="AS36" s="48" t="s">
        <v>90</v>
      </c>
      <c r="AT36" s="48" t="s">
        <v>90</v>
      </c>
      <c r="AU36" s="48" t="s">
        <v>90</v>
      </c>
      <c r="AV36" s="48" t="s">
        <v>90</v>
      </c>
      <c r="AW36" s="50">
        <v>981.0</v>
      </c>
      <c r="AX36" s="50">
        <v>5.39</v>
      </c>
      <c r="AY36" s="50">
        <v>4.26</v>
      </c>
      <c r="AZ36" s="50">
        <v>842.0</v>
      </c>
      <c r="BA36" s="50">
        <v>5.2</v>
      </c>
      <c r="BB36" s="50">
        <v>3.94</v>
      </c>
      <c r="BC36" s="50">
        <v>26.0</v>
      </c>
      <c r="BD36" s="50">
        <v>728.0</v>
      </c>
      <c r="BE36" s="50">
        <v>5.34</v>
      </c>
      <c r="BF36" s="50">
        <v>4.07</v>
      </c>
      <c r="BG36" s="50" t="s">
        <v>90</v>
      </c>
      <c r="BH36" s="50" t="s">
        <v>90</v>
      </c>
      <c r="BI36" s="50" t="s">
        <v>90</v>
      </c>
      <c r="BJ36" s="50" t="s">
        <v>90</v>
      </c>
    </row>
    <row r="37">
      <c r="A37" s="21" t="s">
        <v>210</v>
      </c>
      <c r="B37" s="22">
        <v>2018.0</v>
      </c>
      <c r="C37" s="57" t="s">
        <v>211</v>
      </c>
      <c r="D37" s="24" t="s">
        <v>88</v>
      </c>
      <c r="E37" s="25">
        <v>2018.0</v>
      </c>
      <c r="F37" s="47">
        <v>1.0</v>
      </c>
      <c r="G37" s="47">
        <v>1.0</v>
      </c>
      <c r="H37" s="47">
        <v>1.0</v>
      </c>
      <c r="I37" s="47">
        <v>1.0</v>
      </c>
      <c r="J37" s="47">
        <v>2.0</v>
      </c>
      <c r="K37" s="47" t="s">
        <v>161</v>
      </c>
      <c r="L37" s="47">
        <v>14.0</v>
      </c>
      <c r="M37" s="47">
        <v>17.0</v>
      </c>
      <c r="N37" s="52">
        <f t="shared" ref="N37:N38" si="32">(92.6*36+60*12+89.5*23)/(36+12+23)</f>
        <v>86.08591549</v>
      </c>
      <c r="O37" s="47">
        <f t="shared" ref="O37:O38" si="33">(90+77)/2</f>
        <v>83.5</v>
      </c>
      <c r="P37" s="47" t="s">
        <v>161</v>
      </c>
      <c r="Q37" s="47" t="s">
        <v>161</v>
      </c>
      <c r="R37" s="47" t="s">
        <v>161</v>
      </c>
      <c r="S37" s="47" t="s">
        <v>161</v>
      </c>
      <c r="T37" s="47" t="s">
        <v>161</v>
      </c>
      <c r="U37" s="47" t="s">
        <v>161</v>
      </c>
      <c r="V37" s="47" t="s">
        <v>161</v>
      </c>
      <c r="W37" s="47" t="s">
        <v>161</v>
      </c>
      <c r="X37" s="47">
        <v>4.0</v>
      </c>
      <c r="Y37" s="47">
        <v>1.0</v>
      </c>
      <c r="Z37" s="47">
        <v>2.0</v>
      </c>
      <c r="AA37" s="26" t="s">
        <v>212</v>
      </c>
      <c r="AB37" s="26" t="s">
        <v>213</v>
      </c>
      <c r="AC37" s="26">
        <v>1.0</v>
      </c>
      <c r="AD37" s="26">
        <v>2.0</v>
      </c>
      <c r="AE37" s="27" t="s">
        <v>169</v>
      </c>
      <c r="AF37" s="48">
        <v>2.0</v>
      </c>
      <c r="AG37" s="48">
        <v>48.0</v>
      </c>
      <c r="AH37" s="48">
        <v>48.0</v>
      </c>
      <c r="AI37" s="48">
        <v>37.0</v>
      </c>
      <c r="AJ37" s="48" t="s">
        <v>90</v>
      </c>
      <c r="AK37" s="48">
        <v>1.0</v>
      </c>
      <c r="AL37" s="48">
        <v>2.0</v>
      </c>
      <c r="AM37" s="48">
        <v>1.0</v>
      </c>
      <c r="AN37" s="48">
        <v>3.0</v>
      </c>
      <c r="AO37" s="48">
        <v>1.0</v>
      </c>
      <c r="AP37" s="48">
        <v>2.0</v>
      </c>
      <c r="AQ37" s="48">
        <v>1.0</v>
      </c>
      <c r="AR37" s="48">
        <v>1.0</v>
      </c>
      <c r="AS37" s="48" t="s">
        <v>161</v>
      </c>
      <c r="AT37" s="48" t="s">
        <v>161</v>
      </c>
      <c r="AU37" s="48" t="s">
        <v>161</v>
      </c>
      <c r="AV37" s="56">
        <f>100*AI37/AH37</f>
        <v>77.08333333</v>
      </c>
      <c r="AW37" s="58" t="s">
        <v>161</v>
      </c>
      <c r="AX37" s="58" t="s">
        <v>161</v>
      </c>
      <c r="AY37" s="58" t="s">
        <v>161</v>
      </c>
      <c r="AZ37" s="58" t="s">
        <v>161</v>
      </c>
      <c r="BA37" s="58" t="s">
        <v>161</v>
      </c>
      <c r="BB37" s="58" t="s">
        <v>161</v>
      </c>
      <c r="BC37" s="58" t="s">
        <v>161</v>
      </c>
      <c r="BD37" s="58" t="s">
        <v>161</v>
      </c>
      <c r="BE37" s="58" t="s">
        <v>161</v>
      </c>
      <c r="BF37" s="58" t="s">
        <v>161</v>
      </c>
      <c r="BG37" s="58" t="s">
        <v>161</v>
      </c>
      <c r="BH37" s="58" t="s">
        <v>161</v>
      </c>
      <c r="BI37" s="58" t="s">
        <v>161</v>
      </c>
      <c r="BJ37" s="58" t="s">
        <v>161</v>
      </c>
    </row>
    <row r="38">
      <c r="A38" s="21" t="s">
        <v>210</v>
      </c>
      <c r="B38" s="22">
        <v>2018.0</v>
      </c>
      <c r="D38" s="24" t="s">
        <v>88</v>
      </c>
      <c r="E38" s="25">
        <v>2018.0</v>
      </c>
      <c r="F38" s="47">
        <v>1.0</v>
      </c>
      <c r="G38" s="47">
        <v>1.0</v>
      </c>
      <c r="H38" s="47">
        <v>1.0</v>
      </c>
      <c r="I38" s="47">
        <v>1.0</v>
      </c>
      <c r="J38" s="47">
        <v>2.0</v>
      </c>
      <c r="K38" s="47" t="s">
        <v>161</v>
      </c>
      <c r="L38" s="47">
        <v>14.0</v>
      </c>
      <c r="M38" s="47">
        <v>17.0</v>
      </c>
      <c r="N38" s="52">
        <f t="shared" si="32"/>
        <v>86.08591549</v>
      </c>
      <c r="O38" s="47">
        <f t="shared" si="33"/>
        <v>83.5</v>
      </c>
      <c r="P38" s="47" t="s">
        <v>161</v>
      </c>
      <c r="Q38" s="47" t="s">
        <v>161</v>
      </c>
      <c r="R38" s="47" t="s">
        <v>161</v>
      </c>
      <c r="S38" s="47" t="s">
        <v>161</v>
      </c>
      <c r="T38" s="47" t="s">
        <v>161</v>
      </c>
      <c r="U38" s="47" t="s">
        <v>161</v>
      </c>
      <c r="V38" s="47" t="s">
        <v>161</v>
      </c>
      <c r="W38" s="47" t="s">
        <v>161</v>
      </c>
      <c r="X38" s="47">
        <v>4.0</v>
      </c>
      <c r="Y38" s="47">
        <v>1.0</v>
      </c>
      <c r="Z38" s="47">
        <v>2.0</v>
      </c>
      <c r="AA38" s="26" t="s">
        <v>212</v>
      </c>
      <c r="AB38" s="26" t="s">
        <v>213</v>
      </c>
      <c r="AC38" s="26">
        <v>1.0</v>
      </c>
      <c r="AD38" s="26">
        <v>2.0</v>
      </c>
      <c r="AE38" s="27" t="s">
        <v>170</v>
      </c>
      <c r="AF38" s="48">
        <v>1.0</v>
      </c>
      <c r="AG38" s="48">
        <v>23.0</v>
      </c>
      <c r="AH38" s="48" t="s">
        <v>90</v>
      </c>
      <c r="AI38" s="48" t="s">
        <v>90</v>
      </c>
      <c r="AJ38" s="48">
        <v>1.0</v>
      </c>
      <c r="AK38" s="48" t="s">
        <v>90</v>
      </c>
      <c r="AL38" s="48" t="s">
        <v>90</v>
      </c>
      <c r="AM38" s="48" t="s">
        <v>90</v>
      </c>
      <c r="AN38" s="48" t="s">
        <v>90</v>
      </c>
      <c r="AO38" s="48" t="s">
        <v>90</v>
      </c>
      <c r="AP38" s="48" t="s">
        <v>90</v>
      </c>
      <c r="AQ38" s="48" t="s">
        <v>90</v>
      </c>
      <c r="AR38" s="48" t="s">
        <v>90</v>
      </c>
      <c r="AS38" s="48" t="s">
        <v>90</v>
      </c>
      <c r="AT38" s="48" t="s">
        <v>90</v>
      </c>
      <c r="AU38" s="48" t="s">
        <v>90</v>
      </c>
      <c r="AV38" s="48" t="s">
        <v>90</v>
      </c>
      <c r="AW38" s="58" t="s">
        <v>161</v>
      </c>
      <c r="AX38" s="58" t="s">
        <v>161</v>
      </c>
      <c r="AY38" s="58" t="s">
        <v>161</v>
      </c>
      <c r="AZ38" s="58" t="s">
        <v>161</v>
      </c>
      <c r="BA38" s="58" t="s">
        <v>161</v>
      </c>
      <c r="BB38" s="58" t="s">
        <v>161</v>
      </c>
      <c r="BC38" s="58" t="s">
        <v>161</v>
      </c>
      <c r="BD38" s="58" t="s">
        <v>161</v>
      </c>
      <c r="BE38" s="58" t="s">
        <v>161</v>
      </c>
      <c r="BF38" s="58" t="s">
        <v>161</v>
      </c>
      <c r="BG38" s="58" t="s">
        <v>161</v>
      </c>
      <c r="BH38" s="58" t="s">
        <v>161</v>
      </c>
      <c r="BI38" s="58" t="s">
        <v>161</v>
      </c>
      <c r="BJ38" s="58" t="s">
        <v>161</v>
      </c>
    </row>
    <row r="39">
      <c r="A39" s="21" t="s">
        <v>214</v>
      </c>
      <c r="B39" s="22">
        <v>2019.0</v>
      </c>
      <c r="C39" s="46"/>
      <c r="D39" s="24" t="s">
        <v>88</v>
      </c>
      <c r="E39" s="25">
        <v>2019.0</v>
      </c>
      <c r="F39" s="47">
        <v>1.0</v>
      </c>
      <c r="G39" s="47">
        <v>3.0</v>
      </c>
      <c r="H39" s="47">
        <v>1.0</v>
      </c>
      <c r="I39" s="47">
        <v>1.0</v>
      </c>
      <c r="J39" s="47">
        <v>2.0</v>
      </c>
      <c r="K39" s="47">
        <v>16.25</v>
      </c>
      <c r="L39" s="47">
        <v>14.0</v>
      </c>
      <c r="M39" s="47">
        <v>17.0</v>
      </c>
      <c r="N39" s="47" t="s">
        <v>161</v>
      </c>
      <c r="O39" s="47" t="s">
        <v>161</v>
      </c>
      <c r="P39" s="47" t="s">
        <v>161</v>
      </c>
      <c r="Q39" s="47" t="s">
        <v>161</v>
      </c>
      <c r="R39" s="47" t="s">
        <v>161</v>
      </c>
      <c r="S39" s="47" t="s">
        <v>161</v>
      </c>
      <c r="T39" s="47" t="s">
        <v>161</v>
      </c>
      <c r="U39" s="47" t="s">
        <v>161</v>
      </c>
      <c r="V39" s="47" t="s">
        <v>161</v>
      </c>
      <c r="W39" s="47" t="s">
        <v>161</v>
      </c>
      <c r="X39" s="47">
        <v>2.0</v>
      </c>
      <c r="Y39" s="47">
        <v>3.0</v>
      </c>
      <c r="Z39" s="47">
        <v>2.0</v>
      </c>
      <c r="AA39" s="26" t="s">
        <v>215</v>
      </c>
      <c r="AB39" s="26" t="s">
        <v>90</v>
      </c>
      <c r="AC39" s="26">
        <v>1.0</v>
      </c>
      <c r="AD39" s="26">
        <v>1.0</v>
      </c>
      <c r="AE39" s="27" t="s">
        <v>169</v>
      </c>
      <c r="AF39" s="48">
        <v>79.0</v>
      </c>
      <c r="AG39" s="48">
        <v>79.0</v>
      </c>
      <c r="AH39" s="48">
        <v>79.0</v>
      </c>
      <c r="AI39" s="48">
        <v>40.0</v>
      </c>
      <c r="AJ39" s="48" t="s">
        <v>90</v>
      </c>
      <c r="AK39" s="48">
        <v>1.0</v>
      </c>
      <c r="AL39" s="48">
        <v>2.0</v>
      </c>
      <c r="AM39" s="48">
        <v>1.0</v>
      </c>
      <c r="AN39" s="48"/>
      <c r="AO39" s="48">
        <v>1.0</v>
      </c>
      <c r="AP39" s="48">
        <v>1.0</v>
      </c>
      <c r="AQ39" s="48">
        <v>1.0</v>
      </c>
      <c r="AR39" s="48">
        <v>1.0</v>
      </c>
      <c r="AS39" s="48">
        <v>240.0</v>
      </c>
      <c r="AT39" s="48">
        <v>4.0</v>
      </c>
      <c r="AU39" s="48">
        <v>28.0</v>
      </c>
      <c r="AV39" s="56">
        <f>100*AI39/AH39</f>
        <v>50.63291139</v>
      </c>
      <c r="AW39" s="50">
        <v>79.0</v>
      </c>
      <c r="AX39" s="50">
        <v>9.7</v>
      </c>
      <c r="AY39" s="50">
        <v>7.97</v>
      </c>
      <c r="AZ39" s="50">
        <v>40.0</v>
      </c>
      <c r="BA39" s="50">
        <v>6.32</v>
      </c>
      <c r="BB39" s="50">
        <v>4.67</v>
      </c>
      <c r="BC39" s="50" t="s">
        <v>90</v>
      </c>
      <c r="BD39" s="50" t="s">
        <v>90</v>
      </c>
      <c r="BE39" s="50" t="s">
        <v>90</v>
      </c>
      <c r="BF39" s="50" t="s">
        <v>90</v>
      </c>
      <c r="BG39" s="50" t="s">
        <v>90</v>
      </c>
      <c r="BH39" s="50" t="s">
        <v>90</v>
      </c>
      <c r="BI39" s="50" t="s">
        <v>90</v>
      </c>
      <c r="BJ39" s="50" t="s">
        <v>90</v>
      </c>
    </row>
    <row r="40">
      <c r="A40" s="21" t="s">
        <v>214</v>
      </c>
      <c r="B40" s="22">
        <v>2019.0</v>
      </c>
      <c r="D40" s="24" t="s">
        <v>88</v>
      </c>
      <c r="E40" s="25">
        <v>2019.0</v>
      </c>
      <c r="F40" s="47">
        <v>1.0</v>
      </c>
      <c r="G40" s="47">
        <v>3.0</v>
      </c>
      <c r="H40" s="47">
        <v>1.0</v>
      </c>
      <c r="I40" s="47">
        <v>1.0</v>
      </c>
      <c r="J40" s="47">
        <v>2.0</v>
      </c>
      <c r="K40" s="47">
        <v>16.25</v>
      </c>
      <c r="L40" s="47">
        <v>14.0</v>
      </c>
      <c r="M40" s="47">
        <v>17.0</v>
      </c>
      <c r="N40" s="47" t="s">
        <v>161</v>
      </c>
      <c r="O40" s="47" t="s">
        <v>161</v>
      </c>
      <c r="P40" s="47" t="s">
        <v>161</v>
      </c>
      <c r="Q40" s="47" t="s">
        <v>161</v>
      </c>
      <c r="R40" s="47" t="s">
        <v>161</v>
      </c>
      <c r="S40" s="47" t="s">
        <v>161</v>
      </c>
      <c r="T40" s="47" t="s">
        <v>161</v>
      </c>
      <c r="U40" s="47" t="s">
        <v>161</v>
      </c>
      <c r="V40" s="47" t="s">
        <v>161</v>
      </c>
      <c r="W40" s="47" t="s">
        <v>161</v>
      </c>
      <c r="X40" s="47">
        <v>2.0</v>
      </c>
      <c r="Y40" s="47">
        <v>3.0</v>
      </c>
      <c r="Z40" s="47">
        <v>2.0</v>
      </c>
      <c r="AA40" s="26" t="s">
        <v>215</v>
      </c>
      <c r="AB40" s="26" t="s">
        <v>90</v>
      </c>
      <c r="AC40" s="26">
        <v>1.0</v>
      </c>
      <c r="AD40" s="26">
        <v>1.0</v>
      </c>
      <c r="AE40" s="27" t="s">
        <v>170</v>
      </c>
      <c r="AF40" s="48">
        <v>62.0</v>
      </c>
      <c r="AG40" s="48">
        <v>62.0</v>
      </c>
      <c r="AH40" s="48" t="s">
        <v>90</v>
      </c>
      <c r="AI40" s="48" t="s">
        <v>90</v>
      </c>
      <c r="AJ40" s="48">
        <v>1.0</v>
      </c>
      <c r="AK40" s="48" t="s">
        <v>90</v>
      </c>
      <c r="AL40" s="48" t="s">
        <v>90</v>
      </c>
      <c r="AM40" s="48" t="s">
        <v>90</v>
      </c>
      <c r="AN40" s="48" t="s">
        <v>90</v>
      </c>
      <c r="AO40" s="48" t="s">
        <v>90</v>
      </c>
      <c r="AP40" s="48" t="s">
        <v>90</v>
      </c>
      <c r="AQ40" s="48" t="s">
        <v>90</v>
      </c>
      <c r="AR40" s="48" t="s">
        <v>90</v>
      </c>
      <c r="AS40" s="48" t="s">
        <v>90</v>
      </c>
      <c r="AT40" s="48" t="s">
        <v>90</v>
      </c>
      <c r="AU40" s="48" t="s">
        <v>90</v>
      </c>
      <c r="AV40" s="48" t="s">
        <v>90</v>
      </c>
      <c r="AW40" s="50">
        <v>62.0</v>
      </c>
      <c r="AX40" s="50">
        <v>11.86</v>
      </c>
      <c r="AY40" s="50">
        <v>10.66</v>
      </c>
      <c r="AZ40" s="50">
        <v>22.0</v>
      </c>
      <c r="BA40" s="50">
        <v>13.44</v>
      </c>
      <c r="BB40" s="50">
        <v>15.09</v>
      </c>
      <c r="BC40" s="50" t="s">
        <v>90</v>
      </c>
      <c r="BD40" s="50" t="s">
        <v>90</v>
      </c>
      <c r="BE40" s="50" t="s">
        <v>90</v>
      </c>
      <c r="BF40" s="50" t="s">
        <v>90</v>
      </c>
      <c r="BG40" s="50" t="s">
        <v>90</v>
      </c>
      <c r="BH40" s="50" t="s">
        <v>90</v>
      </c>
      <c r="BI40" s="50" t="s">
        <v>90</v>
      </c>
      <c r="BJ40" s="50" t="s">
        <v>90</v>
      </c>
    </row>
    <row r="41">
      <c r="A41" s="21" t="s">
        <v>214</v>
      </c>
      <c r="B41" s="22">
        <v>2019.0</v>
      </c>
      <c r="D41" s="24" t="s">
        <v>88</v>
      </c>
      <c r="E41" s="25">
        <v>2019.0</v>
      </c>
      <c r="F41" s="47">
        <v>1.0</v>
      </c>
      <c r="G41" s="47">
        <v>3.0</v>
      </c>
      <c r="H41" s="47">
        <v>1.0</v>
      </c>
      <c r="I41" s="47">
        <v>1.0</v>
      </c>
      <c r="J41" s="47">
        <v>2.0</v>
      </c>
      <c r="K41" s="47">
        <v>16.25</v>
      </c>
      <c r="L41" s="47">
        <v>14.0</v>
      </c>
      <c r="M41" s="47">
        <v>17.0</v>
      </c>
      <c r="N41" s="47" t="s">
        <v>161</v>
      </c>
      <c r="O41" s="47" t="s">
        <v>161</v>
      </c>
      <c r="P41" s="47" t="s">
        <v>161</v>
      </c>
      <c r="Q41" s="47" t="s">
        <v>161</v>
      </c>
      <c r="R41" s="47" t="s">
        <v>161</v>
      </c>
      <c r="S41" s="47" t="s">
        <v>161</v>
      </c>
      <c r="T41" s="47" t="s">
        <v>161</v>
      </c>
      <c r="U41" s="47" t="s">
        <v>161</v>
      </c>
      <c r="V41" s="47" t="s">
        <v>161</v>
      </c>
      <c r="W41" s="47" t="s">
        <v>161</v>
      </c>
      <c r="X41" s="47">
        <v>2.0</v>
      </c>
      <c r="Y41" s="47">
        <v>3.0</v>
      </c>
      <c r="Z41" s="47">
        <v>2.0</v>
      </c>
      <c r="AA41" s="26" t="s">
        <v>212</v>
      </c>
      <c r="AB41" s="26" t="s">
        <v>216</v>
      </c>
      <c r="AC41" s="26">
        <v>1.0</v>
      </c>
      <c r="AD41" s="26">
        <v>2.0</v>
      </c>
      <c r="AE41" s="27" t="s">
        <v>169</v>
      </c>
      <c r="AF41" s="48">
        <v>79.0</v>
      </c>
      <c r="AG41" s="48">
        <v>79.0</v>
      </c>
      <c r="AH41" s="48">
        <v>79.0</v>
      </c>
      <c r="AI41" s="48">
        <v>40.0</v>
      </c>
      <c r="AJ41" s="48" t="s">
        <v>90</v>
      </c>
      <c r="AK41" s="48">
        <v>1.0</v>
      </c>
      <c r="AL41" s="48">
        <v>2.0</v>
      </c>
      <c r="AM41" s="48">
        <v>1.0</v>
      </c>
      <c r="AN41" s="48"/>
      <c r="AO41" s="48">
        <v>1.0</v>
      </c>
      <c r="AP41" s="48">
        <v>1.0</v>
      </c>
      <c r="AQ41" s="48">
        <v>1.0</v>
      </c>
      <c r="AR41" s="48">
        <v>1.0</v>
      </c>
      <c r="AS41" s="48">
        <v>240.0</v>
      </c>
      <c r="AT41" s="48">
        <v>4.0</v>
      </c>
      <c r="AU41" s="48">
        <v>28.0</v>
      </c>
      <c r="AV41" s="56">
        <f>100*AI41/AH41</f>
        <v>50.63291139</v>
      </c>
      <c r="AW41" s="50">
        <v>79.0</v>
      </c>
      <c r="AX41" s="50">
        <v>2.45</v>
      </c>
      <c r="AY41" s="50">
        <v>1.26</v>
      </c>
      <c r="AZ41" s="50">
        <v>40.0</v>
      </c>
      <c r="BA41" s="50">
        <v>1.81</v>
      </c>
      <c r="BB41" s="50">
        <v>0.66</v>
      </c>
      <c r="BC41" s="50" t="s">
        <v>90</v>
      </c>
      <c r="BD41" s="50" t="s">
        <v>90</v>
      </c>
      <c r="BE41" s="50" t="s">
        <v>90</v>
      </c>
      <c r="BF41" s="50" t="s">
        <v>90</v>
      </c>
      <c r="BG41" s="50" t="s">
        <v>90</v>
      </c>
      <c r="BH41" s="50" t="s">
        <v>90</v>
      </c>
      <c r="BI41" s="50" t="s">
        <v>90</v>
      </c>
      <c r="BJ41" s="50" t="s">
        <v>90</v>
      </c>
    </row>
    <row r="42">
      <c r="A42" s="21" t="s">
        <v>214</v>
      </c>
      <c r="B42" s="22">
        <v>2019.0</v>
      </c>
      <c r="D42" s="24" t="s">
        <v>88</v>
      </c>
      <c r="E42" s="25">
        <v>2019.0</v>
      </c>
      <c r="F42" s="47">
        <v>1.0</v>
      </c>
      <c r="G42" s="47">
        <v>3.0</v>
      </c>
      <c r="H42" s="47">
        <v>1.0</v>
      </c>
      <c r="I42" s="47">
        <v>1.0</v>
      </c>
      <c r="J42" s="47">
        <v>2.0</v>
      </c>
      <c r="K42" s="47">
        <v>16.25</v>
      </c>
      <c r="L42" s="47">
        <v>14.0</v>
      </c>
      <c r="M42" s="47">
        <v>17.0</v>
      </c>
      <c r="N42" s="47" t="s">
        <v>161</v>
      </c>
      <c r="O42" s="47" t="s">
        <v>161</v>
      </c>
      <c r="P42" s="47" t="s">
        <v>161</v>
      </c>
      <c r="Q42" s="47" t="s">
        <v>161</v>
      </c>
      <c r="R42" s="47" t="s">
        <v>161</v>
      </c>
      <c r="S42" s="47" t="s">
        <v>161</v>
      </c>
      <c r="T42" s="47" t="s">
        <v>161</v>
      </c>
      <c r="U42" s="47" t="s">
        <v>161</v>
      </c>
      <c r="V42" s="47" t="s">
        <v>161</v>
      </c>
      <c r="W42" s="47" t="s">
        <v>161</v>
      </c>
      <c r="X42" s="47">
        <v>2.0</v>
      </c>
      <c r="Y42" s="47">
        <v>3.0</v>
      </c>
      <c r="Z42" s="47">
        <v>2.0</v>
      </c>
      <c r="AA42" s="26" t="s">
        <v>212</v>
      </c>
      <c r="AB42" s="26" t="s">
        <v>216</v>
      </c>
      <c r="AC42" s="26">
        <v>1.0</v>
      </c>
      <c r="AD42" s="26">
        <v>2.0</v>
      </c>
      <c r="AE42" s="27" t="s">
        <v>170</v>
      </c>
      <c r="AF42" s="48">
        <v>62.0</v>
      </c>
      <c r="AG42" s="48">
        <v>62.0</v>
      </c>
      <c r="AH42" s="48" t="s">
        <v>90</v>
      </c>
      <c r="AI42" s="48" t="s">
        <v>90</v>
      </c>
      <c r="AJ42" s="48">
        <v>1.0</v>
      </c>
      <c r="AK42" s="48" t="s">
        <v>90</v>
      </c>
      <c r="AL42" s="48" t="s">
        <v>90</v>
      </c>
      <c r="AM42" s="48" t="s">
        <v>90</v>
      </c>
      <c r="AN42" s="48" t="s">
        <v>90</v>
      </c>
      <c r="AO42" s="48" t="s">
        <v>90</v>
      </c>
      <c r="AP42" s="48" t="s">
        <v>90</v>
      </c>
      <c r="AQ42" s="48" t="s">
        <v>90</v>
      </c>
      <c r="AR42" s="48" t="s">
        <v>90</v>
      </c>
      <c r="AS42" s="48" t="s">
        <v>90</v>
      </c>
      <c r="AT42" s="48" t="s">
        <v>90</v>
      </c>
      <c r="AU42" s="48" t="s">
        <v>90</v>
      </c>
      <c r="AV42" s="48" t="s">
        <v>90</v>
      </c>
      <c r="AW42" s="50">
        <v>62.0</v>
      </c>
      <c r="AX42" s="50">
        <v>2.23</v>
      </c>
      <c r="AY42" s="50">
        <v>0.84</v>
      </c>
      <c r="AZ42" s="50">
        <v>22.0</v>
      </c>
      <c r="BA42" s="50">
        <v>2.34</v>
      </c>
      <c r="BB42" s="50">
        <v>1.51</v>
      </c>
      <c r="BC42" s="50" t="s">
        <v>90</v>
      </c>
      <c r="BD42" s="50" t="s">
        <v>90</v>
      </c>
      <c r="BE42" s="50" t="s">
        <v>90</v>
      </c>
      <c r="BF42" s="50" t="s">
        <v>90</v>
      </c>
      <c r="BG42" s="50" t="s">
        <v>90</v>
      </c>
      <c r="BH42" s="50" t="s">
        <v>90</v>
      </c>
      <c r="BI42" s="50" t="s">
        <v>90</v>
      </c>
      <c r="BJ42" s="50" t="s">
        <v>90</v>
      </c>
    </row>
    <row r="43">
      <c r="A43" s="21" t="s">
        <v>217</v>
      </c>
      <c r="B43" s="22">
        <v>2020.0</v>
      </c>
      <c r="C43" s="57" t="s">
        <v>192</v>
      </c>
      <c r="D43" s="24" t="s">
        <v>88</v>
      </c>
      <c r="E43" s="25">
        <v>2020.0</v>
      </c>
      <c r="F43" s="47">
        <v>1.0</v>
      </c>
      <c r="G43" s="47">
        <v>3.0</v>
      </c>
      <c r="H43" s="47">
        <v>1.0</v>
      </c>
      <c r="I43" s="47">
        <v>2.0</v>
      </c>
      <c r="J43" s="47">
        <v>1.0</v>
      </c>
      <c r="K43" s="52">
        <f t="shared" ref="K43:K44" si="34">(11.69*647+11.55*756)/(647+756)</f>
        <v>11.61456165</v>
      </c>
      <c r="L43" s="47">
        <v>11.0</v>
      </c>
      <c r="M43" s="47">
        <v>13.0</v>
      </c>
      <c r="N43" s="52">
        <f t="shared" ref="N43:N44" si="35">100*(307+328)/(647+756)</f>
        <v>45.26015681</v>
      </c>
      <c r="O43" s="52">
        <f t="shared" ref="O43:O44" si="36">100*(544+624)/(647+756)</f>
        <v>83.25017819</v>
      </c>
      <c r="P43" s="52">
        <f t="shared" ref="P43:P44" si="37">100*(11+20)/(647+756)</f>
        <v>2.209550962</v>
      </c>
      <c r="Q43" s="52" t="s">
        <v>161</v>
      </c>
      <c r="R43" s="52">
        <f t="shared" ref="R43:R44" si="38">100*(14+13)/(647+756)</f>
        <v>1.924447612</v>
      </c>
      <c r="S43" s="52" t="s">
        <v>161</v>
      </c>
      <c r="T43" s="52" t="s">
        <v>161</v>
      </c>
      <c r="U43" s="52">
        <f t="shared" ref="U43:U44" si="39">100*(22+22)/(647+756)</f>
        <v>3.13613685</v>
      </c>
      <c r="V43" s="47" t="s">
        <v>161</v>
      </c>
      <c r="W43" s="47" t="s">
        <v>161</v>
      </c>
      <c r="X43" s="47">
        <v>4.0</v>
      </c>
      <c r="Y43" s="47">
        <v>1.0</v>
      </c>
      <c r="Z43" s="47">
        <v>2.0</v>
      </c>
      <c r="AA43" s="26" t="s">
        <v>198</v>
      </c>
      <c r="AB43" s="26" t="s">
        <v>199</v>
      </c>
      <c r="AC43" s="26">
        <v>1.0</v>
      </c>
      <c r="AD43" s="26">
        <v>2.0</v>
      </c>
      <c r="AE43" s="27" t="s">
        <v>169</v>
      </c>
      <c r="AF43" s="48">
        <v>4.0</v>
      </c>
      <c r="AG43" s="48">
        <v>647.0</v>
      </c>
      <c r="AH43" s="48" t="s">
        <v>90</v>
      </c>
      <c r="AI43" s="48" t="s">
        <v>90</v>
      </c>
      <c r="AJ43" s="48" t="s">
        <v>90</v>
      </c>
      <c r="AK43" s="48">
        <v>1.0</v>
      </c>
      <c r="AL43" s="48">
        <v>2.0</v>
      </c>
      <c r="AM43" s="48">
        <v>1.0</v>
      </c>
      <c r="AN43" s="48">
        <v>3.0</v>
      </c>
      <c r="AO43" s="48">
        <v>1.0</v>
      </c>
      <c r="AP43" s="48">
        <v>2.0</v>
      </c>
      <c r="AQ43" s="48">
        <v>1.0</v>
      </c>
      <c r="AR43" s="48">
        <v>2.0</v>
      </c>
      <c r="AS43" s="48">
        <v>225.0</v>
      </c>
      <c r="AT43" s="48">
        <v>5.0</v>
      </c>
      <c r="AU43" s="48">
        <v>35.0</v>
      </c>
      <c r="AV43" s="48" t="s">
        <v>90</v>
      </c>
      <c r="AW43" s="58" t="s">
        <v>161</v>
      </c>
      <c r="AX43" s="58" t="s">
        <v>161</v>
      </c>
      <c r="AY43" s="58" t="s">
        <v>161</v>
      </c>
      <c r="AZ43" s="58" t="s">
        <v>161</v>
      </c>
      <c r="BA43" s="58" t="s">
        <v>161</v>
      </c>
      <c r="BB43" s="58" t="s">
        <v>161</v>
      </c>
      <c r="BC43" s="58" t="s">
        <v>161</v>
      </c>
      <c r="BD43" s="58" t="s">
        <v>161</v>
      </c>
      <c r="BE43" s="58" t="s">
        <v>161</v>
      </c>
      <c r="BF43" s="58" t="s">
        <v>161</v>
      </c>
      <c r="BG43" s="58" t="s">
        <v>161</v>
      </c>
      <c r="BH43" s="58" t="s">
        <v>161</v>
      </c>
      <c r="BI43" s="58" t="s">
        <v>161</v>
      </c>
      <c r="BJ43" s="58" t="s">
        <v>161</v>
      </c>
    </row>
    <row r="44">
      <c r="A44" s="21" t="s">
        <v>217</v>
      </c>
      <c r="B44" s="22">
        <v>2020.0</v>
      </c>
      <c r="D44" s="24" t="s">
        <v>88</v>
      </c>
      <c r="E44" s="25">
        <v>2020.0</v>
      </c>
      <c r="F44" s="47">
        <v>1.0</v>
      </c>
      <c r="G44" s="47">
        <v>3.0</v>
      </c>
      <c r="H44" s="47">
        <v>1.0</v>
      </c>
      <c r="I44" s="47">
        <v>2.0</v>
      </c>
      <c r="J44" s="47">
        <v>1.0</v>
      </c>
      <c r="K44" s="52">
        <f t="shared" si="34"/>
        <v>11.61456165</v>
      </c>
      <c r="L44" s="47">
        <v>11.0</v>
      </c>
      <c r="M44" s="47">
        <v>13.0</v>
      </c>
      <c r="N44" s="52">
        <f t="shared" si="35"/>
        <v>45.26015681</v>
      </c>
      <c r="O44" s="52">
        <f t="shared" si="36"/>
        <v>83.25017819</v>
      </c>
      <c r="P44" s="52">
        <f t="shared" si="37"/>
        <v>2.209550962</v>
      </c>
      <c r="Q44" s="52" t="s">
        <v>161</v>
      </c>
      <c r="R44" s="52">
        <f t="shared" si="38"/>
        <v>1.924447612</v>
      </c>
      <c r="S44" s="52" t="s">
        <v>161</v>
      </c>
      <c r="T44" s="52" t="s">
        <v>161</v>
      </c>
      <c r="U44" s="52">
        <f t="shared" si="39"/>
        <v>3.13613685</v>
      </c>
      <c r="V44" s="47" t="s">
        <v>161</v>
      </c>
      <c r="W44" s="47" t="s">
        <v>161</v>
      </c>
      <c r="X44" s="47">
        <v>4.0</v>
      </c>
      <c r="Y44" s="47">
        <v>1.0</v>
      </c>
      <c r="Z44" s="47">
        <v>2.0</v>
      </c>
      <c r="AA44" s="26" t="s">
        <v>198</v>
      </c>
      <c r="AB44" s="26" t="s">
        <v>199</v>
      </c>
      <c r="AC44" s="26">
        <v>1.0</v>
      </c>
      <c r="AD44" s="26">
        <v>2.0</v>
      </c>
      <c r="AE44" s="27" t="s">
        <v>170</v>
      </c>
      <c r="AF44" s="48">
        <v>2.0</v>
      </c>
      <c r="AG44" s="48">
        <v>848.0</v>
      </c>
      <c r="AH44" s="48" t="s">
        <v>90</v>
      </c>
      <c r="AI44" s="48" t="s">
        <v>90</v>
      </c>
      <c r="AJ44" s="48">
        <v>1.0</v>
      </c>
      <c r="AK44" s="48" t="s">
        <v>90</v>
      </c>
      <c r="AL44" s="48" t="s">
        <v>90</v>
      </c>
      <c r="AM44" s="48" t="s">
        <v>90</v>
      </c>
      <c r="AN44" s="48" t="s">
        <v>90</v>
      </c>
      <c r="AO44" s="48" t="s">
        <v>90</v>
      </c>
      <c r="AP44" s="48" t="s">
        <v>90</v>
      </c>
      <c r="AQ44" s="48" t="s">
        <v>90</v>
      </c>
      <c r="AR44" s="48" t="s">
        <v>90</v>
      </c>
      <c r="AS44" s="48" t="s">
        <v>90</v>
      </c>
      <c r="AT44" s="48" t="s">
        <v>90</v>
      </c>
      <c r="AU44" s="48" t="s">
        <v>90</v>
      </c>
      <c r="AV44" s="48" t="s">
        <v>90</v>
      </c>
      <c r="AW44" s="58" t="s">
        <v>161</v>
      </c>
      <c r="AX44" s="58" t="s">
        <v>161</v>
      </c>
      <c r="AY44" s="58" t="s">
        <v>161</v>
      </c>
      <c r="AZ44" s="58" t="s">
        <v>161</v>
      </c>
      <c r="BA44" s="58" t="s">
        <v>161</v>
      </c>
      <c r="BB44" s="58" t="s">
        <v>161</v>
      </c>
      <c r="BC44" s="58" t="s">
        <v>161</v>
      </c>
      <c r="BD44" s="58" t="s">
        <v>161</v>
      </c>
      <c r="BE44" s="58" t="s">
        <v>161</v>
      </c>
      <c r="BF44" s="58" t="s">
        <v>161</v>
      </c>
      <c r="BG44" s="58" t="s">
        <v>161</v>
      </c>
      <c r="BH44" s="58" t="s">
        <v>161</v>
      </c>
      <c r="BI44" s="58" t="s">
        <v>161</v>
      </c>
      <c r="BJ44" s="58" t="s">
        <v>161</v>
      </c>
    </row>
  </sheetData>
  <mergeCells count="27"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  <mergeCell ref="C4:C7"/>
    <mergeCell ref="C8:C9"/>
    <mergeCell ref="C10:C11"/>
    <mergeCell ref="C12:C13"/>
    <mergeCell ref="C14:C15"/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1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218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73</v>
      </c>
      <c r="AL3" s="19" t="s">
        <v>74</v>
      </c>
      <c r="AM3" s="19" t="s">
        <v>75</v>
      </c>
      <c r="AN3" s="19" t="s">
        <v>76</v>
      </c>
      <c r="AO3" s="19" t="s">
        <v>77</v>
      </c>
      <c r="AP3" s="19" t="s">
        <v>78</v>
      </c>
      <c r="AQ3" s="19" t="s">
        <v>79</v>
      </c>
      <c r="AR3" s="19" t="s">
        <v>80</v>
      </c>
      <c r="AS3" s="19" t="s">
        <v>81</v>
      </c>
      <c r="AT3" s="19" t="s">
        <v>82</v>
      </c>
      <c r="AU3" s="19" t="s">
        <v>83</v>
      </c>
      <c r="AV3" s="18" t="s">
        <v>84</v>
      </c>
      <c r="AW3" s="18" t="s">
        <v>85</v>
      </c>
      <c r="AX3" s="18" t="s">
        <v>86</v>
      </c>
      <c r="AY3" s="18" t="s">
        <v>84</v>
      </c>
      <c r="AZ3" s="18" t="s">
        <v>85</v>
      </c>
      <c r="BA3" s="18" t="s">
        <v>86</v>
      </c>
      <c r="BB3" s="18" t="s">
        <v>87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84</v>
      </c>
      <c r="BH3" s="18" t="s">
        <v>85</v>
      </c>
      <c r="BI3" s="18" t="s">
        <v>86</v>
      </c>
    </row>
    <row r="4">
      <c r="A4" s="21" t="s">
        <v>160</v>
      </c>
      <c r="B4" s="22">
        <v>2006.0</v>
      </c>
      <c r="C4" s="23"/>
      <c r="D4" s="24" t="s">
        <v>89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>
        <v>17.0</v>
      </c>
      <c r="L4" s="24" t="s">
        <v>219</v>
      </c>
      <c r="M4" s="24" t="s">
        <v>219</v>
      </c>
      <c r="N4" s="24">
        <v>100.0</v>
      </c>
      <c r="O4" s="24">
        <v>58.0</v>
      </c>
      <c r="P4" s="24">
        <v>6.0</v>
      </c>
      <c r="Q4" s="24">
        <v>19.0</v>
      </c>
      <c r="R4" s="24">
        <v>10.0</v>
      </c>
      <c r="S4" s="24" t="s">
        <v>219</v>
      </c>
      <c r="T4" s="24">
        <v>7.0</v>
      </c>
      <c r="U4" s="24" t="s">
        <v>219</v>
      </c>
      <c r="V4" s="24">
        <v>0.0</v>
      </c>
      <c r="W4" s="24" t="s">
        <v>219</v>
      </c>
      <c r="X4" s="24">
        <v>2.0</v>
      </c>
      <c r="Y4" s="24">
        <v>3.0</v>
      </c>
      <c r="Z4" s="24">
        <v>1.0</v>
      </c>
      <c r="AA4" s="26" t="s">
        <v>162</v>
      </c>
      <c r="AB4" s="26" t="s">
        <v>220</v>
      </c>
      <c r="AC4" s="26">
        <v>1.0</v>
      </c>
      <c r="AD4" s="26">
        <v>2.0</v>
      </c>
      <c r="AE4" s="27" t="s">
        <v>221</v>
      </c>
      <c r="AF4" s="27">
        <v>115.0</v>
      </c>
      <c r="AG4" s="27">
        <v>115.0</v>
      </c>
      <c r="AH4" s="27">
        <v>115.0</v>
      </c>
      <c r="AI4" s="27">
        <v>115.0</v>
      </c>
      <c r="AJ4" s="27" t="s">
        <v>90</v>
      </c>
      <c r="AK4" s="27">
        <v>2.0</v>
      </c>
      <c r="AL4" s="27">
        <v>2.0</v>
      </c>
      <c r="AM4" s="27">
        <v>2.0</v>
      </c>
      <c r="AN4" s="27">
        <v>1.0</v>
      </c>
      <c r="AO4" s="27">
        <v>2.0</v>
      </c>
      <c r="AP4" s="27">
        <v>1.0</v>
      </c>
      <c r="AQ4" s="27">
        <v>1.0</v>
      </c>
      <c r="AR4" s="27">
        <v>180.0</v>
      </c>
      <c r="AS4" s="27">
        <v>3.0</v>
      </c>
      <c r="AT4" s="27">
        <v>21.0</v>
      </c>
      <c r="AU4" s="27">
        <v>100.0</v>
      </c>
      <c r="AV4" s="26">
        <v>115.0</v>
      </c>
      <c r="AW4" s="26">
        <v>2.21</v>
      </c>
      <c r="AX4" s="26">
        <v>0.89</v>
      </c>
      <c r="AY4" s="26">
        <v>115.0</v>
      </c>
      <c r="AZ4" s="26">
        <v>1.56</v>
      </c>
      <c r="BA4" s="26">
        <v>0.69</v>
      </c>
      <c r="BB4" s="26">
        <v>24.0</v>
      </c>
      <c r="BC4" s="26">
        <v>108.0</v>
      </c>
      <c r="BD4" s="26">
        <v>1.72</v>
      </c>
      <c r="BE4" s="26">
        <v>0.65</v>
      </c>
      <c r="BF4" s="26">
        <v>52.0</v>
      </c>
      <c r="BG4" s="26">
        <v>110.0</v>
      </c>
      <c r="BH4" s="26">
        <v>1.77</v>
      </c>
      <c r="BI4" s="26">
        <v>0.75</v>
      </c>
    </row>
    <row r="5">
      <c r="A5" s="21" t="s">
        <v>160</v>
      </c>
      <c r="B5" s="22">
        <v>2006.0</v>
      </c>
      <c r="C5" s="23"/>
      <c r="D5" s="24" t="s">
        <v>89</v>
      </c>
      <c r="E5" s="25">
        <v>2006.0</v>
      </c>
      <c r="F5" s="24">
        <v>1.0</v>
      </c>
      <c r="G5" s="24">
        <v>1.0</v>
      </c>
      <c r="H5" s="24">
        <v>1.0</v>
      </c>
      <c r="I5" s="24">
        <v>1.0</v>
      </c>
      <c r="J5" s="24">
        <v>1.0</v>
      </c>
      <c r="K5" s="24">
        <v>17.0</v>
      </c>
      <c r="L5" s="24" t="s">
        <v>219</v>
      </c>
      <c r="M5" s="24" t="s">
        <v>219</v>
      </c>
      <c r="N5" s="24">
        <v>100.0</v>
      </c>
      <c r="O5" s="24">
        <v>58.0</v>
      </c>
      <c r="P5" s="24">
        <v>6.0</v>
      </c>
      <c r="Q5" s="24">
        <v>19.0</v>
      </c>
      <c r="R5" s="24">
        <v>10.0</v>
      </c>
      <c r="S5" s="24" t="s">
        <v>219</v>
      </c>
      <c r="T5" s="24">
        <v>7.0</v>
      </c>
      <c r="U5" s="24" t="s">
        <v>219</v>
      </c>
      <c r="V5" s="24">
        <v>0.0</v>
      </c>
      <c r="W5" s="24" t="s">
        <v>219</v>
      </c>
      <c r="X5" s="24">
        <v>2.0</v>
      </c>
      <c r="Y5" s="24">
        <v>3.0</v>
      </c>
      <c r="Z5" s="24">
        <v>1.0</v>
      </c>
      <c r="AA5" s="26" t="s">
        <v>162</v>
      </c>
      <c r="AB5" s="26" t="s">
        <v>220</v>
      </c>
      <c r="AC5" s="26">
        <v>1.0</v>
      </c>
      <c r="AD5" s="26">
        <v>2.0</v>
      </c>
      <c r="AE5" s="27" t="s">
        <v>222</v>
      </c>
      <c r="AF5" s="27">
        <v>117.0</v>
      </c>
      <c r="AG5" s="27">
        <v>117.0</v>
      </c>
      <c r="AH5" s="27">
        <v>117.0</v>
      </c>
      <c r="AI5" s="27">
        <v>117.0</v>
      </c>
      <c r="AJ5" s="27" t="s">
        <v>90</v>
      </c>
      <c r="AK5" s="27">
        <v>2.0</v>
      </c>
      <c r="AL5" s="27">
        <v>1.0</v>
      </c>
      <c r="AM5" s="27">
        <v>2.0</v>
      </c>
      <c r="AN5" s="27">
        <v>1.0</v>
      </c>
      <c r="AO5" s="27">
        <v>2.0</v>
      </c>
      <c r="AP5" s="27">
        <v>1.0</v>
      </c>
      <c r="AQ5" s="27">
        <v>1.0</v>
      </c>
      <c r="AR5" s="27">
        <v>180.0</v>
      </c>
      <c r="AS5" s="27">
        <v>3.0</v>
      </c>
      <c r="AT5" s="27">
        <v>21.0</v>
      </c>
      <c r="AU5" s="27">
        <v>100.0</v>
      </c>
      <c r="AV5" s="26">
        <v>117.0</v>
      </c>
      <c r="AW5" s="26">
        <v>2.1</v>
      </c>
      <c r="AX5" s="26">
        <v>0.81</v>
      </c>
      <c r="AY5" s="26">
        <v>117.0</v>
      </c>
      <c r="AZ5" s="26">
        <v>1.61</v>
      </c>
      <c r="BA5" s="26">
        <v>0.75</v>
      </c>
      <c r="BB5" s="26">
        <v>24.0</v>
      </c>
      <c r="BC5" s="26">
        <v>111.0</v>
      </c>
      <c r="BD5" s="26">
        <v>1.83</v>
      </c>
      <c r="BE5" s="26">
        <v>0.79</v>
      </c>
      <c r="BF5" s="26">
        <v>52.0</v>
      </c>
      <c r="BG5" s="26">
        <v>110.0</v>
      </c>
      <c r="BH5" s="26">
        <v>1.84</v>
      </c>
      <c r="BI5" s="26">
        <v>0.84</v>
      </c>
    </row>
    <row r="6">
      <c r="A6" s="21" t="s">
        <v>160</v>
      </c>
      <c r="B6" s="22">
        <v>2006.0</v>
      </c>
      <c r="C6" s="23"/>
      <c r="D6" s="24" t="s">
        <v>89</v>
      </c>
      <c r="E6" s="25">
        <v>2006.0</v>
      </c>
      <c r="F6" s="24">
        <v>1.0</v>
      </c>
      <c r="G6" s="24">
        <v>1.0</v>
      </c>
      <c r="H6" s="24">
        <v>1.0</v>
      </c>
      <c r="I6" s="24">
        <v>1.0</v>
      </c>
      <c r="J6" s="24">
        <v>1.0</v>
      </c>
      <c r="K6" s="24">
        <v>17.0</v>
      </c>
      <c r="L6" s="24" t="s">
        <v>219</v>
      </c>
      <c r="M6" s="24" t="s">
        <v>219</v>
      </c>
      <c r="N6" s="24">
        <v>100.0</v>
      </c>
      <c r="O6" s="24">
        <v>58.0</v>
      </c>
      <c r="P6" s="24">
        <v>6.0</v>
      </c>
      <c r="Q6" s="24">
        <v>19.0</v>
      </c>
      <c r="R6" s="24">
        <v>10.0</v>
      </c>
      <c r="S6" s="24" t="s">
        <v>219</v>
      </c>
      <c r="T6" s="24">
        <v>7.0</v>
      </c>
      <c r="U6" s="24" t="s">
        <v>219</v>
      </c>
      <c r="V6" s="24">
        <v>0.0</v>
      </c>
      <c r="W6" s="24" t="s">
        <v>219</v>
      </c>
      <c r="X6" s="24">
        <v>2.0</v>
      </c>
      <c r="Y6" s="24">
        <v>3.0</v>
      </c>
      <c r="Z6" s="24">
        <v>1.0</v>
      </c>
      <c r="AA6" s="26" t="s">
        <v>162</v>
      </c>
      <c r="AB6" s="26" t="s">
        <v>220</v>
      </c>
      <c r="AC6" s="26">
        <v>1.0</v>
      </c>
      <c r="AD6" s="26">
        <v>2.0</v>
      </c>
      <c r="AE6" s="27" t="s">
        <v>170</v>
      </c>
      <c r="AF6" s="27">
        <v>123.0</v>
      </c>
      <c r="AG6" s="27">
        <v>123.0</v>
      </c>
      <c r="AH6" s="27">
        <v>123.0</v>
      </c>
      <c r="AI6" s="27">
        <v>123.0</v>
      </c>
      <c r="AJ6" s="27">
        <v>4.0</v>
      </c>
      <c r="AK6" s="27" t="s">
        <v>90</v>
      </c>
      <c r="AL6" s="27" t="s">
        <v>90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 t="s">
        <v>90</v>
      </c>
      <c r="AR6" s="27">
        <v>135.0</v>
      </c>
      <c r="AS6" s="27">
        <v>3.0</v>
      </c>
      <c r="AT6" s="27">
        <v>21.0</v>
      </c>
      <c r="AU6" s="27">
        <v>100.0</v>
      </c>
      <c r="AV6" s="26">
        <v>123.0</v>
      </c>
      <c r="AW6" s="26">
        <v>2.15</v>
      </c>
      <c r="AX6" s="26">
        <v>0.95</v>
      </c>
      <c r="AY6" s="26">
        <v>123.0</v>
      </c>
      <c r="AZ6" s="26">
        <v>1.87</v>
      </c>
      <c r="BA6" s="26">
        <v>0.81</v>
      </c>
      <c r="BB6" s="26">
        <v>24.0</v>
      </c>
      <c r="BC6" s="26">
        <v>121.0</v>
      </c>
      <c r="BD6" s="26">
        <v>1.86</v>
      </c>
      <c r="BE6" s="26">
        <v>0.75</v>
      </c>
      <c r="BF6" s="26">
        <v>52.0</v>
      </c>
      <c r="BG6" s="26">
        <v>120.0</v>
      </c>
      <c r="BH6" s="26">
        <v>1.85</v>
      </c>
      <c r="BI6" s="26">
        <v>0.73</v>
      </c>
    </row>
    <row r="7">
      <c r="A7" s="21" t="s">
        <v>160</v>
      </c>
      <c r="B7" s="22">
        <v>2006.0</v>
      </c>
      <c r="C7" s="23"/>
      <c r="D7" s="24" t="s">
        <v>89</v>
      </c>
      <c r="E7" s="25">
        <v>2006.0</v>
      </c>
      <c r="F7" s="24">
        <v>1.0</v>
      </c>
      <c r="G7" s="24">
        <v>1.0</v>
      </c>
      <c r="H7" s="24">
        <v>1.0</v>
      </c>
      <c r="I7" s="24">
        <v>1.0</v>
      </c>
      <c r="J7" s="24">
        <v>1.0</v>
      </c>
      <c r="K7" s="24">
        <v>17.0</v>
      </c>
      <c r="L7" s="24" t="s">
        <v>219</v>
      </c>
      <c r="M7" s="24" t="s">
        <v>219</v>
      </c>
      <c r="N7" s="24">
        <v>100.0</v>
      </c>
      <c r="O7" s="24">
        <v>58.0</v>
      </c>
      <c r="P7" s="24">
        <v>6.0</v>
      </c>
      <c r="Q7" s="24">
        <v>19.0</v>
      </c>
      <c r="R7" s="24">
        <v>10.0</v>
      </c>
      <c r="S7" s="24" t="s">
        <v>219</v>
      </c>
      <c r="T7" s="24">
        <v>7.0</v>
      </c>
      <c r="U7" s="24" t="s">
        <v>219</v>
      </c>
      <c r="V7" s="24">
        <v>0.0</v>
      </c>
      <c r="W7" s="24" t="s">
        <v>219</v>
      </c>
      <c r="X7" s="24">
        <v>2.0</v>
      </c>
      <c r="Y7" s="24">
        <v>3.0</v>
      </c>
      <c r="Z7" s="24">
        <v>1.0</v>
      </c>
      <c r="AA7" s="26" t="s">
        <v>162</v>
      </c>
      <c r="AB7" s="26" t="s">
        <v>220</v>
      </c>
      <c r="AC7" s="26">
        <v>1.0</v>
      </c>
      <c r="AD7" s="26">
        <v>2.0</v>
      </c>
      <c r="AE7" s="27" t="s">
        <v>170</v>
      </c>
      <c r="AF7" s="27">
        <v>126.0</v>
      </c>
      <c r="AG7" s="27">
        <v>126.0</v>
      </c>
      <c r="AH7" s="27" t="s">
        <v>90</v>
      </c>
      <c r="AI7" s="27" t="s">
        <v>90</v>
      </c>
      <c r="AJ7" s="27">
        <v>1.0</v>
      </c>
      <c r="AK7" s="27" t="s">
        <v>90</v>
      </c>
      <c r="AL7" s="27" t="s">
        <v>90</v>
      </c>
      <c r="AM7" s="27" t="s">
        <v>90</v>
      </c>
      <c r="AN7" s="27" t="s">
        <v>90</v>
      </c>
      <c r="AO7" s="27" t="s">
        <v>90</v>
      </c>
      <c r="AP7" s="27" t="s">
        <v>90</v>
      </c>
      <c r="AQ7" s="27" t="s">
        <v>90</v>
      </c>
      <c r="AR7" s="27" t="s">
        <v>90</v>
      </c>
      <c r="AS7" s="27" t="s">
        <v>90</v>
      </c>
      <c r="AT7" s="27" t="s">
        <v>90</v>
      </c>
      <c r="AU7" s="27" t="s">
        <v>90</v>
      </c>
      <c r="AV7" s="26">
        <v>126.0</v>
      </c>
      <c r="AW7" s="26">
        <v>2.22</v>
      </c>
      <c r="AX7" s="26">
        <v>0.92</v>
      </c>
      <c r="AY7" s="26">
        <v>126.0</v>
      </c>
      <c r="AZ7" s="26">
        <v>1.92</v>
      </c>
      <c r="BA7" s="26">
        <v>0.84</v>
      </c>
      <c r="BB7" s="26">
        <v>24.0</v>
      </c>
      <c r="BC7" s="26">
        <v>123.0</v>
      </c>
      <c r="BD7" s="26">
        <v>1.93</v>
      </c>
      <c r="BE7" s="26">
        <v>0.84</v>
      </c>
      <c r="BF7" s="26">
        <v>52.0</v>
      </c>
      <c r="BG7" s="26">
        <v>121.0</v>
      </c>
      <c r="BH7" s="26">
        <v>1.92</v>
      </c>
      <c r="BI7" s="26">
        <v>0.83</v>
      </c>
    </row>
    <row r="8">
      <c r="A8" s="21" t="s">
        <v>168</v>
      </c>
      <c r="B8" s="22">
        <v>2006.0</v>
      </c>
      <c r="C8" s="28" t="s">
        <v>223</v>
      </c>
      <c r="D8" s="24" t="s">
        <v>89</v>
      </c>
      <c r="E8" s="25">
        <v>2006.0</v>
      </c>
      <c r="F8" s="24">
        <v>2.0</v>
      </c>
      <c r="G8" s="24">
        <v>1.0</v>
      </c>
      <c r="H8" s="24">
        <v>1.0</v>
      </c>
      <c r="I8" s="24">
        <v>1.0</v>
      </c>
      <c r="J8" s="24">
        <v>1.0</v>
      </c>
      <c r="K8" s="24">
        <v>12.43</v>
      </c>
      <c r="L8" s="24">
        <v>10.0</v>
      </c>
      <c r="M8" s="24">
        <v>15.0</v>
      </c>
      <c r="N8" s="24">
        <v>100.0</v>
      </c>
      <c r="O8" s="24">
        <v>81.0</v>
      </c>
      <c r="P8" s="24" t="s">
        <v>219</v>
      </c>
      <c r="Q8" s="24">
        <v>7.0</v>
      </c>
      <c r="R8" s="24">
        <v>1.0</v>
      </c>
      <c r="S8" s="24" t="s">
        <v>219</v>
      </c>
      <c r="T8" s="24">
        <v>10.0</v>
      </c>
      <c r="U8" s="24" t="s">
        <v>219</v>
      </c>
      <c r="V8" s="24">
        <v>0.0</v>
      </c>
      <c r="W8" s="24" t="s">
        <v>219</v>
      </c>
      <c r="X8" s="24">
        <v>2.0</v>
      </c>
      <c r="Y8" s="24">
        <v>3.0</v>
      </c>
      <c r="Z8" s="24">
        <v>2.0</v>
      </c>
      <c r="AA8" s="26" t="s">
        <v>162</v>
      </c>
      <c r="AB8" s="26" t="s">
        <v>220</v>
      </c>
      <c r="AC8" s="26">
        <v>1.0</v>
      </c>
      <c r="AD8" s="26">
        <v>2.0</v>
      </c>
      <c r="AE8" s="27" t="s">
        <v>169</v>
      </c>
      <c r="AF8" s="27">
        <v>39.0</v>
      </c>
      <c r="AG8" s="27">
        <v>39.0</v>
      </c>
      <c r="AH8" s="27">
        <v>39.0</v>
      </c>
      <c r="AI8" s="27">
        <v>37.0</v>
      </c>
      <c r="AJ8" s="27" t="s">
        <v>90</v>
      </c>
      <c r="AK8" s="27">
        <v>2.0</v>
      </c>
      <c r="AL8" s="27">
        <v>2.0</v>
      </c>
      <c r="AM8" s="27">
        <v>2.0</v>
      </c>
      <c r="AN8" s="27">
        <v>1.0</v>
      </c>
      <c r="AO8" s="27">
        <v>1.0</v>
      </c>
      <c r="AP8" s="27">
        <v>2.0</v>
      </c>
      <c r="AQ8" s="27">
        <v>2.0</v>
      </c>
      <c r="AR8" s="27">
        <v>270.0</v>
      </c>
      <c r="AS8" s="27">
        <v>3.0</v>
      </c>
      <c r="AT8" s="27">
        <v>21.0</v>
      </c>
      <c r="AU8" s="27">
        <v>94.87</v>
      </c>
      <c r="AV8" s="26">
        <v>39.0</v>
      </c>
      <c r="AW8" s="26">
        <v>28.69</v>
      </c>
      <c r="AX8" s="26">
        <v>11.43</v>
      </c>
      <c r="AY8" s="26" t="s">
        <v>219</v>
      </c>
      <c r="AZ8" s="26">
        <v>26.85</v>
      </c>
      <c r="BA8" s="26">
        <v>11.59</v>
      </c>
      <c r="BB8" s="26">
        <v>15.0</v>
      </c>
      <c r="BC8" s="26" t="s">
        <v>219</v>
      </c>
      <c r="BD8" s="26">
        <v>25.71</v>
      </c>
      <c r="BE8" s="26">
        <v>9.78</v>
      </c>
      <c r="BF8" s="26" t="s">
        <v>90</v>
      </c>
      <c r="BG8" s="26" t="s">
        <v>90</v>
      </c>
      <c r="BH8" s="26" t="s">
        <v>90</v>
      </c>
      <c r="BI8" s="26" t="s">
        <v>90</v>
      </c>
    </row>
    <row r="9">
      <c r="A9" s="21" t="s">
        <v>168</v>
      </c>
      <c r="B9" s="22">
        <v>2006.0</v>
      </c>
      <c r="C9" s="28"/>
      <c r="D9" s="24" t="s">
        <v>89</v>
      </c>
      <c r="E9" s="25">
        <v>2006.0</v>
      </c>
      <c r="F9" s="24">
        <v>2.0</v>
      </c>
      <c r="G9" s="24">
        <v>1.0</v>
      </c>
      <c r="H9" s="24">
        <v>1.0</v>
      </c>
      <c r="I9" s="24">
        <v>1.0</v>
      </c>
      <c r="J9" s="24">
        <v>1.0</v>
      </c>
      <c r="K9" s="24">
        <v>12.43</v>
      </c>
      <c r="L9" s="24">
        <v>10.0</v>
      </c>
      <c r="M9" s="24">
        <v>15.0</v>
      </c>
      <c r="N9" s="24">
        <v>100.0</v>
      </c>
      <c r="O9" s="24">
        <v>81.0</v>
      </c>
      <c r="P9" s="24" t="s">
        <v>219</v>
      </c>
      <c r="Q9" s="24">
        <v>7.0</v>
      </c>
      <c r="R9" s="24">
        <v>1.0</v>
      </c>
      <c r="S9" s="24" t="s">
        <v>219</v>
      </c>
      <c r="T9" s="24">
        <v>10.0</v>
      </c>
      <c r="U9" s="24" t="s">
        <v>219</v>
      </c>
      <c r="V9" s="24">
        <v>0.0</v>
      </c>
      <c r="W9" s="24" t="s">
        <v>219</v>
      </c>
      <c r="X9" s="24">
        <v>2.0</v>
      </c>
      <c r="Y9" s="24">
        <v>3.0</v>
      </c>
      <c r="Z9" s="24">
        <v>2.0</v>
      </c>
      <c r="AA9" s="26" t="s">
        <v>162</v>
      </c>
      <c r="AB9" s="26" t="s">
        <v>220</v>
      </c>
      <c r="AC9" s="26">
        <v>1.0</v>
      </c>
      <c r="AD9" s="26">
        <v>2.0</v>
      </c>
      <c r="AE9" s="27" t="s">
        <v>170</v>
      </c>
      <c r="AF9" s="27">
        <v>42.0</v>
      </c>
      <c r="AG9" s="27">
        <v>42.0</v>
      </c>
      <c r="AH9" s="27" t="s">
        <v>90</v>
      </c>
      <c r="AI9" s="27" t="s">
        <v>90</v>
      </c>
      <c r="AJ9" s="27">
        <v>1.0</v>
      </c>
      <c r="AK9" s="27" t="s">
        <v>90</v>
      </c>
      <c r="AL9" s="27" t="s">
        <v>90</v>
      </c>
      <c r="AM9" s="27" t="s">
        <v>90</v>
      </c>
      <c r="AN9" s="27" t="s">
        <v>90</v>
      </c>
      <c r="AO9" s="27" t="s">
        <v>90</v>
      </c>
      <c r="AP9" s="27" t="s">
        <v>90</v>
      </c>
      <c r="AQ9" s="27" t="s">
        <v>90</v>
      </c>
      <c r="AR9" s="27" t="s">
        <v>90</v>
      </c>
      <c r="AS9" s="27" t="s">
        <v>90</v>
      </c>
      <c r="AT9" s="27" t="s">
        <v>90</v>
      </c>
      <c r="AU9" s="27" t="s">
        <v>90</v>
      </c>
      <c r="AV9" s="26">
        <v>42.0</v>
      </c>
      <c r="AW9" s="26">
        <v>27.89</v>
      </c>
      <c r="AX9" s="26">
        <v>12.8</v>
      </c>
      <c r="AY9" s="26" t="s">
        <v>219</v>
      </c>
      <c r="AZ9" s="26">
        <v>27.79</v>
      </c>
      <c r="BA9" s="26">
        <v>12.43</v>
      </c>
      <c r="BB9" s="26">
        <v>15.0</v>
      </c>
      <c r="BC9" s="26" t="s">
        <v>219</v>
      </c>
      <c r="BD9" s="26">
        <v>24.67</v>
      </c>
      <c r="BE9" s="26">
        <v>8.13</v>
      </c>
      <c r="BF9" s="26" t="s">
        <v>90</v>
      </c>
      <c r="BG9" s="26" t="s">
        <v>90</v>
      </c>
      <c r="BH9" s="26" t="s">
        <v>90</v>
      </c>
      <c r="BI9" s="26" t="s">
        <v>90</v>
      </c>
    </row>
    <row r="10">
      <c r="A10" s="21" t="s">
        <v>171</v>
      </c>
      <c r="B10" s="22">
        <v>2007.0</v>
      </c>
      <c r="C10" s="23"/>
      <c r="D10" s="24" t="s">
        <v>89</v>
      </c>
      <c r="E10" s="25">
        <v>2007.0</v>
      </c>
      <c r="F10" s="24">
        <v>1.0</v>
      </c>
      <c r="G10" s="24">
        <v>1.0</v>
      </c>
      <c r="H10" s="24">
        <v>1.0</v>
      </c>
      <c r="I10" s="24">
        <v>1.0</v>
      </c>
      <c r="J10" s="24">
        <v>1.0</v>
      </c>
      <c r="K10" s="24">
        <v>17.1</v>
      </c>
      <c r="L10" s="24" t="s">
        <v>219</v>
      </c>
      <c r="M10" s="24" t="s">
        <v>219</v>
      </c>
      <c r="N10" s="24">
        <v>100.0</v>
      </c>
      <c r="O10" s="24">
        <v>61.0</v>
      </c>
      <c r="P10" s="24">
        <v>5.0</v>
      </c>
      <c r="Q10" s="24">
        <v>17.0</v>
      </c>
      <c r="R10" s="24">
        <v>11.0</v>
      </c>
      <c r="S10" s="24" t="s">
        <v>219</v>
      </c>
      <c r="T10" s="24">
        <v>6.0</v>
      </c>
      <c r="U10" s="24" t="s">
        <v>219</v>
      </c>
      <c r="V10" s="24">
        <v>0.0</v>
      </c>
      <c r="W10" s="24" t="s">
        <v>219</v>
      </c>
      <c r="X10" s="24">
        <v>2.0</v>
      </c>
      <c r="Y10" s="24">
        <v>3.0</v>
      </c>
      <c r="Z10" s="24">
        <v>1.0</v>
      </c>
      <c r="AA10" s="26" t="s">
        <v>162</v>
      </c>
      <c r="AB10" s="26" t="s">
        <v>220</v>
      </c>
      <c r="AC10" s="26">
        <v>1.0</v>
      </c>
      <c r="AD10" s="26">
        <v>2.0</v>
      </c>
      <c r="AE10" s="27" t="s">
        <v>221</v>
      </c>
      <c r="AF10" s="27" t="s">
        <v>90</v>
      </c>
      <c r="AG10" s="27"/>
      <c r="AH10" s="27"/>
      <c r="AI10" s="27"/>
      <c r="AJ10" s="27" t="s">
        <v>90</v>
      </c>
      <c r="AK10" s="27">
        <v>2.0</v>
      </c>
      <c r="AL10" s="27">
        <v>2.0</v>
      </c>
      <c r="AM10" s="27">
        <v>2.0</v>
      </c>
      <c r="AN10" s="27">
        <v>1.0</v>
      </c>
      <c r="AO10" s="27">
        <v>2.0</v>
      </c>
      <c r="AP10" s="27">
        <v>1.0</v>
      </c>
      <c r="AQ10" s="27">
        <v>1.0</v>
      </c>
      <c r="AR10" s="27">
        <v>180.0</v>
      </c>
      <c r="AS10" s="27">
        <v>3.0</v>
      </c>
      <c r="AT10" s="27">
        <v>21.0</v>
      </c>
      <c r="AU10" s="27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21" t="s">
        <v>171</v>
      </c>
      <c r="B11" s="22">
        <v>2007.0</v>
      </c>
      <c r="C11" s="23"/>
      <c r="D11" s="24" t="s">
        <v>89</v>
      </c>
      <c r="E11" s="25">
        <v>2007.0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17.1</v>
      </c>
      <c r="L11" s="24" t="s">
        <v>219</v>
      </c>
      <c r="M11" s="24" t="s">
        <v>219</v>
      </c>
      <c r="N11" s="24">
        <v>100.0</v>
      </c>
      <c r="O11" s="24">
        <v>61.0</v>
      </c>
      <c r="P11" s="24">
        <v>5.0</v>
      </c>
      <c r="Q11" s="24">
        <v>17.0</v>
      </c>
      <c r="R11" s="24">
        <v>11.0</v>
      </c>
      <c r="S11" s="24" t="s">
        <v>219</v>
      </c>
      <c r="T11" s="24">
        <v>6.0</v>
      </c>
      <c r="U11" s="24" t="s">
        <v>219</v>
      </c>
      <c r="V11" s="24">
        <v>0.0</v>
      </c>
      <c r="W11" s="24" t="s">
        <v>219</v>
      </c>
      <c r="X11" s="24">
        <v>2.0</v>
      </c>
      <c r="Y11" s="24">
        <v>3.0</v>
      </c>
      <c r="Z11" s="24">
        <v>1.0</v>
      </c>
      <c r="AA11" s="26" t="s">
        <v>162</v>
      </c>
      <c r="AB11" s="26" t="s">
        <v>220</v>
      </c>
      <c r="AC11" s="26">
        <v>1.0</v>
      </c>
      <c r="AD11" s="26">
        <v>2.0</v>
      </c>
      <c r="AE11" s="27" t="s">
        <v>222</v>
      </c>
      <c r="AF11" s="27" t="s">
        <v>90</v>
      </c>
      <c r="AG11" s="27"/>
      <c r="AH11" s="27"/>
      <c r="AI11" s="27"/>
      <c r="AJ11" s="27" t="s">
        <v>90</v>
      </c>
      <c r="AK11" s="27">
        <v>2.0</v>
      </c>
      <c r="AL11" s="27">
        <v>1.0</v>
      </c>
      <c r="AM11" s="27">
        <v>2.0</v>
      </c>
      <c r="AN11" s="27">
        <v>1.0</v>
      </c>
      <c r="AO11" s="27">
        <v>2.0</v>
      </c>
      <c r="AP11" s="27">
        <v>1.0</v>
      </c>
      <c r="AQ11" s="27">
        <v>1.0</v>
      </c>
      <c r="AR11" s="27">
        <v>180.0</v>
      </c>
      <c r="AS11" s="27">
        <v>3.0</v>
      </c>
      <c r="AT11" s="27">
        <v>21.0</v>
      </c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21" t="s">
        <v>173</v>
      </c>
      <c r="B12" s="22">
        <v>2007.0</v>
      </c>
      <c r="C12" s="23"/>
      <c r="D12" s="24" t="s">
        <v>89</v>
      </c>
      <c r="E12" s="25">
        <v>2007.0</v>
      </c>
      <c r="F12" s="24">
        <v>1.0</v>
      </c>
      <c r="G12" s="24">
        <v>3.0</v>
      </c>
      <c r="H12" s="24">
        <v>1.0</v>
      </c>
      <c r="I12" s="24">
        <v>1.0</v>
      </c>
      <c r="J12" s="24">
        <v>2.0</v>
      </c>
      <c r="K12" s="24">
        <v>14.4</v>
      </c>
      <c r="L12" s="24" t="s">
        <v>219</v>
      </c>
      <c r="M12" s="24" t="s">
        <v>219</v>
      </c>
      <c r="N12" s="24">
        <v>100.0</v>
      </c>
      <c r="O12" s="24">
        <v>95.18</v>
      </c>
      <c r="P12" s="24">
        <v>0.0</v>
      </c>
      <c r="Q12" s="24">
        <v>0.0</v>
      </c>
      <c r="R12" s="24">
        <v>4.82</v>
      </c>
      <c r="S12" s="24">
        <v>0.0</v>
      </c>
      <c r="T12" s="24">
        <v>0.0</v>
      </c>
      <c r="U12" s="24" t="s">
        <v>219</v>
      </c>
      <c r="V12" s="24">
        <v>0.0</v>
      </c>
      <c r="W12" s="24" t="s">
        <v>219</v>
      </c>
      <c r="X12" s="24">
        <v>2.0</v>
      </c>
      <c r="Y12" s="24">
        <v>5.0</v>
      </c>
      <c r="Z12" s="24">
        <v>2.0</v>
      </c>
      <c r="AA12" s="26" t="s">
        <v>174</v>
      </c>
      <c r="AB12" s="26" t="s">
        <v>224</v>
      </c>
      <c r="AC12" s="26">
        <v>1.0</v>
      </c>
      <c r="AD12" s="26">
        <v>1.0</v>
      </c>
      <c r="AE12" s="27" t="s">
        <v>169</v>
      </c>
      <c r="AF12" s="27">
        <v>40.0</v>
      </c>
      <c r="AG12" s="27">
        <v>40.0</v>
      </c>
      <c r="AH12" s="27">
        <v>36.0</v>
      </c>
      <c r="AI12" s="27">
        <v>28.0</v>
      </c>
      <c r="AJ12" s="27" t="s">
        <v>90</v>
      </c>
      <c r="AK12" s="27">
        <v>2.0</v>
      </c>
      <c r="AL12" s="27">
        <v>1.0</v>
      </c>
      <c r="AM12" s="27">
        <v>2.0</v>
      </c>
      <c r="AN12" s="27">
        <v>1.0</v>
      </c>
      <c r="AO12" s="27">
        <v>2.0</v>
      </c>
      <c r="AP12" s="27" t="s">
        <v>219</v>
      </c>
      <c r="AQ12" s="27" t="s">
        <v>219</v>
      </c>
      <c r="AR12" s="27">
        <v>540.0</v>
      </c>
      <c r="AS12" s="27">
        <v>6.0</v>
      </c>
      <c r="AT12" s="27">
        <v>42.0</v>
      </c>
      <c r="AU12" s="27">
        <v>70.0</v>
      </c>
      <c r="AV12" s="26">
        <v>36.0</v>
      </c>
      <c r="AW12" s="26">
        <v>12.97</v>
      </c>
      <c r="AX12" s="26">
        <v>9.41</v>
      </c>
      <c r="AY12" s="26">
        <v>36.0</v>
      </c>
      <c r="AZ12" s="26">
        <v>7.53</v>
      </c>
      <c r="BA12" s="26">
        <v>8.54</v>
      </c>
      <c r="BB12" s="26">
        <v>8.0</v>
      </c>
      <c r="BC12" s="26">
        <v>25.0</v>
      </c>
      <c r="BD12" s="26">
        <v>3.84</v>
      </c>
      <c r="BE12" s="26">
        <v>5.03</v>
      </c>
      <c r="BF12" s="26">
        <v>24.0</v>
      </c>
      <c r="BG12" s="26">
        <v>18.0</v>
      </c>
      <c r="BH12" s="26">
        <v>3.22</v>
      </c>
      <c r="BI12" s="26">
        <v>2.67</v>
      </c>
    </row>
    <row r="13">
      <c r="A13" s="21" t="s">
        <v>173</v>
      </c>
      <c r="B13" s="22">
        <v>2007.0</v>
      </c>
      <c r="C13" s="23"/>
      <c r="D13" s="24" t="s">
        <v>89</v>
      </c>
      <c r="E13" s="25">
        <v>2007.0</v>
      </c>
      <c r="F13" s="24">
        <v>1.0</v>
      </c>
      <c r="G13" s="24">
        <v>3.0</v>
      </c>
      <c r="H13" s="24">
        <v>1.0</v>
      </c>
      <c r="I13" s="24">
        <v>1.0</v>
      </c>
      <c r="J13" s="24">
        <v>2.0</v>
      </c>
      <c r="K13" s="24">
        <v>14.4</v>
      </c>
      <c r="L13" s="24" t="s">
        <v>219</v>
      </c>
      <c r="M13" s="24" t="s">
        <v>219</v>
      </c>
      <c r="N13" s="24">
        <v>100.0</v>
      </c>
      <c r="O13" s="24">
        <v>95.18</v>
      </c>
      <c r="P13" s="24">
        <v>0.0</v>
      </c>
      <c r="Q13" s="24">
        <v>0.0</v>
      </c>
      <c r="R13" s="24">
        <v>4.82</v>
      </c>
      <c r="S13" s="24">
        <v>0.0</v>
      </c>
      <c r="T13" s="24">
        <v>0.0</v>
      </c>
      <c r="U13" s="24" t="s">
        <v>219</v>
      </c>
      <c r="V13" s="24">
        <v>0.0</v>
      </c>
      <c r="W13" s="24" t="s">
        <v>219</v>
      </c>
      <c r="X13" s="24">
        <v>2.0</v>
      </c>
      <c r="Y13" s="24">
        <v>5.0</v>
      </c>
      <c r="Z13" s="24">
        <v>2.0</v>
      </c>
      <c r="AA13" s="26" t="s">
        <v>174</v>
      </c>
      <c r="AB13" s="26" t="s">
        <v>224</v>
      </c>
      <c r="AC13" s="26">
        <v>1.0</v>
      </c>
      <c r="AD13" s="26">
        <v>1.0</v>
      </c>
      <c r="AE13" s="27" t="s">
        <v>170</v>
      </c>
      <c r="AF13" s="27">
        <v>43.0</v>
      </c>
      <c r="AG13" s="27">
        <v>43.0</v>
      </c>
      <c r="AH13" s="27">
        <v>37.0</v>
      </c>
      <c r="AI13" s="27">
        <v>34.0</v>
      </c>
      <c r="AJ13" s="27">
        <v>1.0</v>
      </c>
      <c r="AK13" s="27" t="s">
        <v>90</v>
      </c>
      <c r="AL13" s="27" t="s">
        <v>90</v>
      </c>
      <c r="AM13" s="27" t="s">
        <v>90</v>
      </c>
      <c r="AN13" s="27" t="s">
        <v>90</v>
      </c>
      <c r="AO13" s="27" t="s">
        <v>90</v>
      </c>
      <c r="AP13" s="27" t="s">
        <v>90</v>
      </c>
      <c r="AQ13" s="27" t="s">
        <v>90</v>
      </c>
      <c r="AR13" s="27" t="s">
        <v>90</v>
      </c>
      <c r="AS13" s="27" t="s">
        <v>90</v>
      </c>
      <c r="AT13" s="27" t="s">
        <v>90</v>
      </c>
      <c r="AU13" s="27" t="s">
        <v>90</v>
      </c>
      <c r="AV13" s="26">
        <v>37.0</v>
      </c>
      <c r="AW13" s="26">
        <v>14.12</v>
      </c>
      <c r="AX13" s="26">
        <v>9.69</v>
      </c>
      <c r="AY13" s="26">
        <v>37.0</v>
      </c>
      <c r="AZ13" s="26">
        <v>12.35</v>
      </c>
      <c r="BA13" s="26">
        <v>10.03</v>
      </c>
      <c r="BB13" s="26" t="s">
        <v>90</v>
      </c>
      <c r="BC13" s="26" t="s">
        <v>90</v>
      </c>
      <c r="BD13" s="26" t="s">
        <v>90</v>
      </c>
      <c r="BE13" s="26" t="s">
        <v>90</v>
      </c>
      <c r="BF13" s="26" t="s">
        <v>90</v>
      </c>
      <c r="BG13" s="26" t="s">
        <v>90</v>
      </c>
      <c r="BH13" s="26" t="s">
        <v>90</v>
      </c>
      <c r="BI13" s="26" t="s">
        <v>90</v>
      </c>
    </row>
    <row r="14">
      <c r="A14" s="21" t="s">
        <v>176</v>
      </c>
      <c r="B14" s="22">
        <v>2009.0</v>
      </c>
      <c r="C14" s="23"/>
      <c r="D14" s="24" t="s">
        <v>89</v>
      </c>
      <c r="E14" s="25">
        <v>2009.0</v>
      </c>
      <c r="F14" s="24">
        <v>1.0</v>
      </c>
      <c r="G14" s="24">
        <v>3.0</v>
      </c>
      <c r="H14" s="24">
        <v>1.0</v>
      </c>
      <c r="I14" s="24">
        <v>2.0</v>
      </c>
      <c r="J14" s="24">
        <v>2.0</v>
      </c>
      <c r="K14" s="24">
        <v>13.62</v>
      </c>
      <c r="L14" s="24" t="s">
        <v>219</v>
      </c>
      <c r="M14" s="24" t="s">
        <v>219</v>
      </c>
      <c r="N14" s="24">
        <v>50.6</v>
      </c>
      <c r="O14" s="24" t="s">
        <v>219</v>
      </c>
      <c r="P14" s="24" t="s">
        <v>219</v>
      </c>
      <c r="Q14" s="24" t="s">
        <v>219</v>
      </c>
      <c r="R14" s="24" t="s">
        <v>219</v>
      </c>
      <c r="S14" s="24" t="s">
        <v>219</v>
      </c>
      <c r="T14" s="24" t="s">
        <v>219</v>
      </c>
      <c r="U14" s="24" t="s">
        <v>219</v>
      </c>
      <c r="V14" s="24" t="s">
        <v>219</v>
      </c>
      <c r="W14" s="24" t="s">
        <v>219</v>
      </c>
      <c r="X14" s="24">
        <v>4.0</v>
      </c>
      <c r="Y14" s="24">
        <v>1.0</v>
      </c>
      <c r="Z14" s="24">
        <v>2.0</v>
      </c>
      <c r="AA14" s="26" t="s">
        <v>178</v>
      </c>
      <c r="AB14" s="26" t="s">
        <v>225</v>
      </c>
      <c r="AC14" s="26">
        <v>1.0</v>
      </c>
      <c r="AD14" s="26">
        <v>1.0</v>
      </c>
      <c r="AE14" s="27" t="s">
        <v>169</v>
      </c>
      <c r="AF14" s="62">
        <v>11.0</v>
      </c>
      <c r="AG14" s="27">
        <v>233.0</v>
      </c>
      <c r="AH14" s="27">
        <v>233.0</v>
      </c>
      <c r="AI14" s="27" t="s">
        <v>219</v>
      </c>
      <c r="AJ14" s="27" t="s">
        <v>90</v>
      </c>
      <c r="AK14" s="27">
        <v>2.0</v>
      </c>
      <c r="AL14" s="27">
        <v>2.0</v>
      </c>
      <c r="AM14" s="27">
        <v>2.0</v>
      </c>
      <c r="AN14" s="27" t="s">
        <v>219</v>
      </c>
      <c r="AO14" s="27" t="s">
        <v>219</v>
      </c>
      <c r="AP14" s="27" t="s">
        <v>219</v>
      </c>
      <c r="AQ14" s="27" t="s">
        <v>219</v>
      </c>
      <c r="AR14" s="27">
        <v>400.0</v>
      </c>
      <c r="AS14" s="27">
        <v>8.0</v>
      </c>
      <c r="AT14" s="27">
        <v>28.0</v>
      </c>
      <c r="AU14" s="27" t="s">
        <v>219</v>
      </c>
      <c r="AV14" s="26" t="s">
        <v>219</v>
      </c>
      <c r="AW14" s="26">
        <v>0.47</v>
      </c>
      <c r="AX14" s="26" t="s">
        <v>219</v>
      </c>
      <c r="AY14" s="26">
        <v>209.0</v>
      </c>
      <c r="AZ14" s="26" t="s">
        <v>226</v>
      </c>
      <c r="BA14" s="26" t="s">
        <v>227</v>
      </c>
      <c r="BB14" s="26">
        <v>24.0</v>
      </c>
      <c r="BC14" s="26">
        <v>200.0</v>
      </c>
      <c r="BD14" s="26" t="s">
        <v>228</v>
      </c>
      <c r="BE14" s="26" t="s">
        <v>229</v>
      </c>
      <c r="BF14" s="26">
        <v>120.0</v>
      </c>
      <c r="BG14" s="26">
        <v>126.0</v>
      </c>
      <c r="BH14" s="26" t="s">
        <v>230</v>
      </c>
      <c r="BI14" s="26" t="s">
        <v>231</v>
      </c>
    </row>
    <row r="15">
      <c r="A15" s="21" t="s">
        <v>176</v>
      </c>
      <c r="B15" s="22">
        <v>2009.0</v>
      </c>
      <c r="C15" s="23"/>
      <c r="D15" s="24" t="s">
        <v>89</v>
      </c>
      <c r="E15" s="25">
        <v>2009.0</v>
      </c>
      <c r="F15" s="24">
        <v>1.0</v>
      </c>
      <c r="G15" s="24">
        <v>3.0</v>
      </c>
      <c r="H15" s="24">
        <v>1.0</v>
      </c>
      <c r="I15" s="24">
        <v>2.0</v>
      </c>
      <c r="J15" s="24">
        <v>2.0</v>
      </c>
      <c r="K15" s="24">
        <v>13.62</v>
      </c>
      <c r="L15" s="24" t="s">
        <v>219</v>
      </c>
      <c r="M15" s="24" t="s">
        <v>219</v>
      </c>
      <c r="N15" s="24">
        <v>50.6</v>
      </c>
      <c r="O15" s="24" t="s">
        <v>219</v>
      </c>
      <c r="P15" s="24" t="s">
        <v>219</v>
      </c>
      <c r="Q15" s="24" t="s">
        <v>219</v>
      </c>
      <c r="R15" s="24" t="s">
        <v>219</v>
      </c>
      <c r="S15" s="24" t="s">
        <v>219</v>
      </c>
      <c r="T15" s="24" t="s">
        <v>219</v>
      </c>
      <c r="U15" s="24" t="s">
        <v>219</v>
      </c>
      <c r="V15" s="24" t="s">
        <v>219</v>
      </c>
      <c r="W15" s="24" t="s">
        <v>219</v>
      </c>
      <c r="X15" s="24">
        <v>4.0</v>
      </c>
      <c r="Y15" s="24">
        <v>1.0</v>
      </c>
      <c r="Z15" s="24">
        <v>2.0</v>
      </c>
      <c r="AA15" s="26" t="s">
        <v>178</v>
      </c>
      <c r="AB15" s="26" t="s">
        <v>225</v>
      </c>
      <c r="AC15" s="26">
        <v>1.0</v>
      </c>
      <c r="AD15" s="26">
        <v>1.0</v>
      </c>
      <c r="AE15" s="27" t="s">
        <v>170</v>
      </c>
      <c r="AF15" s="62">
        <v>13.0</v>
      </c>
      <c r="AG15" s="27">
        <v>307.0</v>
      </c>
      <c r="AH15" s="27" t="s">
        <v>90</v>
      </c>
      <c r="AI15" s="27" t="s">
        <v>90</v>
      </c>
      <c r="AJ15" s="27">
        <v>1.0</v>
      </c>
      <c r="AK15" s="27" t="s">
        <v>90</v>
      </c>
      <c r="AL15" s="27" t="s">
        <v>90</v>
      </c>
      <c r="AM15" s="27" t="s">
        <v>90</v>
      </c>
      <c r="AN15" s="27" t="s">
        <v>90</v>
      </c>
      <c r="AO15" s="27" t="s">
        <v>90</v>
      </c>
      <c r="AP15" s="27" t="s">
        <v>90</v>
      </c>
      <c r="AQ15" s="27" t="s">
        <v>90</v>
      </c>
      <c r="AR15" s="27" t="s">
        <v>90</v>
      </c>
      <c r="AS15" s="27" t="s">
        <v>90</v>
      </c>
      <c r="AT15" s="27" t="s">
        <v>90</v>
      </c>
      <c r="AU15" s="27" t="s">
        <v>90</v>
      </c>
      <c r="AV15" s="26" t="s">
        <v>219</v>
      </c>
      <c r="AW15" s="26">
        <v>0.47</v>
      </c>
      <c r="AX15" s="26" t="s">
        <v>219</v>
      </c>
      <c r="AY15" s="26">
        <v>222.0</v>
      </c>
      <c r="AZ15" s="26" t="s">
        <v>232</v>
      </c>
      <c r="BA15" s="26" t="s">
        <v>227</v>
      </c>
      <c r="BB15" s="26">
        <v>24.0</v>
      </c>
      <c r="BC15" s="26">
        <v>243.0</v>
      </c>
      <c r="BD15" s="26" t="s">
        <v>233</v>
      </c>
      <c r="BE15" s="26" t="s">
        <v>227</v>
      </c>
      <c r="BF15" s="26">
        <v>120.0</v>
      </c>
      <c r="BG15" s="26">
        <v>162.0</v>
      </c>
      <c r="BH15" s="26" t="s">
        <v>234</v>
      </c>
      <c r="BI15" s="26" t="s">
        <v>231</v>
      </c>
    </row>
    <row r="16">
      <c r="A16" s="21" t="s">
        <v>180</v>
      </c>
      <c r="B16" s="22">
        <v>2009.0</v>
      </c>
      <c r="C16" s="23"/>
      <c r="D16" s="24" t="s">
        <v>89</v>
      </c>
      <c r="E16" s="25">
        <v>2009.0</v>
      </c>
      <c r="F16" s="24">
        <v>1.0</v>
      </c>
      <c r="G16" s="24">
        <v>1.0</v>
      </c>
      <c r="H16" s="24">
        <v>1.0</v>
      </c>
      <c r="I16" s="24">
        <v>1.0</v>
      </c>
      <c r="J16" s="24">
        <v>1.0</v>
      </c>
      <c r="K16" s="24">
        <v>15.7</v>
      </c>
      <c r="L16" s="24" t="s">
        <v>219</v>
      </c>
      <c r="M16" s="24" t="s">
        <v>219</v>
      </c>
      <c r="N16" s="24">
        <v>100.0</v>
      </c>
      <c r="O16" s="24">
        <v>81.0</v>
      </c>
      <c r="P16" s="24">
        <v>2.0</v>
      </c>
      <c r="Q16" s="24">
        <v>9.0</v>
      </c>
      <c r="R16" s="24">
        <v>2.0</v>
      </c>
      <c r="S16" s="24" t="s">
        <v>219</v>
      </c>
      <c r="T16" s="24">
        <v>6.0</v>
      </c>
      <c r="U16" s="24" t="s">
        <v>219</v>
      </c>
      <c r="V16" s="24">
        <v>0.0</v>
      </c>
      <c r="W16" s="24" t="s">
        <v>219</v>
      </c>
      <c r="X16" s="24">
        <v>2.0</v>
      </c>
      <c r="Y16" s="24">
        <v>3.0</v>
      </c>
      <c r="Z16" s="24">
        <v>2.0</v>
      </c>
      <c r="AA16" s="26" t="s">
        <v>182</v>
      </c>
      <c r="AB16" s="26" t="s">
        <v>235</v>
      </c>
      <c r="AC16" s="26">
        <v>1.0</v>
      </c>
      <c r="AD16" s="26">
        <v>1.0</v>
      </c>
      <c r="AE16" s="27" t="s">
        <v>169</v>
      </c>
      <c r="AF16" s="27">
        <v>139.0</v>
      </c>
      <c r="AG16" s="27">
        <v>139.0</v>
      </c>
      <c r="AH16" s="27">
        <v>139.0</v>
      </c>
      <c r="AI16" s="27" t="s">
        <v>219</v>
      </c>
      <c r="AJ16" s="27" t="s">
        <v>90</v>
      </c>
      <c r="AK16" s="27">
        <v>2.0</v>
      </c>
      <c r="AL16" s="27">
        <v>2.0</v>
      </c>
      <c r="AM16" s="27">
        <v>3.0</v>
      </c>
      <c r="AN16" s="27">
        <v>1.0</v>
      </c>
      <c r="AO16" s="27">
        <v>2.0</v>
      </c>
      <c r="AP16" s="27">
        <v>1.0</v>
      </c>
      <c r="AQ16" s="27">
        <v>1.0</v>
      </c>
      <c r="AR16" s="27">
        <v>240.0</v>
      </c>
      <c r="AS16" s="27">
        <v>4.0</v>
      </c>
      <c r="AT16" s="27">
        <v>28.0</v>
      </c>
      <c r="AU16" s="27" t="s">
        <v>219</v>
      </c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>
      <c r="A17" s="21" t="s">
        <v>180</v>
      </c>
      <c r="B17" s="22">
        <v>2009.0</v>
      </c>
      <c r="C17" s="23"/>
      <c r="D17" s="24" t="s">
        <v>89</v>
      </c>
      <c r="E17" s="25">
        <v>2009.0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24">
        <v>15.7</v>
      </c>
      <c r="L17" s="24" t="s">
        <v>219</v>
      </c>
      <c r="M17" s="24" t="s">
        <v>219</v>
      </c>
      <c r="N17" s="24">
        <v>100.0</v>
      </c>
      <c r="O17" s="24">
        <v>81.0</v>
      </c>
      <c r="P17" s="24">
        <v>2.0</v>
      </c>
      <c r="Q17" s="24">
        <v>9.0</v>
      </c>
      <c r="R17" s="24">
        <v>2.0</v>
      </c>
      <c r="S17" s="24" t="s">
        <v>219</v>
      </c>
      <c r="T17" s="24">
        <v>6.0</v>
      </c>
      <c r="U17" s="24" t="s">
        <v>219</v>
      </c>
      <c r="V17" s="24">
        <v>0.0</v>
      </c>
      <c r="W17" s="24" t="s">
        <v>219</v>
      </c>
      <c r="X17" s="24">
        <v>2.0</v>
      </c>
      <c r="Y17" s="24">
        <v>3.0</v>
      </c>
      <c r="Z17" s="24">
        <v>2.0</v>
      </c>
      <c r="AA17" s="26" t="s">
        <v>182</v>
      </c>
      <c r="AB17" s="26" t="s">
        <v>235</v>
      </c>
      <c r="AC17" s="26">
        <v>1.0</v>
      </c>
      <c r="AD17" s="26">
        <v>1.0</v>
      </c>
      <c r="AE17" s="27" t="s">
        <v>170</v>
      </c>
      <c r="AF17" s="27">
        <v>167.0</v>
      </c>
      <c r="AG17" s="27">
        <v>167.0</v>
      </c>
      <c r="AH17" s="27" t="s">
        <v>90</v>
      </c>
      <c r="AI17" s="27" t="s">
        <v>90</v>
      </c>
      <c r="AJ17" s="27">
        <v>2.0</v>
      </c>
      <c r="AK17" s="27" t="s">
        <v>90</v>
      </c>
      <c r="AL17" s="27" t="s">
        <v>90</v>
      </c>
      <c r="AM17" s="27" t="s">
        <v>90</v>
      </c>
      <c r="AN17" s="27" t="s">
        <v>90</v>
      </c>
      <c r="AO17" s="27" t="s">
        <v>90</v>
      </c>
      <c r="AP17" s="27" t="s">
        <v>90</v>
      </c>
      <c r="AQ17" s="27" t="s">
        <v>90</v>
      </c>
      <c r="AR17" s="27" t="s">
        <v>90</v>
      </c>
      <c r="AS17" s="27" t="s">
        <v>90</v>
      </c>
      <c r="AT17" s="27" t="s">
        <v>90</v>
      </c>
      <c r="AU17" s="27" t="s">
        <v>90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>
      <c r="A18" s="21" t="s">
        <v>184</v>
      </c>
      <c r="B18" s="22">
        <v>2010.0</v>
      </c>
      <c r="C18" s="28" t="s">
        <v>236</v>
      </c>
      <c r="D18" s="30" t="s">
        <v>89</v>
      </c>
      <c r="E18" s="25">
        <v>2010.0</v>
      </c>
      <c r="F18" s="30">
        <v>1.0</v>
      </c>
      <c r="G18" s="30">
        <v>3.0</v>
      </c>
      <c r="H18" s="30">
        <v>1.0</v>
      </c>
      <c r="I18" s="30">
        <v>1.0</v>
      </c>
      <c r="J18" s="30">
        <v>2.0</v>
      </c>
      <c r="K18" s="30">
        <v>12.96</v>
      </c>
      <c r="L18" s="30">
        <v>11.0</v>
      </c>
      <c r="M18" s="30">
        <v>15.0</v>
      </c>
      <c r="N18" s="30">
        <v>0.0</v>
      </c>
      <c r="O18" s="30" t="s">
        <v>219</v>
      </c>
      <c r="P18" s="30" t="s">
        <v>219</v>
      </c>
      <c r="Q18" s="30" t="s">
        <v>219</v>
      </c>
      <c r="R18" s="30" t="s">
        <v>219</v>
      </c>
      <c r="S18" s="30" t="s">
        <v>219</v>
      </c>
      <c r="T18" s="30" t="s">
        <v>219</v>
      </c>
      <c r="U18" s="30" t="s">
        <v>219</v>
      </c>
      <c r="V18" s="30" t="s">
        <v>219</v>
      </c>
      <c r="W18" s="30" t="s">
        <v>219</v>
      </c>
      <c r="X18" s="30">
        <v>3.0</v>
      </c>
      <c r="Y18" s="30">
        <v>1.0</v>
      </c>
      <c r="Z18" s="30">
        <v>2.0</v>
      </c>
      <c r="AA18" s="29" t="s">
        <v>237</v>
      </c>
      <c r="AB18" s="29" t="s">
        <v>238</v>
      </c>
      <c r="AC18" s="29">
        <v>1.0</v>
      </c>
      <c r="AD18" s="29">
        <v>1.0</v>
      </c>
      <c r="AE18" s="31" t="s">
        <v>169</v>
      </c>
      <c r="AF18" s="31" t="s">
        <v>239</v>
      </c>
      <c r="AG18" s="31">
        <v>203.0</v>
      </c>
      <c r="AH18" s="31" t="s">
        <v>219</v>
      </c>
      <c r="AI18" s="31" t="s">
        <v>219</v>
      </c>
      <c r="AJ18" s="31" t="s">
        <v>90</v>
      </c>
      <c r="AK18" s="31">
        <v>2.0</v>
      </c>
      <c r="AL18" s="31">
        <v>1.0</v>
      </c>
      <c r="AM18" s="31">
        <v>2.0</v>
      </c>
      <c r="AN18" s="31">
        <v>1.0</v>
      </c>
      <c r="AO18" s="31"/>
      <c r="AP18" s="31">
        <v>1.0</v>
      </c>
      <c r="AQ18" s="31">
        <v>1.0</v>
      </c>
      <c r="AR18" s="31">
        <v>300.0</v>
      </c>
      <c r="AS18" s="31">
        <v>5.0</v>
      </c>
      <c r="AT18" s="31">
        <v>35.0</v>
      </c>
      <c r="AU18" s="31" t="s">
        <v>219</v>
      </c>
      <c r="AV18" s="29">
        <v>147.0</v>
      </c>
      <c r="AW18" s="29">
        <v>29.06</v>
      </c>
      <c r="AX18" s="29">
        <v>9.83</v>
      </c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</row>
    <row r="19">
      <c r="A19" s="21" t="s">
        <v>184</v>
      </c>
      <c r="B19" s="22">
        <v>2010.0</v>
      </c>
      <c r="C19" s="28"/>
      <c r="D19" s="30" t="s">
        <v>89</v>
      </c>
      <c r="E19" s="25">
        <v>2010.0</v>
      </c>
      <c r="F19" s="30">
        <v>1.0</v>
      </c>
      <c r="G19" s="30">
        <v>3.0</v>
      </c>
      <c r="H19" s="30">
        <v>1.0</v>
      </c>
      <c r="I19" s="30">
        <v>1.0</v>
      </c>
      <c r="J19" s="30">
        <v>2.0</v>
      </c>
      <c r="K19" s="30">
        <v>12.96</v>
      </c>
      <c r="L19" s="30">
        <v>11.0</v>
      </c>
      <c r="M19" s="30">
        <v>15.0</v>
      </c>
      <c r="N19" s="30">
        <v>0.0</v>
      </c>
      <c r="O19" s="30" t="s">
        <v>219</v>
      </c>
      <c r="P19" s="30" t="s">
        <v>219</v>
      </c>
      <c r="Q19" s="30" t="s">
        <v>219</v>
      </c>
      <c r="R19" s="30" t="s">
        <v>219</v>
      </c>
      <c r="S19" s="30" t="s">
        <v>219</v>
      </c>
      <c r="T19" s="30" t="s">
        <v>219</v>
      </c>
      <c r="U19" s="30" t="s">
        <v>219</v>
      </c>
      <c r="V19" s="30" t="s">
        <v>219</v>
      </c>
      <c r="W19" s="30" t="s">
        <v>219</v>
      </c>
      <c r="X19" s="30">
        <v>3.0</v>
      </c>
      <c r="Y19" s="30">
        <v>1.0</v>
      </c>
      <c r="Z19" s="30">
        <v>2.0</v>
      </c>
      <c r="AA19" s="29" t="s">
        <v>237</v>
      </c>
      <c r="AB19" s="29" t="s">
        <v>238</v>
      </c>
      <c r="AC19" s="29">
        <v>1.0</v>
      </c>
      <c r="AD19" s="29">
        <v>1.0</v>
      </c>
      <c r="AE19" s="31" t="s">
        <v>170</v>
      </c>
      <c r="AF19" s="31" t="s">
        <v>239</v>
      </c>
      <c r="AG19" s="31">
        <v>218.0</v>
      </c>
      <c r="AH19" s="31" t="s">
        <v>90</v>
      </c>
      <c r="AI19" s="31" t="s">
        <v>90</v>
      </c>
      <c r="AJ19" s="31">
        <v>1.0</v>
      </c>
      <c r="AK19" s="31" t="s">
        <v>90</v>
      </c>
      <c r="AL19" s="31" t="s">
        <v>90</v>
      </c>
      <c r="AM19" s="31" t="s">
        <v>90</v>
      </c>
      <c r="AN19" s="31" t="s">
        <v>90</v>
      </c>
      <c r="AO19" s="31" t="s">
        <v>90</v>
      </c>
      <c r="AP19" s="31" t="s">
        <v>90</v>
      </c>
      <c r="AQ19" s="31" t="s">
        <v>90</v>
      </c>
      <c r="AR19" s="31" t="s">
        <v>90</v>
      </c>
      <c r="AS19" s="31" t="s">
        <v>90</v>
      </c>
      <c r="AT19" s="31" t="s">
        <v>90</v>
      </c>
      <c r="AU19" s="31" t="s">
        <v>90</v>
      </c>
      <c r="AV19" s="29">
        <v>124.0</v>
      </c>
      <c r="AW19" s="29">
        <v>28.97</v>
      </c>
      <c r="AX19" s="29">
        <v>8.83</v>
      </c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</row>
    <row r="20">
      <c r="A20" s="21" t="s">
        <v>180</v>
      </c>
      <c r="B20" s="22">
        <v>2012.0</v>
      </c>
      <c r="C20" s="28" t="s">
        <v>240</v>
      </c>
      <c r="D20" s="24" t="s">
        <v>89</v>
      </c>
      <c r="E20" s="25">
        <v>2012.0</v>
      </c>
      <c r="F20" s="24">
        <v>1.0</v>
      </c>
      <c r="G20" s="24">
        <v>1.0</v>
      </c>
      <c r="H20" s="24">
        <v>1.0</v>
      </c>
      <c r="I20" s="24">
        <v>1.0</v>
      </c>
      <c r="J20" s="24">
        <v>1.0</v>
      </c>
      <c r="K20" s="24">
        <v>17.1</v>
      </c>
      <c r="L20" s="24" t="s">
        <v>219</v>
      </c>
      <c r="M20" s="24" t="s">
        <v>219</v>
      </c>
      <c r="N20" s="24">
        <v>100.0</v>
      </c>
      <c r="O20" s="24">
        <v>60.0</v>
      </c>
      <c r="P20" s="24">
        <v>5.0</v>
      </c>
      <c r="Q20" s="24">
        <v>19.0</v>
      </c>
      <c r="R20" s="24">
        <v>10.0</v>
      </c>
      <c r="S20" s="24" t="s">
        <v>219</v>
      </c>
      <c r="T20" s="24">
        <v>6.0</v>
      </c>
      <c r="U20" s="24" t="s">
        <v>219</v>
      </c>
      <c r="V20" s="24">
        <v>0.0</v>
      </c>
      <c r="W20" s="24" t="s">
        <v>219</v>
      </c>
      <c r="X20" s="24">
        <v>2.0</v>
      </c>
      <c r="Y20" s="24">
        <v>3.0</v>
      </c>
      <c r="Z20" s="24">
        <v>1.0</v>
      </c>
      <c r="AA20" s="26" t="s">
        <v>162</v>
      </c>
      <c r="AB20" s="26" t="s">
        <v>220</v>
      </c>
      <c r="AC20" s="26">
        <v>1.0</v>
      </c>
      <c r="AD20" s="26">
        <v>2.0</v>
      </c>
      <c r="AE20" s="27" t="s">
        <v>221</v>
      </c>
      <c r="AF20" s="27" t="s">
        <v>90</v>
      </c>
      <c r="AG20" s="27" t="s">
        <v>219</v>
      </c>
      <c r="AH20" s="27" t="s">
        <v>219</v>
      </c>
      <c r="AI20" s="27" t="s">
        <v>219</v>
      </c>
      <c r="AJ20" s="27" t="s">
        <v>90</v>
      </c>
      <c r="AK20" s="27">
        <v>2.0</v>
      </c>
      <c r="AL20" s="27">
        <v>2.0</v>
      </c>
      <c r="AM20" s="27">
        <v>2.0</v>
      </c>
      <c r="AN20" s="27">
        <v>1.0</v>
      </c>
      <c r="AO20" s="27">
        <v>2.0</v>
      </c>
      <c r="AP20" s="27">
        <v>1.0</v>
      </c>
      <c r="AQ20" s="27">
        <v>1.0</v>
      </c>
      <c r="AR20" s="27">
        <v>180.0</v>
      </c>
      <c r="AS20" s="27">
        <v>3.0</v>
      </c>
      <c r="AT20" s="27">
        <v>21.0</v>
      </c>
      <c r="AU20" s="27" t="s">
        <v>219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>
      <c r="A21" s="21" t="s">
        <v>180</v>
      </c>
      <c r="B21" s="22">
        <v>2012.0</v>
      </c>
      <c r="C21" s="23"/>
      <c r="D21" s="24" t="s">
        <v>89</v>
      </c>
      <c r="E21" s="25">
        <v>2012.0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17.1</v>
      </c>
      <c r="L21" s="24" t="s">
        <v>219</v>
      </c>
      <c r="M21" s="24" t="s">
        <v>219</v>
      </c>
      <c r="N21" s="24">
        <v>100.0</v>
      </c>
      <c r="O21" s="24">
        <v>60.0</v>
      </c>
      <c r="P21" s="24">
        <v>5.0</v>
      </c>
      <c r="Q21" s="24">
        <v>19.0</v>
      </c>
      <c r="R21" s="24">
        <v>10.0</v>
      </c>
      <c r="S21" s="24" t="s">
        <v>219</v>
      </c>
      <c r="T21" s="24">
        <v>6.0</v>
      </c>
      <c r="U21" s="24" t="s">
        <v>219</v>
      </c>
      <c r="V21" s="24">
        <v>0.0</v>
      </c>
      <c r="W21" s="24" t="s">
        <v>219</v>
      </c>
      <c r="X21" s="24">
        <v>2.0</v>
      </c>
      <c r="Y21" s="24">
        <v>3.0</v>
      </c>
      <c r="Z21" s="24">
        <v>1.0</v>
      </c>
      <c r="AA21" s="26" t="s">
        <v>162</v>
      </c>
      <c r="AB21" s="26" t="s">
        <v>220</v>
      </c>
      <c r="AC21" s="26">
        <v>1.0</v>
      </c>
      <c r="AD21" s="26">
        <v>2.0</v>
      </c>
      <c r="AE21" s="27" t="s">
        <v>222</v>
      </c>
      <c r="AF21" s="27" t="s">
        <v>90</v>
      </c>
      <c r="AG21" s="27" t="s">
        <v>219</v>
      </c>
      <c r="AH21" s="27" t="s">
        <v>219</v>
      </c>
      <c r="AI21" s="27" t="s">
        <v>219</v>
      </c>
      <c r="AJ21" s="27" t="s">
        <v>90</v>
      </c>
      <c r="AK21" s="27">
        <v>2.0</v>
      </c>
      <c r="AL21" s="27">
        <v>2.0</v>
      </c>
      <c r="AM21" s="27">
        <v>2.0</v>
      </c>
      <c r="AN21" s="27">
        <v>1.0</v>
      </c>
      <c r="AO21" s="27">
        <v>2.0</v>
      </c>
      <c r="AP21" s="27">
        <v>1.0</v>
      </c>
      <c r="AQ21" s="27">
        <v>1.0</v>
      </c>
      <c r="AR21" s="27">
        <v>180.0</v>
      </c>
      <c r="AS21" s="27">
        <v>3.0</v>
      </c>
      <c r="AT21" s="27">
        <v>21.0</v>
      </c>
      <c r="AU21" s="27" t="s">
        <v>219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>
      <c r="A22" s="21" t="s">
        <v>180</v>
      </c>
      <c r="B22" s="22">
        <v>2012.0</v>
      </c>
      <c r="C22" s="23"/>
      <c r="D22" s="24" t="s">
        <v>89</v>
      </c>
      <c r="E22" s="25">
        <v>2012.0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17.1</v>
      </c>
      <c r="L22" s="24" t="s">
        <v>219</v>
      </c>
      <c r="M22" s="24" t="s">
        <v>219</v>
      </c>
      <c r="N22" s="24">
        <v>100.0</v>
      </c>
      <c r="O22" s="24">
        <v>60.0</v>
      </c>
      <c r="P22" s="24">
        <v>5.0</v>
      </c>
      <c r="Q22" s="24">
        <v>19.0</v>
      </c>
      <c r="R22" s="24">
        <v>10.0</v>
      </c>
      <c r="S22" s="24" t="s">
        <v>219</v>
      </c>
      <c r="T22" s="24">
        <v>6.0</v>
      </c>
      <c r="U22" s="24" t="s">
        <v>219</v>
      </c>
      <c r="V22" s="24">
        <v>0.0</v>
      </c>
      <c r="W22" s="24" t="s">
        <v>219</v>
      </c>
      <c r="X22" s="24">
        <v>2.0</v>
      </c>
      <c r="Y22" s="24">
        <v>3.0</v>
      </c>
      <c r="Z22" s="24">
        <v>1.0</v>
      </c>
      <c r="AA22" s="26" t="s">
        <v>162</v>
      </c>
      <c r="AB22" s="26" t="s">
        <v>220</v>
      </c>
      <c r="AC22" s="26">
        <v>1.0</v>
      </c>
      <c r="AD22" s="26">
        <v>2.0</v>
      </c>
      <c r="AE22" s="27" t="s">
        <v>170</v>
      </c>
      <c r="AF22" s="27" t="s">
        <v>90</v>
      </c>
      <c r="AG22" s="27" t="s">
        <v>219</v>
      </c>
      <c r="AH22" s="27" t="s">
        <v>219</v>
      </c>
      <c r="AI22" s="27" t="s">
        <v>219</v>
      </c>
      <c r="AJ22" s="27">
        <v>4.0</v>
      </c>
      <c r="AK22" s="27" t="s">
        <v>90</v>
      </c>
      <c r="AL22" s="27" t="s">
        <v>90</v>
      </c>
      <c r="AM22" s="27" t="s">
        <v>90</v>
      </c>
      <c r="AN22" s="27" t="s">
        <v>90</v>
      </c>
      <c r="AO22" s="27" t="s">
        <v>90</v>
      </c>
      <c r="AP22" s="27" t="s">
        <v>90</v>
      </c>
      <c r="AQ22" s="27" t="s">
        <v>90</v>
      </c>
      <c r="AR22" s="27">
        <v>135.0</v>
      </c>
      <c r="AS22" s="27">
        <v>3.0</v>
      </c>
      <c r="AT22" s="27">
        <v>21.0</v>
      </c>
      <c r="AU22" s="27" t="s">
        <v>219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>
      <c r="A23" s="21" t="s">
        <v>180</v>
      </c>
      <c r="B23" s="22">
        <v>2012.0</v>
      </c>
      <c r="C23" s="23"/>
      <c r="D23" s="24" t="s">
        <v>89</v>
      </c>
      <c r="E23" s="25">
        <v>2012.0</v>
      </c>
      <c r="F23" s="24">
        <v>1.0</v>
      </c>
      <c r="G23" s="24">
        <v>1.0</v>
      </c>
      <c r="H23" s="24">
        <v>1.0</v>
      </c>
      <c r="I23" s="24">
        <v>1.0</v>
      </c>
      <c r="J23" s="24">
        <v>1.0</v>
      </c>
      <c r="K23" s="24">
        <v>17.1</v>
      </c>
      <c r="L23" s="24" t="s">
        <v>219</v>
      </c>
      <c r="M23" s="24" t="s">
        <v>219</v>
      </c>
      <c r="N23" s="24">
        <v>100.0</v>
      </c>
      <c r="O23" s="24">
        <v>60.0</v>
      </c>
      <c r="P23" s="24">
        <v>5.0</v>
      </c>
      <c r="Q23" s="24">
        <v>19.0</v>
      </c>
      <c r="R23" s="24">
        <v>10.0</v>
      </c>
      <c r="S23" s="24" t="s">
        <v>219</v>
      </c>
      <c r="T23" s="24">
        <v>6.0</v>
      </c>
      <c r="U23" s="24" t="s">
        <v>219</v>
      </c>
      <c r="V23" s="24">
        <v>0.0</v>
      </c>
      <c r="W23" s="24" t="s">
        <v>219</v>
      </c>
      <c r="X23" s="24">
        <v>2.0</v>
      </c>
      <c r="Y23" s="24">
        <v>3.0</v>
      </c>
      <c r="Z23" s="24">
        <v>1.0</v>
      </c>
      <c r="AA23" s="26" t="s">
        <v>162</v>
      </c>
      <c r="AB23" s="26" t="s">
        <v>220</v>
      </c>
      <c r="AC23" s="26">
        <v>1.0</v>
      </c>
      <c r="AD23" s="26">
        <v>2.0</v>
      </c>
      <c r="AE23" s="27" t="s">
        <v>170</v>
      </c>
      <c r="AF23" s="27" t="s">
        <v>90</v>
      </c>
      <c r="AG23" s="27">
        <v>97.0</v>
      </c>
      <c r="AH23" s="27" t="s">
        <v>90</v>
      </c>
      <c r="AI23" s="27" t="s">
        <v>90</v>
      </c>
      <c r="AJ23" s="27">
        <v>1.0</v>
      </c>
      <c r="AK23" s="27" t="s">
        <v>90</v>
      </c>
      <c r="AL23" s="27" t="s">
        <v>90</v>
      </c>
      <c r="AM23" s="27" t="s">
        <v>90</v>
      </c>
      <c r="AN23" s="27" t="s">
        <v>90</v>
      </c>
      <c r="AO23" s="27" t="s">
        <v>90</v>
      </c>
      <c r="AP23" s="27" t="s">
        <v>90</v>
      </c>
      <c r="AQ23" s="27" t="s">
        <v>90</v>
      </c>
      <c r="AR23" s="27" t="s">
        <v>90</v>
      </c>
      <c r="AS23" s="27" t="s">
        <v>90</v>
      </c>
      <c r="AT23" s="27" t="s">
        <v>90</v>
      </c>
      <c r="AU23" s="27" t="s">
        <v>90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>
      <c r="A24" s="21" t="s">
        <v>241</v>
      </c>
      <c r="B24" s="22">
        <v>2013.0</v>
      </c>
      <c r="C24" s="28" t="s">
        <v>242</v>
      </c>
      <c r="D24" s="24" t="s">
        <v>89</v>
      </c>
      <c r="E24" s="25">
        <v>2013.0</v>
      </c>
      <c r="F24" s="24">
        <v>1.0</v>
      </c>
      <c r="G24" s="24">
        <v>3.0</v>
      </c>
      <c r="H24" s="24">
        <v>1.0</v>
      </c>
      <c r="I24" s="24">
        <v>2.0</v>
      </c>
      <c r="J24" s="24">
        <v>2.0</v>
      </c>
      <c r="K24" s="24">
        <v>11.96</v>
      </c>
      <c r="L24" s="24" t="s">
        <v>219</v>
      </c>
      <c r="M24" s="24" t="s">
        <v>219</v>
      </c>
      <c r="N24" s="24">
        <v>100.0</v>
      </c>
      <c r="O24" s="24">
        <v>47.32</v>
      </c>
      <c r="P24" s="24">
        <v>16.07</v>
      </c>
      <c r="Q24" s="24" t="s">
        <v>219</v>
      </c>
      <c r="R24" s="24">
        <v>16.74</v>
      </c>
      <c r="S24" s="24" t="s">
        <v>219</v>
      </c>
      <c r="T24" s="24">
        <v>12.05</v>
      </c>
      <c r="U24" s="24" t="s">
        <v>219</v>
      </c>
      <c r="V24" s="24">
        <v>7.81</v>
      </c>
      <c r="W24" s="24" t="s">
        <v>219</v>
      </c>
      <c r="X24" s="24">
        <v>4.0</v>
      </c>
      <c r="Y24" s="24">
        <v>1.0</v>
      </c>
      <c r="Z24" s="24">
        <v>2.0</v>
      </c>
      <c r="AA24" s="26" t="s">
        <v>237</v>
      </c>
      <c r="AB24" s="26" t="s">
        <v>238</v>
      </c>
      <c r="AC24" s="26">
        <v>1.0</v>
      </c>
      <c r="AD24" s="26">
        <v>1.0</v>
      </c>
      <c r="AE24" s="27" t="s">
        <v>169</v>
      </c>
      <c r="AF24" s="27">
        <v>9.0</v>
      </c>
      <c r="AG24" s="27">
        <v>261.0</v>
      </c>
      <c r="AH24" s="27">
        <v>261.0</v>
      </c>
      <c r="AI24" s="27">
        <v>261.0</v>
      </c>
      <c r="AJ24" s="27" t="s">
        <v>90</v>
      </c>
      <c r="AK24" s="27">
        <v>2.0</v>
      </c>
      <c r="AL24" s="27">
        <v>1.0</v>
      </c>
      <c r="AM24" s="27">
        <v>3.0</v>
      </c>
      <c r="AN24" s="27">
        <v>1.0</v>
      </c>
      <c r="AO24" s="27">
        <v>2.0</v>
      </c>
      <c r="AP24" s="27">
        <v>1.0</v>
      </c>
      <c r="AQ24" s="27">
        <v>1.0</v>
      </c>
      <c r="AR24" s="27">
        <v>300.0</v>
      </c>
      <c r="AS24" s="27">
        <v>6.0</v>
      </c>
      <c r="AT24" s="27" t="s">
        <v>219</v>
      </c>
      <c r="AU24" s="27">
        <v>100.0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>
      <c r="A25" s="21" t="s">
        <v>241</v>
      </c>
      <c r="B25" s="22">
        <v>2013.0</v>
      </c>
      <c r="C25" s="28"/>
      <c r="D25" s="24" t="s">
        <v>89</v>
      </c>
      <c r="E25" s="25">
        <v>2013.0</v>
      </c>
      <c r="F25" s="24">
        <v>1.0</v>
      </c>
      <c r="G25" s="24">
        <v>3.0</v>
      </c>
      <c r="H25" s="24">
        <v>1.0</v>
      </c>
      <c r="I25" s="24">
        <v>2.0</v>
      </c>
      <c r="J25" s="24">
        <v>2.0</v>
      </c>
      <c r="K25" s="24">
        <v>11.96</v>
      </c>
      <c r="L25" s="24" t="s">
        <v>219</v>
      </c>
      <c r="M25" s="24" t="s">
        <v>219</v>
      </c>
      <c r="N25" s="24">
        <v>100.0</v>
      </c>
      <c r="O25" s="24">
        <v>47.32</v>
      </c>
      <c r="P25" s="24">
        <v>16.07</v>
      </c>
      <c r="Q25" s="24" t="s">
        <v>219</v>
      </c>
      <c r="R25" s="24">
        <v>16.74</v>
      </c>
      <c r="S25" s="24" t="s">
        <v>219</v>
      </c>
      <c r="T25" s="24">
        <v>12.05</v>
      </c>
      <c r="U25" s="24" t="s">
        <v>219</v>
      </c>
      <c r="V25" s="24">
        <v>7.81</v>
      </c>
      <c r="W25" s="24" t="s">
        <v>219</v>
      </c>
      <c r="X25" s="24">
        <v>4.0</v>
      </c>
      <c r="Y25" s="24">
        <v>1.0</v>
      </c>
      <c r="Z25" s="24">
        <v>2.0</v>
      </c>
      <c r="AA25" s="26" t="s">
        <v>237</v>
      </c>
      <c r="AB25" s="26" t="s">
        <v>238</v>
      </c>
      <c r="AC25" s="26">
        <v>1.0</v>
      </c>
      <c r="AD25" s="26">
        <v>1.0</v>
      </c>
      <c r="AE25" s="27" t="s">
        <v>170</v>
      </c>
      <c r="AF25" s="27">
        <v>7.0</v>
      </c>
      <c r="AG25" s="27">
        <v>187.0</v>
      </c>
      <c r="AH25" s="27" t="s">
        <v>90</v>
      </c>
      <c r="AI25" s="27" t="s">
        <v>90</v>
      </c>
      <c r="AJ25" s="27">
        <v>1.0</v>
      </c>
      <c r="AK25" s="27" t="s">
        <v>90</v>
      </c>
      <c r="AL25" s="27" t="s">
        <v>90</v>
      </c>
      <c r="AM25" s="27" t="s">
        <v>90</v>
      </c>
      <c r="AN25" s="27" t="s">
        <v>90</v>
      </c>
      <c r="AO25" s="27" t="s">
        <v>90</v>
      </c>
      <c r="AP25" s="27" t="s">
        <v>90</v>
      </c>
      <c r="AQ25" s="27" t="s">
        <v>90</v>
      </c>
      <c r="AR25" s="27" t="s">
        <v>90</v>
      </c>
      <c r="AS25" s="27" t="s">
        <v>90</v>
      </c>
      <c r="AT25" s="27" t="s">
        <v>90</v>
      </c>
      <c r="AU25" s="27" t="s">
        <v>90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>
      <c r="A26" s="21" t="s">
        <v>191</v>
      </c>
      <c r="B26" s="22">
        <v>2015.0</v>
      </c>
      <c r="C26" s="28" t="s">
        <v>243</v>
      </c>
      <c r="D26" s="24" t="s">
        <v>89</v>
      </c>
      <c r="E26" s="25">
        <v>2015.0</v>
      </c>
      <c r="F26" s="24">
        <v>1.0</v>
      </c>
      <c r="G26" s="24">
        <v>3.0</v>
      </c>
      <c r="H26" s="24">
        <v>1.0</v>
      </c>
      <c r="I26" s="24">
        <v>1.0</v>
      </c>
      <c r="J26" s="24">
        <v>2.0</v>
      </c>
      <c r="K26" s="24">
        <v>15.7</v>
      </c>
      <c r="L26" s="24">
        <v>14.0</v>
      </c>
      <c r="M26" s="24">
        <v>18.0</v>
      </c>
      <c r="N26" s="24">
        <v>100.0</v>
      </c>
      <c r="O26" s="24">
        <v>84.0</v>
      </c>
      <c r="P26" s="24">
        <v>1.0</v>
      </c>
      <c r="Q26" s="24" t="s">
        <v>219</v>
      </c>
      <c r="R26" s="24">
        <v>8.0</v>
      </c>
      <c r="S26" s="24" t="s">
        <v>219</v>
      </c>
      <c r="T26" s="24">
        <v>4.0</v>
      </c>
      <c r="U26" s="24" t="s">
        <v>219</v>
      </c>
      <c r="V26" s="24">
        <v>3.0</v>
      </c>
      <c r="W26" s="24" t="s">
        <v>219</v>
      </c>
      <c r="X26" s="24">
        <v>4.0</v>
      </c>
      <c r="Y26" s="24">
        <v>1.0</v>
      </c>
      <c r="Z26" s="24">
        <v>2.0</v>
      </c>
      <c r="AA26" s="26" t="s">
        <v>162</v>
      </c>
      <c r="AB26" s="26" t="s">
        <v>244</v>
      </c>
      <c r="AC26" s="26">
        <v>1.0</v>
      </c>
      <c r="AD26" s="26">
        <v>2.0</v>
      </c>
      <c r="AE26" s="27" t="s">
        <v>221</v>
      </c>
      <c r="AF26" s="27">
        <v>6.0</v>
      </c>
      <c r="AG26" s="27">
        <v>108.0</v>
      </c>
      <c r="AH26" s="27" t="s">
        <v>219</v>
      </c>
      <c r="AI26" s="27" t="s">
        <v>219</v>
      </c>
      <c r="AJ26" s="27" t="s">
        <v>90</v>
      </c>
      <c r="AK26" s="27">
        <v>2.0</v>
      </c>
      <c r="AL26" s="27">
        <v>2.0</v>
      </c>
      <c r="AM26" s="27">
        <v>2.0</v>
      </c>
      <c r="AN26" s="27">
        <v>1.0</v>
      </c>
      <c r="AO26" s="27">
        <v>2.0</v>
      </c>
      <c r="AP26" s="27">
        <v>1.0</v>
      </c>
      <c r="AQ26" s="27">
        <v>2.0</v>
      </c>
      <c r="AR26" s="27" t="s">
        <v>219</v>
      </c>
      <c r="AS26" s="27">
        <v>3.0</v>
      </c>
      <c r="AT26" s="27">
        <v>21.0</v>
      </c>
      <c r="AU26" s="27" t="s">
        <v>219</v>
      </c>
      <c r="AV26" s="26">
        <v>108.0</v>
      </c>
      <c r="AW26" s="26">
        <v>0.3</v>
      </c>
      <c r="AX26" s="26" t="s">
        <v>219</v>
      </c>
      <c r="AY26" s="26">
        <v>96.0</v>
      </c>
      <c r="AZ26" s="26" t="s">
        <v>245</v>
      </c>
      <c r="BA26" s="26" t="s">
        <v>246</v>
      </c>
      <c r="BB26" s="26">
        <v>4.0</v>
      </c>
      <c r="BC26" s="26">
        <v>96.0</v>
      </c>
      <c r="BD26" s="26" t="s">
        <v>247</v>
      </c>
      <c r="BE26" s="26" t="s">
        <v>246</v>
      </c>
      <c r="BF26" s="26">
        <v>24.0</v>
      </c>
      <c r="BG26" s="26">
        <v>96.0</v>
      </c>
      <c r="BH26" s="26" t="s">
        <v>248</v>
      </c>
      <c r="BI26" s="26" t="s">
        <v>246</v>
      </c>
    </row>
    <row r="27">
      <c r="A27" s="21" t="s">
        <v>191</v>
      </c>
      <c r="B27" s="22">
        <v>2015.0</v>
      </c>
      <c r="C27" s="23"/>
      <c r="D27" s="24" t="s">
        <v>89</v>
      </c>
      <c r="E27" s="25">
        <v>2015.0</v>
      </c>
      <c r="F27" s="24">
        <v>1.0</v>
      </c>
      <c r="G27" s="24">
        <v>3.0</v>
      </c>
      <c r="H27" s="24">
        <v>1.0</v>
      </c>
      <c r="I27" s="24">
        <v>1.0</v>
      </c>
      <c r="J27" s="24">
        <v>2.0</v>
      </c>
      <c r="K27" s="24">
        <v>15.7</v>
      </c>
      <c r="L27" s="24">
        <v>14.0</v>
      </c>
      <c r="M27" s="24">
        <v>18.0</v>
      </c>
      <c r="N27" s="24">
        <v>100.0</v>
      </c>
      <c r="O27" s="24">
        <v>84.0</v>
      </c>
      <c r="P27" s="24">
        <v>1.0</v>
      </c>
      <c r="Q27" s="24" t="s">
        <v>219</v>
      </c>
      <c r="R27" s="24">
        <v>8.0</v>
      </c>
      <c r="S27" s="24" t="s">
        <v>219</v>
      </c>
      <c r="T27" s="24">
        <v>4.0</v>
      </c>
      <c r="U27" s="24" t="s">
        <v>219</v>
      </c>
      <c r="V27" s="24">
        <v>3.0</v>
      </c>
      <c r="W27" s="24" t="s">
        <v>219</v>
      </c>
      <c r="X27" s="24">
        <v>4.0</v>
      </c>
      <c r="Y27" s="24">
        <v>1.0</v>
      </c>
      <c r="Z27" s="24">
        <v>2.0</v>
      </c>
      <c r="AA27" s="26" t="s">
        <v>162</v>
      </c>
      <c r="AB27" s="26" t="s">
        <v>244</v>
      </c>
      <c r="AC27" s="26">
        <v>1.0</v>
      </c>
      <c r="AD27" s="26">
        <v>2.0</v>
      </c>
      <c r="AE27" s="27" t="s">
        <v>249</v>
      </c>
      <c r="AF27" s="27">
        <v>7.0</v>
      </c>
      <c r="AG27" s="27">
        <v>138.0</v>
      </c>
      <c r="AH27" s="27" t="s">
        <v>219</v>
      </c>
      <c r="AI27" s="27" t="s">
        <v>219</v>
      </c>
      <c r="AJ27" s="27" t="s">
        <v>90</v>
      </c>
      <c r="AK27" s="27">
        <v>2.0</v>
      </c>
      <c r="AL27" s="27">
        <v>1.0</v>
      </c>
      <c r="AM27" s="27">
        <v>2.0</v>
      </c>
      <c r="AN27" s="27" t="s">
        <v>219</v>
      </c>
      <c r="AO27" s="27" t="s">
        <v>90</v>
      </c>
      <c r="AP27" s="27">
        <v>1.0</v>
      </c>
      <c r="AQ27" s="27">
        <v>2.0</v>
      </c>
      <c r="AR27" s="27" t="s">
        <v>219</v>
      </c>
      <c r="AS27" s="27">
        <v>3.0</v>
      </c>
      <c r="AT27" s="27">
        <v>21.0</v>
      </c>
      <c r="AU27" s="27" t="s">
        <v>219</v>
      </c>
      <c r="AV27" s="26">
        <v>138.0</v>
      </c>
      <c r="AW27" s="26">
        <v>0.3</v>
      </c>
      <c r="AX27" s="26" t="s">
        <v>219</v>
      </c>
      <c r="AY27" s="26">
        <v>121.0</v>
      </c>
      <c r="AZ27" s="26" t="s">
        <v>250</v>
      </c>
      <c r="BA27" s="26" t="s">
        <v>246</v>
      </c>
      <c r="BB27" s="26">
        <v>4.0</v>
      </c>
      <c r="BC27" s="26">
        <v>124.0</v>
      </c>
      <c r="BD27" s="26" t="s">
        <v>251</v>
      </c>
      <c r="BE27" s="26" t="s">
        <v>246</v>
      </c>
      <c r="BF27" s="26">
        <v>24.0</v>
      </c>
      <c r="BG27" s="26">
        <v>107.0</v>
      </c>
      <c r="BH27" s="26" t="s">
        <v>252</v>
      </c>
      <c r="BI27" s="26" t="s">
        <v>246</v>
      </c>
    </row>
    <row r="28">
      <c r="A28" s="21" t="s">
        <v>191</v>
      </c>
      <c r="B28" s="22">
        <v>2015.0</v>
      </c>
      <c r="C28" s="23"/>
      <c r="D28" s="24" t="s">
        <v>89</v>
      </c>
      <c r="E28" s="25">
        <v>2015.0</v>
      </c>
      <c r="F28" s="24">
        <v>1.0</v>
      </c>
      <c r="G28" s="24">
        <v>3.0</v>
      </c>
      <c r="H28" s="24">
        <v>1.0</v>
      </c>
      <c r="I28" s="24">
        <v>1.0</v>
      </c>
      <c r="J28" s="24">
        <v>2.0</v>
      </c>
      <c r="K28" s="24">
        <v>15.7</v>
      </c>
      <c r="L28" s="24">
        <v>14.0</v>
      </c>
      <c r="M28" s="24">
        <v>18.0</v>
      </c>
      <c r="N28" s="24">
        <v>100.0</v>
      </c>
      <c r="O28" s="24">
        <v>84.0</v>
      </c>
      <c r="P28" s="24">
        <v>1.0</v>
      </c>
      <c r="Q28" s="24" t="s">
        <v>219</v>
      </c>
      <c r="R28" s="24">
        <v>8.0</v>
      </c>
      <c r="S28" s="24" t="s">
        <v>219</v>
      </c>
      <c r="T28" s="24">
        <v>4.0</v>
      </c>
      <c r="U28" s="24" t="s">
        <v>219</v>
      </c>
      <c r="V28" s="24">
        <v>3.0</v>
      </c>
      <c r="W28" s="24" t="s">
        <v>219</v>
      </c>
      <c r="X28" s="24">
        <v>4.0</v>
      </c>
      <c r="Y28" s="24">
        <v>1.0</v>
      </c>
      <c r="Z28" s="24">
        <v>2.0</v>
      </c>
      <c r="AA28" s="26" t="s">
        <v>162</v>
      </c>
      <c r="AB28" s="26" t="s">
        <v>244</v>
      </c>
      <c r="AC28" s="26">
        <v>1.0</v>
      </c>
      <c r="AD28" s="26">
        <v>2.0</v>
      </c>
      <c r="AE28" s="27" t="s">
        <v>170</v>
      </c>
      <c r="AF28" s="27">
        <v>6.0</v>
      </c>
      <c r="AG28" s="27">
        <v>101.0</v>
      </c>
      <c r="AH28" s="27" t="s">
        <v>90</v>
      </c>
      <c r="AI28" s="27" t="s">
        <v>90</v>
      </c>
      <c r="AJ28" s="27">
        <v>1.0</v>
      </c>
      <c r="AK28" s="27" t="s">
        <v>90</v>
      </c>
      <c r="AL28" s="27" t="s">
        <v>90</v>
      </c>
      <c r="AM28" s="27" t="s">
        <v>90</v>
      </c>
      <c r="AN28" s="27" t="s">
        <v>90</v>
      </c>
      <c r="AO28" s="27" t="s">
        <v>90</v>
      </c>
      <c r="AP28" s="27" t="s">
        <v>90</v>
      </c>
      <c r="AQ28" s="27" t="s">
        <v>90</v>
      </c>
      <c r="AR28" s="27" t="s">
        <v>90</v>
      </c>
      <c r="AS28" s="27" t="s">
        <v>90</v>
      </c>
      <c r="AT28" s="27" t="s">
        <v>90</v>
      </c>
      <c r="AU28" s="27" t="s">
        <v>90</v>
      </c>
      <c r="AV28" s="26">
        <v>101.0</v>
      </c>
      <c r="AW28" s="26">
        <v>0.3</v>
      </c>
      <c r="AX28" s="26" t="s">
        <v>219</v>
      </c>
      <c r="AY28" s="26">
        <v>83.0</v>
      </c>
      <c r="AZ28" s="26" t="s">
        <v>253</v>
      </c>
      <c r="BA28" s="26" t="s">
        <v>246</v>
      </c>
      <c r="BB28" s="26">
        <v>4.0</v>
      </c>
      <c r="BC28" s="26">
        <v>91.0</v>
      </c>
      <c r="BD28" s="26" t="s">
        <v>254</v>
      </c>
      <c r="BE28" s="26" t="s">
        <v>246</v>
      </c>
      <c r="BF28" s="26">
        <v>24.0</v>
      </c>
      <c r="BG28" s="26">
        <v>81.0</v>
      </c>
      <c r="BH28" s="26" t="s">
        <v>255</v>
      </c>
      <c r="BI28" s="26" t="s">
        <v>246</v>
      </c>
    </row>
    <row r="29">
      <c r="A29" s="21" t="s">
        <v>196</v>
      </c>
      <c r="B29" s="22">
        <v>2015.0</v>
      </c>
      <c r="C29" s="23"/>
      <c r="D29" s="24" t="s">
        <v>89</v>
      </c>
      <c r="E29" s="25">
        <v>2015.0</v>
      </c>
      <c r="F29" s="24">
        <v>1.0</v>
      </c>
      <c r="G29" s="24">
        <v>3.0</v>
      </c>
      <c r="H29" s="24">
        <v>1.0</v>
      </c>
      <c r="I29" s="24">
        <v>2.0</v>
      </c>
      <c r="J29" s="24">
        <v>1.0</v>
      </c>
      <c r="K29" s="24">
        <v>12.17</v>
      </c>
      <c r="L29" s="24">
        <v>11.0</v>
      </c>
      <c r="M29" s="24">
        <v>13.0</v>
      </c>
      <c r="N29" s="24">
        <v>50.83</v>
      </c>
      <c r="O29" s="24">
        <v>78.09</v>
      </c>
      <c r="P29" s="24">
        <v>4.39</v>
      </c>
      <c r="Q29" s="24" t="s">
        <v>219</v>
      </c>
      <c r="R29" s="24">
        <v>4.28</v>
      </c>
      <c r="S29" s="24" t="s">
        <v>219</v>
      </c>
      <c r="T29" s="24" t="s">
        <v>219</v>
      </c>
      <c r="U29" s="24">
        <v>5.21</v>
      </c>
      <c r="V29" s="24">
        <v>8.03</v>
      </c>
      <c r="W29" s="24" t="s">
        <v>219</v>
      </c>
      <c r="X29" s="24">
        <v>4.0</v>
      </c>
      <c r="Y29" s="24">
        <v>1.0</v>
      </c>
      <c r="Z29" s="24">
        <v>2.0</v>
      </c>
      <c r="AA29" s="26" t="s">
        <v>256</v>
      </c>
      <c r="AB29" s="26" t="s">
        <v>257</v>
      </c>
      <c r="AC29" s="26">
        <v>1.0</v>
      </c>
      <c r="AD29" s="26">
        <v>2.0</v>
      </c>
      <c r="AE29" s="27" t="s">
        <v>258</v>
      </c>
      <c r="AF29" s="27">
        <v>2.0</v>
      </c>
      <c r="AG29" s="27">
        <v>729.0</v>
      </c>
      <c r="AH29" s="27">
        <v>683.0</v>
      </c>
      <c r="AI29" s="27">
        <v>683.0</v>
      </c>
      <c r="AJ29" s="27" t="s">
        <v>90</v>
      </c>
      <c r="AK29" s="27">
        <v>2.0</v>
      </c>
      <c r="AL29" s="27">
        <v>1.0</v>
      </c>
      <c r="AM29" s="27">
        <v>3.0</v>
      </c>
      <c r="AN29" s="27">
        <v>1.0</v>
      </c>
      <c r="AO29" s="27">
        <v>1.0</v>
      </c>
      <c r="AP29" s="27">
        <v>1.0</v>
      </c>
      <c r="AQ29" s="27">
        <v>1.0</v>
      </c>
      <c r="AR29" s="27">
        <v>90.0</v>
      </c>
      <c r="AS29" s="27">
        <v>1.0</v>
      </c>
      <c r="AT29" s="27">
        <v>1.0</v>
      </c>
      <c r="AU29" s="27">
        <v>93.69</v>
      </c>
      <c r="AV29" s="26">
        <v>729.0</v>
      </c>
      <c r="AW29" s="26" t="s">
        <v>259</v>
      </c>
      <c r="AX29" s="26" t="s">
        <v>260</v>
      </c>
      <c r="AY29" s="26">
        <v>683.0</v>
      </c>
      <c r="AZ29" s="26" t="s">
        <v>261</v>
      </c>
      <c r="BA29" s="26" t="s">
        <v>262</v>
      </c>
      <c r="BB29" s="26" t="s">
        <v>263</v>
      </c>
      <c r="BC29" s="26">
        <v>599.0</v>
      </c>
      <c r="BD29" s="26" t="s">
        <v>264</v>
      </c>
      <c r="BE29" s="26" t="s">
        <v>265</v>
      </c>
      <c r="BF29" s="26" t="s">
        <v>90</v>
      </c>
      <c r="BG29" s="26" t="s">
        <v>90</v>
      </c>
      <c r="BH29" s="26" t="s">
        <v>90</v>
      </c>
      <c r="BI29" s="26" t="s">
        <v>90</v>
      </c>
    </row>
    <row r="30">
      <c r="A30" s="21" t="s">
        <v>196</v>
      </c>
      <c r="B30" s="22">
        <v>2015.0</v>
      </c>
      <c r="C30" s="23"/>
      <c r="D30" s="24" t="s">
        <v>89</v>
      </c>
      <c r="E30" s="25">
        <v>2015.0</v>
      </c>
      <c r="F30" s="24">
        <v>1.0</v>
      </c>
      <c r="G30" s="24">
        <v>3.0</v>
      </c>
      <c r="H30" s="24">
        <v>1.0</v>
      </c>
      <c r="I30" s="24">
        <v>2.0</v>
      </c>
      <c r="J30" s="24">
        <v>1.0</v>
      </c>
      <c r="K30" s="24">
        <v>12.17</v>
      </c>
      <c r="L30" s="24">
        <v>11.0</v>
      </c>
      <c r="M30" s="24">
        <v>13.0</v>
      </c>
      <c r="N30" s="24">
        <v>50.83</v>
      </c>
      <c r="O30" s="24">
        <v>78.09</v>
      </c>
      <c r="P30" s="24">
        <v>4.39</v>
      </c>
      <c r="Q30" s="24" t="s">
        <v>219</v>
      </c>
      <c r="R30" s="24">
        <v>4.28</v>
      </c>
      <c r="S30" s="24" t="s">
        <v>219</v>
      </c>
      <c r="T30" s="24" t="s">
        <v>219</v>
      </c>
      <c r="U30" s="24">
        <v>5.21</v>
      </c>
      <c r="V30" s="24">
        <v>8.03</v>
      </c>
      <c r="W30" s="24" t="s">
        <v>219</v>
      </c>
      <c r="X30" s="24">
        <v>4.0</v>
      </c>
      <c r="Y30" s="24">
        <v>1.0</v>
      </c>
      <c r="Z30" s="24">
        <v>2.0</v>
      </c>
      <c r="AA30" s="26" t="s">
        <v>256</v>
      </c>
      <c r="AB30" s="26" t="s">
        <v>257</v>
      </c>
      <c r="AC30" s="26">
        <v>1.0</v>
      </c>
      <c r="AD30" s="26">
        <v>2.0</v>
      </c>
      <c r="AE30" s="27" t="s">
        <v>266</v>
      </c>
      <c r="AF30" s="27">
        <v>2.0</v>
      </c>
      <c r="AG30" s="27">
        <v>551.0</v>
      </c>
      <c r="AH30" s="27">
        <v>495.0</v>
      </c>
      <c r="AI30" s="27">
        <v>495.0</v>
      </c>
      <c r="AJ30" s="27" t="s">
        <v>90</v>
      </c>
      <c r="AK30" s="27">
        <v>2.0</v>
      </c>
      <c r="AL30" s="27">
        <v>1.0</v>
      </c>
      <c r="AM30" s="27">
        <v>2.0</v>
      </c>
      <c r="AN30" s="27">
        <v>1.0</v>
      </c>
      <c r="AO30" s="27">
        <v>1.0</v>
      </c>
      <c r="AP30" s="27">
        <v>1.0</v>
      </c>
      <c r="AQ30" s="27">
        <v>1.0</v>
      </c>
      <c r="AR30" s="27">
        <v>90.0</v>
      </c>
      <c r="AS30" s="27">
        <v>1.0</v>
      </c>
      <c r="AT30" s="27">
        <v>1.0</v>
      </c>
      <c r="AU30" s="27">
        <v>89.84</v>
      </c>
      <c r="AV30" s="26">
        <v>551.0</v>
      </c>
      <c r="AW30" s="26" t="s">
        <v>267</v>
      </c>
      <c r="AX30" s="26" t="s">
        <v>260</v>
      </c>
      <c r="AY30" s="26">
        <v>495.0</v>
      </c>
      <c r="AZ30" s="26" t="s">
        <v>261</v>
      </c>
      <c r="BA30" s="26" t="s">
        <v>265</v>
      </c>
      <c r="BB30" s="26" t="s">
        <v>268</v>
      </c>
      <c r="BC30" s="26">
        <v>496.0</v>
      </c>
      <c r="BD30" s="26" t="s">
        <v>269</v>
      </c>
      <c r="BE30" s="26" t="s">
        <v>265</v>
      </c>
      <c r="BF30" s="26" t="s">
        <v>90</v>
      </c>
      <c r="BG30" s="26" t="s">
        <v>90</v>
      </c>
      <c r="BH30" s="26" t="s">
        <v>90</v>
      </c>
      <c r="BI30" s="26" t="s">
        <v>90</v>
      </c>
    </row>
    <row r="31">
      <c r="A31" s="21" t="s">
        <v>196</v>
      </c>
      <c r="B31" s="22">
        <v>2015.0</v>
      </c>
      <c r="C31" s="23"/>
      <c r="D31" s="24" t="s">
        <v>89</v>
      </c>
      <c r="E31" s="25">
        <v>2015.0</v>
      </c>
      <c r="F31" s="24">
        <v>1.0</v>
      </c>
      <c r="G31" s="24">
        <v>3.0</v>
      </c>
      <c r="H31" s="24">
        <v>1.0</v>
      </c>
      <c r="I31" s="24">
        <v>2.0</v>
      </c>
      <c r="J31" s="24">
        <v>1.0</v>
      </c>
      <c r="K31" s="24">
        <v>12.17</v>
      </c>
      <c r="L31" s="24">
        <v>11.0</v>
      </c>
      <c r="M31" s="24">
        <v>13.0</v>
      </c>
      <c r="N31" s="24">
        <v>50.83</v>
      </c>
      <c r="O31" s="24">
        <v>78.09</v>
      </c>
      <c r="P31" s="24">
        <v>4.39</v>
      </c>
      <c r="Q31" s="24" t="s">
        <v>219</v>
      </c>
      <c r="R31" s="24">
        <v>4.28</v>
      </c>
      <c r="S31" s="24" t="s">
        <v>219</v>
      </c>
      <c r="T31" s="24" t="s">
        <v>219</v>
      </c>
      <c r="U31" s="24">
        <v>5.21</v>
      </c>
      <c r="V31" s="24">
        <v>8.03</v>
      </c>
      <c r="W31" s="24" t="s">
        <v>219</v>
      </c>
      <c r="X31" s="24">
        <v>4.0</v>
      </c>
      <c r="Y31" s="24">
        <v>1.0</v>
      </c>
      <c r="Z31" s="24">
        <v>2.0</v>
      </c>
      <c r="AA31" s="26" t="s">
        <v>256</v>
      </c>
      <c r="AB31" s="26" t="s">
        <v>257</v>
      </c>
      <c r="AC31" s="26">
        <v>1.0</v>
      </c>
      <c r="AD31" s="26">
        <v>2.0</v>
      </c>
      <c r="AE31" s="27" t="s">
        <v>170</v>
      </c>
      <c r="AF31" s="27">
        <v>2.0</v>
      </c>
      <c r="AG31" s="27">
        <v>427.0</v>
      </c>
      <c r="AH31" s="27" t="s">
        <v>90</v>
      </c>
      <c r="AI31" s="27" t="s">
        <v>90</v>
      </c>
      <c r="AJ31" s="27">
        <v>1.0</v>
      </c>
      <c r="AK31" s="27" t="s">
        <v>90</v>
      </c>
      <c r="AL31" s="27" t="s">
        <v>90</v>
      </c>
      <c r="AM31" s="27" t="s">
        <v>90</v>
      </c>
      <c r="AN31" s="27" t="s">
        <v>90</v>
      </c>
      <c r="AO31" s="27" t="s">
        <v>90</v>
      </c>
      <c r="AP31" s="27" t="s">
        <v>90</v>
      </c>
      <c r="AQ31" s="27" t="s">
        <v>90</v>
      </c>
      <c r="AR31" s="27" t="s">
        <v>90</v>
      </c>
      <c r="AS31" s="27" t="s">
        <v>90</v>
      </c>
      <c r="AT31" s="27" t="s">
        <v>90</v>
      </c>
      <c r="AU31" s="27" t="s">
        <v>90</v>
      </c>
      <c r="AV31" s="26">
        <v>427.0</v>
      </c>
      <c r="AW31" s="26" t="s">
        <v>270</v>
      </c>
      <c r="AX31" s="26" t="s">
        <v>271</v>
      </c>
      <c r="AY31" s="26">
        <v>345.0</v>
      </c>
      <c r="AZ31" s="26" t="s">
        <v>272</v>
      </c>
      <c r="BA31" s="26" t="s">
        <v>273</v>
      </c>
      <c r="BB31" s="26" t="s">
        <v>268</v>
      </c>
      <c r="BC31" s="26">
        <v>306.0</v>
      </c>
      <c r="BD31" s="26" t="s">
        <v>274</v>
      </c>
      <c r="BE31" s="26" t="s">
        <v>275</v>
      </c>
      <c r="BF31" s="26" t="s">
        <v>90</v>
      </c>
      <c r="BG31" s="26" t="s">
        <v>90</v>
      </c>
      <c r="BH31" s="26" t="s">
        <v>90</v>
      </c>
      <c r="BI31" s="26" t="s">
        <v>90</v>
      </c>
    </row>
    <row r="32">
      <c r="A32" s="21" t="s">
        <v>202</v>
      </c>
      <c r="B32" s="22">
        <v>2015.0</v>
      </c>
      <c r="C32" s="23"/>
      <c r="D32" s="24" t="s">
        <v>89</v>
      </c>
      <c r="E32" s="25">
        <v>2015.0</v>
      </c>
      <c r="F32" s="24">
        <v>1.0</v>
      </c>
      <c r="G32" s="24">
        <v>1.0</v>
      </c>
      <c r="H32" s="24">
        <v>4.0</v>
      </c>
      <c r="I32" s="24">
        <v>1.0</v>
      </c>
      <c r="J32" s="24">
        <v>1.0</v>
      </c>
      <c r="K32" s="24">
        <v>14.9</v>
      </c>
      <c r="L32" s="24">
        <v>13.0</v>
      </c>
      <c r="M32" s="24">
        <v>17.0</v>
      </c>
      <c r="N32" s="24">
        <v>100.0</v>
      </c>
      <c r="O32" s="24">
        <v>72.0</v>
      </c>
      <c r="P32" s="24">
        <v>2.0</v>
      </c>
      <c r="Q32" s="24">
        <v>15.0</v>
      </c>
      <c r="R32" s="24">
        <v>2.0</v>
      </c>
      <c r="S32" s="24" t="s">
        <v>219</v>
      </c>
      <c r="T32" s="24">
        <v>9.0</v>
      </c>
      <c r="U32" s="24" t="s">
        <v>219</v>
      </c>
      <c r="V32" s="24">
        <v>20.0</v>
      </c>
      <c r="W32" s="24" t="s">
        <v>219</v>
      </c>
      <c r="X32" s="24">
        <v>2.0</v>
      </c>
      <c r="Y32" s="24">
        <v>3.0</v>
      </c>
      <c r="Z32" s="24">
        <v>2.0</v>
      </c>
      <c r="AA32" s="26" t="s">
        <v>162</v>
      </c>
      <c r="AB32" s="26" t="s">
        <v>220</v>
      </c>
      <c r="AC32" s="26">
        <v>1.0</v>
      </c>
      <c r="AD32" s="26">
        <v>2.0</v>
      </c>
      <c r="AE32" s="27" t="s">
        <v>276</v>
      </c>
      <c r="AF32" s="27" t="s">
        <v>277</v>
      </c>
      <c r="AG32" s="27">
        <v>43.0</v>
      </c>
      <c r="AH32" s="27" t="s">
        <v>219</v>
      </c>
      <c r="AI32" s="27" t="s">
        <v>219</v>
      </c>
      <c r="AJ32" s="27" t="s">
        <v>90</v>
      </c>
      <c r="AK32" s="27">
        <v>2.0</v>
      </c>
      <c r="AL32" s="27">
        <v>2.0</v>
      </c>
      <c r="AM32" s="27">
        <v>4.0</v>
      </c>
      <c r="AN32" s="27">
        <v>1.0</v>
      </c>
      <c r="AO32" s="27">
        <v>1.0</v>
      </c>
      <c r="AP32" s="27">
        <v>1.0</v>
      </c>
      <c r="AQ32" s="27">
        <v>1.0</v>
      </c>
      <c r="AR32" s="27">
        <v>240.0</v>
      </c>
      <c r="AS32" s="27">
        <v>4.0</v>
      </c>
      <c r="AT32" s="27">
        <v>28.0</v>
      </c>
      <c r="AU32" s="27" t="s">
        <v>219</v>
      </c>
      <c r="AV32" s="26">
        <v>43.0</v>
      </c>
      <c r="AW32" s="26">
        <v>2.22</v>
      </c>
      <c r="AX32" s="26">
        <v>1.02</v>
      </c>
      <c r="AY32" s="26">
        <v>36.0</v>
      </c>
      <c r="AZ32" s="26">
        <v>1.85</v>
      </c>
      <c r="BA32" s="26">
        <v>0.78</v>
      </c>
      <c r="BB32" s="26">
        <v>12.0</v>
      </c>
      <c r="BC32" s="26">
        <v>30.0</v>
      </c>
      <c r="BD32" s="26">
        <v>1.83</v>
      </c>
      <c r="BE32" s="26">
        <v>0.64</v>
      </c>
      <c r="BF32" s="26" t="s">
        <v>90</v>
      </c>
      <c r="BG32" s="26" t="s">
        <v>90</v>
      </c>
      <c r="BH32" s="26" t="s">
        <v>90</v>
      </c>
      <c r="BI32" s="26" t="s">
        <v>90</v>
      </c>
    </row>
    <row r="33">
      <c r="A33" s="21" t="s">
        <v>202</v>
      </c>
      <c r="B33" s="22">
        <v>2015.0</v>
      </c>
      <c r="C33" s="23"/>
      <c r="D33" s="24" t="s">
        <v>89</v>
      </c>
      <c r="E33" s="25">
        <v>2015.0</v>
      </c>
      <c r="F33" s="24">
        <v>1.0</v>
      </c>
      <c r="G33" s="24">
        <v>1.0</v>
      </c>
      <c r="H33" s="24">
        <v>4.0</v>
      </c>
      <c r="I33" s="24">
        <v>1.0</v>
      </c>
      <c r="J33" s="24">
        <v>1.0</v>
      </c>
      <c r="K33" s="24">
        <v>14.9</v>
      </c>
      <c r="L33" s="24">
        <v>13.0</v>
      </c>
      <c r="M33" s="24">
        <v>17.0</v>
      </c>
      <c r="N33" s="24">
        <v>100.0</v>
      </c>
      <c r="O33" s="24">
        <v>72.0</v>
      </c>
      <c r="P33" s="24">
        <v>2.0</v>
      </c>
      <c r="Q33" s="24">
        <v>15.0</v>
      </c>
      <c r="R33" s="24">
        <v>2.0</v>
      </c>
      <c r="S33" s="24" t="s">
        <v>219</v>
      </c>
      <c r="T33" s="24">
        <v>9.0</v>
      </c>
      <c r="U33" s="24" t="s">
        <v>219</v>
      </c>
      <c r="V33" s="24">
        <v>20.0</v>
      </c>
      <c r="W33" s="24" t="s">
        <v>219</v>
      </c>
      <c r="X33" s="24">
        <v>2.0</v>
      </c>
      <c r="Y33" s="24">
        <v>3.0</v>
      </c>
      <c r="Z33" s="24">
        <v>2.0</v>
      </c>
      <c r="AA33" s="26" t="s">
        <v>162</v>
      </c>
      <c r="AB33" s="26" t="s">
        <v>220</v>
      </c>
      <c r="AC33" s="26">
        <v>1.0</v>
      </c>
      <c r="AD33" s="26">
        <v>2.0</v>
      </c>
      <c r="AE33" s="27" t="s">
        <v>170</v>
      </c>
      <c r="AF33" s="27" t="s">
        <v>277</v>
      </c>
      <c r="AG33" s="27">
        <v>23.0</v>
      </c>
      <c r="AH33" s="27" t="s">
        <v>219</v>
      </c>
      <c r="AI33" s="27" t="s">
        <v>219</v>
      </c>
      <c r="AJ33" s="27">
        <v>2.0</v>
      </c>
      <c r="AK33" s="27" t="s">
        <v>90</v>
      </c>
      <c r="AL33" s="27" t="s">
        <v>90</v>
      </c>
      <c r="AM33" s="27" t="s">
        <v>90</v>
      </c>
      <c r="AN33" s="27" t="s">
        <v>90</v>
      </c>
      <c r="AO33" s="27" t="s">
        <v>90</v>
      </c>
      <c r="AP33" s="27" t="s">
        <v>90</v>
      </c>
      <c r="AQ33" s="27" t="s">
        <v>90</v>
      </c>
      <c r="AR33" s="27" t="s">
        <v>90</v>
      </c>
      <c r="AS33" s="27" t="s">
        <v>90</v>
      </c>
      <c r="AT33" s="27" t="s">
        <v>90</v>
      </c>
      <c r="AU33" s="27" t="s">
        <v>90</v>
      </c>
      <c r="AV33" s="26">
        <v>23.0</v>
      </c>
      <c r="AW33" s="26">
        <v>2.16</v>
      </c>
      <c r="AX33" s="26">
        <v>0.96</v>
      </c>
      <c r="AY33" s="26">
        <v>15.0</v>
      </c>
      <c r="AZ33" s="26">
        <v>2.25</v>
      </c>
      <c r="BA33" s="26">
        <v>1.05</v>
      </c>
      <c r="BB33" s="26">
        <v>12.0</v>
      </c>
      <c r="BC33" s="26">
        <v>17.0</v>
      </c>
      <c r="BD33" s="26">
        <v>2.13</v>
      </c>
      <c r="BE33" s="26">
        <v>0.98</v>
      </c>
      <c r="BF33" s="26" t="s">
        <v>90</v>
      </c>
      <c r="BG33" s="26" t="s">
        <v>90</v>
      </c>
      <c r="BH33" s="26" t="s">
        <v>90</v>
      </c>
      <c r="BI33" s="26" t="s">
        <v>90</v>
      </c>
    </row>
    <row r="34">
      <c r="A34" s="21" t="s">
        <v>203</v>
      </c>
      <c r="B34" s="22">
        <v>2016.0</v>
      </c>
      <c r="C34" s="28" t="s">
        <v>278</v>
      </c>
      <c r="D34" s="24" t="s">
        <v>89</v>
      </c>
      <c r="E34" s="25">
        <v>2016.0</v>
      </c>
      <c r="F34" s="24">
        <v>1.0</v>
      </c>
      <c r="G34" s="24">
        <v>3.0</v>
      </c>
      <c r="H34" s="24">
        <v>1.0</v>
      </c>
      <c r="I34" s="24">
        <v>1.0</v>
      </c>
      <c r="J34" s="24">
        <v>1.0</v>
      </c>
      <c r="K34" s="24">
        <v>13.0</v>
      </c>
      <c r="L34" s="24">
        <v>11.0</v>
      </c>
      <c r="M34" s="24">
        <v>14.0</v>
      </c>
      <c r="N34" s="24">
        <v>100.0</v>
      </c>
      <c r="O34" s="24">
        <v>89.79</v>
      </c>
      <c r="P34" s="24" t="s">
        <v>219</v>
      </c>
      <c r="Q34" s="24" t="s">
        <v>219</v>
      </c>
      <c r="R34" s="24" t="s">
        <v>219</v>
      </c>
      <c r="S34" s="24" t="s">
        <v>219</v>
      </c>
      <c r="T34" s="24">
        <v>10.21</v>
      </c>
      <c r="U34" s="24" t="s">
        <v>219</v>
      </c>
      <c r="V34" s="24">
        <v>0.0</v>
      </c>
      <c r="W34" s="24" t="s">
        <v>219</v>
      </c>
      <c r="X34" s="24">
        <v>2.0</v>
      </c>
      <c r="Y34" s="24">
        <v>3.0</v>
      </c>
      <c r="Z34" s="24">
        <v>2.0</v>
      </c>
      <c r="AA34" s="26" t="s">
        <v>256</v>
      </c>
      <c r="AB34" s="26" t="s">
        <v>257</v>
      </c>
      <c r="AC34" s="26">
        <v>1.0</v>
      </c>
      <c r="AD34" s="26">
        <v>2.0</v>
      </c>
      <c r="AE34" s="27" t="s">
        <v>279</v>
      </c>
      <c r="AF34" s="27">
        <v>3.0</v>
      </c>
      <c r="AG34" s="27">
        <v>84.0</v>
      </c>
      <c r="AH34" s="27">
        <v>81.0</v>
      </c>
      <c r="AI34" s="27">
        <v>81.0</v>
      </c>
      <c r="AJ34" s="27" t="s">
        <v>90</v>
      </c>
      <c r="AK34" s="27">
        <v>1.0</v>
      </c>
      <c r="AL34" s="27">
        <v>2.0</v>
      </c>
      <c r="AM34" s="27">
        <v>1.0</v>
      </c>
      <c r="AN34" s="27" t="s">
        <v>90</v>
      </c>
      <c r="AO34" s="27" t="s">
        <v>90</v>
      </c>
      <c r="AP34" s="27" t="s">
        <v>90</v>
      </c>
      <c r="AQ34" s="27" t="s">
        <v>90</v>
      </c>
      <c r="AR34" s="27">
        <v>30.0</v>
      </c>
      <c r="AS34" s="27">
        <v>1.0</v>
      </c>
      <c r="AT34" s="27">
        <v>1.0</v>
      </c>
      <c r="AU34" s="27">
        <v>96.43</v>
      </c>
      <c r="AV34" s="26">
        <v>81.0</v>
      </c>
      <c r="AW34" s="26">
        <v>1.84</v>
      </c>
      <c r="AX34" s="26" t="s">
        <v>219</v>
      </c>
      <c r="AY34" s="26">
        <v>80.0</v>
      </c>
      <c r="AZ34" s="26">
        <v>1.84</v>
      </c>
      <c r="BA34" s="26">
        <v>0.09</v>
      </c>
      <c r="BB34" s="26">
        <v>6.0</v>
      </c>
      <c r="BC34" s="26">
        <v>80.0</v>
      </c>
      <c r="BD34" s="26">
        <v>1.71</v>
      </c>
      <c r="BE34" s="26">
        <v>0.08</v>
      </c>
      <c r="BF34" s="26">
        <v>52.0</v>
      </c>
      <c r="BG34" s="26">
        <v>53.0</v>
      </c>
      <c r="BH34" s="26">
        <v>2.13</v>
      </c>
      <c r="BI34" s="26">
        <v>0.1</v>
      </c>
    </row>
    <row r="35">
      <c r="A35" s="21" t="s">
        <v>203</v>
      </c>
      <c r="B35" s="22">
        <v>2016.0</v>
      </c>
      <c r="C35" s="28"/>
      <c r="D35" s="24" t="s">
        <v>89</v>
      </c>
      <c r="E35" s="25">
        <v>2016.0</v>
      </c>
      <c r="F35" s="24">
        <v>1.0</v>
      </c>
      <c r="G35" s="24">
        <v>3.0</v>
      </c>
      <c r="H35" s="24">
        <v>1.0</v>
      </c>
      <c r="I35" s="24">
        <v>1.0</v>
      </c>
      <c r="J35" s="24">
        <v>1.0</v>
      </c>
      <c r="K35" s="24">
        <v>13.0</v>
      </c>
      <c r="L35" s="24">
        <v>11.0</v>
      </c>
      <c r="M35" s="24">
        <v>14.0</v>
      </c>
      <c r="N35" s="24">
        <v>100.0</v>
      </c>
      <c r="O35" s="24">
        <v>89.79</v>
      </c>
      <c r="P35" s="24" t="s">
        <v>219</v>
      </c>
      <c r="Q35" s="24" t="s">
        <v>219</v>
      </c>
      <c r="R35" s="24" t="s">
        <v>219</v>
      </c>
      <c r="S35" s="24" t="s">
        <v>219</v>
      </c>
      <c r="T35" s="24">
        <v>10.21</v>
      </c>
      <c r="U35" s="24" t="s">
        <v>219</v>
      </c>
      <c r="V35" s="24">
        <v>0.0</v>
      </c>
      <c r="W35" s="24" t="s">
        <v>219</v>
      </c>
      <c r="X35" s="24">
        <v>2.0</v>
      </c>
      <c r="Y35" s="24">
        <v>3.0</v>
      </c>
      <c r="Z35" s="24">
        <v>2.0</v>
      </c>
      <c r="AA35" s="26" t="s">
        <v>256</v>
      </c>
      <c r="AB35" s="26" t="s">
        <v>257</v>
      </c>
      <c r="AC35" s="26">
        <v>1.0</v>
      </c>
      <c r="AD35" s="26">
        <v>2.0</v>
      </c>
      <c r="AE35" s="27" t="s">
        <v>280</v>
      </c>
      <c r="AF35" s="27">
        <v>3.0</v>
      </c>
      <c r="AG35" s="27">
        <v>84.0</v>
      </c>
      <c r="AH35" s="27">
        <v>74.0</v>
      </c>
      <c r="AI35" s="27">
        <v>74.0</v>
      </c>
      <c r="AJ35" s="27" t="s">
        <v>90</v>
      </c>
      <c r="AK35" s="27">
        <v>1.0</v>
      </c>
      <c r="AL35" s="27">
        <v>2.0</v>
      </c>
      <c r="AM35" s="27">
        <v>1.0</v>
      </c>
      <c r="AN35" s="27" t="s">
        <v>90</v>
      </c>
      <c r="AO35" s="27" t="s">
        <v>90</v>
      </c>
      <c r="AP35" s="27" t="s">
        <v>90</v>
      </c>
      <c r="AQ35" s="27" t="s">
        <v>90</v>
      </c>
      <c r="AR35" s="27">
        <v>30.0</v>
      </c>
      <c r="AS35" s="27">
        <v>1.0</v>
      </c>
      <c r="AT35" s="27">
        <v>1.0</v>
      </c>
      <c r="AU35" s="27">
        <v>88.1</v>
      </c>
      <c r="AV35" s="26">
        <v>74.0</v>
      </c>
      <c r="AW35" s="26">
        <v>1.84</v>
      </c>
      <c r="AX35" s="26" t="s">
        <v>219</v>
      </c>
      <c r="AY35" s="26">
        <v>73.0</v>
      </c>
      <c r="AZ35" s="26">
        <v>1.82</v>
      </c>
      <c r="BA35" s="26">
        <v>0.08</v>
      </c>
      <c r="BB35" s="26">
        <v>6.0</v>
      </c>
      <c r="BC35" s="26">
        <v>73.0</v>
      </c>
      <c r="BD35" s="26">
        <v>1.73</v>
      </c>
      <c r="BE35" s="26">
        <v>0.07</v>
      </c>
      <c r="BF35" s="26">
        <v>52.0</v>
      </c>
      <c r="BG35" s="26">
        <v>57.0</v>
      </c>
      <c r="BH35" s="26">
        <v>1.88</v>
      </c>
      <c r="BI35" s="26">
        <v>0.11</v>
      </c>
    </row>
    <row r="36">
      <c r="A36" s="21" t="s">
        <v>203</v>
      </c>
      <c r="B36" s="22">
        <v>2016.0</v>
      </c>
      <c r="C36" s="28"/>
      <c r="D36" s="24" t="s">
        <v>89</v>
      </c>
      <c r="E36" s="25">
        <v>2016.0</v>
      </c>
      <c r="F36" s="24">
        <v>1.0</v>
      </c>
      <c r="G36" s="24">
        <v>3.0</v>
      </c>
      <c r="H36" s="24">
        <v>1.0</v>
      </c>
      <c r="I36" s="24">
        <v>1.0</v>
      </c>
      <c r="J36" s="24">
        <v>1.0</v>
      </c>
      <c r="K36" s="24">
        <v>13.0</v>
      </c>
      <c r="L36" s="24">
        <v>11.0</v>
      </c>
      <c r="M36" s="24">
        <v>14.0</v>
      </c>
      <c r="N36" s="24">
        <v>100.0</v>
      </c>
      <c r="O36" s="24">
        <v>89.79</v>
      </c>
      <c r="P36" s="24" t="s">
        <v>219</v>
      </c>
      <c r="Q36" s="24" t="s">
        <v>219</v>
      </c>
      <c r="R36" s="24" t="s">
        <v>219</v>
      </c>
      <c r="S36" s="24" t="s">
        <v>219</v>
      </c>
      <c r="T36" s="24">
        <v>10.21</v>
      </c>
      <c r="U36" s="24" t="s">
        <v>219</v>
      </c>
      <c r="V36" s="24">
        <v>0.0</v>
      </c>
      <c r="W36" s="24" t="s">
        <v>219</v>
      </c>
      <c r="X36" s="24">
        <v>2.0</v>
      </c>
      <c r="Y36" s="24">
        <v>3.0</v>
      </c>
      <c r="Z36" s="24">
        <v>2.0</v>
      </c>
      <c r="AA36" s="26" t="s">
        <v>256</v>
      </c>
      <c r="AB36" s="26" t="s">
        <v>257</v>
      </c>
      <c r="AC36" s="26">
        <v>1.0</v>
      </c>
      <c r="AD36" s="26">
        <v>2.0</v>
      </c>
      <c r="AE36" s="27" t="s">
        <v>170</v>
      </c>
      <c r="AF36" s="27">
        <v>3.0</v>
      </c>
      <c r="AG36" s="27">
        <v>84.0</v>
      </c>
      <c r="AH36" s="27" t="s">
        <v>90</v>
      </c>
      <c r="AI36" s="27" t="s">
        <v>90</v>
      </c>
      <c r="AJ36" s="27">
        <v>1.0</v>
      </c>
      <c r="AK36" s="27" t="s">
        <v>90</v>
      </c>
      <c r="AL36" s="27" t="s">
        <v>90</v>
      </c>
      <c r="AM36" s="27" t="s">
        <v>90</v>
      </c>
      <c r="AN36" s="27" t="s">
        <v>90</v>
      </c>
      <c r="AO36" s="27" t="s">
        <v>90</v>
      </c>
      <c r="AP36" s="27" t="s">
        <v>90</v>
      </c>
      <c r="AQ36" s="27" t="s">
        <v>90</v>
      </c>
      <c r="AR36" s="27" t="s">
        <v>90</v>
      </c>
      <c r="AS36" s="27" t="s">
        <v>90</v>
      </c>
      <c r="AT36" s="27" t="s">
        <v>90</v>
      </c>
      <c r="AU36" s="27" t="s">
        <v>90</v>
      </c>
      <c r="AV36" s="26">
        <v>80.0</v>
      </c>
      <c r="AW36" s="26">
        <v>1.84</v>
      </c>
      <c r="AX36" s="26" t="s">
        <v>219</v>
      </c>
      <c r="AY36" s="26">
        <v>79.0</v>
      </c>
      <c r="AZ36" s="26">
        <v>1.86</v>
      </c>
      <c r="BA36" s="26">
        <v>0.08</v>
      </c>
      <c r="BB36" s="26">
        <v>6.0</v>
      </c>
      <c r="BC36" s="26">
        <v>80.0</v>
      </c>
      <c r="BD36" s="26">
        <v>1.97</v>
      </c>
      <c r="BE36" s="26">
        <v>0.1</v>
      </c>
      <c r="BF36" s="26">
        <v>52.0</v>
      </c>
      <c r="BG36" s="26">
        <v>48.0</v>
      </c>
      <c r="BH36" s="26">
        <v>2.13</v>
      </c>
      <c r="BI36" s="26">
        <v>0.13</v>
      </c>
    </row>
    <row r="37">
      <c r="A37" s="21" t="s">
        <v>207</v>
      </c>
      <c r="B37" s="22">
        <v>2017.0</v>
      </c>
      <c r="C37" s="23"/>
      <c r="D37" s="24" t="s">
        <v>89</v>
      </c>
      <c r="E37" s="25">
        <v>2017.0</v>
      </c>
      <c r="F37" s="24">
        <v>1.0</v>
      </c>
      <c r="G37" s="24">
        <v>3.0</v>
      </c>
      <c r="H37" s="24">
        <v>1.0</v>
      </c>
      <c r="I37" s="24">
        <v>2.0</v>
      </c>
      <c r="J37" s="24">
        <v>2.0</v>
      </c>
      <c r="K37" s="24" t="s">
        <v>281</v>
      </c>
      <c r="L37" s="24" t="s">
        <v>219</v>
      </c>
      <c r="M37" s="24" t="s">
        <v>219</v>
      </c>
      <c r="N37" s="24" t="s">
        <v>282</v>
      </c>
      <c r="O37" s="24" t="s">
        <v>219</v>
      </c>
      <c r="P37" s="24" t="s">
        <v>219</v>
      </c>
      <c r="Q37" s="24" t="s">
        <v>219</v>
      </c>
      <c r="R37" s="24" t="s">
        <v>219</v>
      </c>
      <c r="S37" s="24" t="s">
        <v>219</v>
      </c>
      <c r="T37" s="24" t="s">
        <v>219</v>
      </c>
      <c r="U37" s="24" t="s">
        <v>219</v>
      </c>
      <c r="V37" s="24" t="s">
        <v>219</v>
      </c>
      <c r="W37" s="24" t="s">
        <v>219</v>
      </c>
      <c r="X37" s="24">
        <v>4.0</v>
      </c>
      <c r="Y37" s="24">
        <v>1.0</v>
      </c>
      <c r="Z37" s="24">
        <v>2.0</v>
      </c>
      <c r="AA37" s="26" t="s">
        <v>208</v>
      </c>
      <c r="AB37" s="26" t="s">
        <v>283</v>
      </c>
      <c r="AC37" s="26">
        <v>1.0</v>
      </c>
      <c r="AD37" s="26">
        <v>1.0</v>
      </c>
      <c r="AE37" s="27" t="s">
        <v>169</v>
      </c>
      <c r="AF37" s="27">
        <v>15.0</v>
      </c>
      <c r="AG37" s="27">
        <v>1187.0</v>
      </c>
      <c r="AH37" s="27" t="s">
        <v>219</v>
      </c>
      <c r="AI37" s="27">
        <v>836.0</v>
      </c>
      <c r="AJ37" s="27" t="s">
        <v>90</v>
      </c>
      <c r="AK37" s="27">
        <v>2.0</v>
      </c>
      <c r="AL37" s="27">
        <v>2.0</v>
      </c>
      <c r="AM37" s="27">
        <v>2.0</v>
      </c>
      <c r="AN37" s="27">
        <v>1.0</v>
      </c>
      <c r="AO37" s="27">
        <v>2.0</v>
      </c>
      <c r="AP37" s="27" t="s">
        <v>219</v>
      </c>
      <c r="AQ37" s="27">
        <v>1.0</v>
      </c>
      <c r="AR37" s="27">
        <v>270.0</v>
      </c>
      <c r="AS37" s="27">
        <v>3.0</v>
      </c>
      <c r="AT37" s="27">
        <v>14.0</v>
      </c>
      <c r="AU37" s="27" t="s">
        <v>219</v>
      </c>
      <c r="AV37" s="63" t="s">
        <v>284</v>
      </c>
      <c r="AW37" s="26">
        <v>5.41</v>
      </c>
      <c r="AX37" s="26">
        <v>4.32</v>
      </c>
      <c r="AY37" s="26" t="s">
        <v>285</v>
      </c>
      <c r="AZ37" s="26">
        <v>5.16</v>
      </c>
      <c r="BA37" s="26">
        <v>4.61</v>
      </c>
      <c r="BB37" s="26">
        <v>24.0</v>
      </c>
      <c r="BC37" s="26">
        <v>724.0</v>
      </c>
      <c r="BD37" s="26">
        <v>5.28</v>
      </c>
      <c r="BE37" s="26">
        <v>4.37</v>
      </c>
      <c r="BF37" s="26" t="s">
        <v>90</v>
      </c>
      <c r="BG37" s="26" t="s">
        <v>90</v>
      </c>
      <c r="BH37" s="26" t="s">
        <v>90</v>
      </c>
      <c r="BI37" s="26" t="s">
        <v>90</v>
      </c>
    </row>
    <row r="38">
      <c r="A38" s="21" t="s">
        <v>207</v>
      </c>
      <c r="B38" s="22">
        <v>2017.0</v>
      </c>
      <c r="C38" s="23"/>
      <c r="D38" s="24" t="s">
        <v>89</v>
      </c>
      <c r="E38" s="25">
        <v>2017.0</v>
      </c>
      <c r="F38" s="24">
        <v>1.0</v>
      </c>
      <c r="G38" s="24">
        <v>3.0</v>
      </c>
      <c r="H38" s="24">
        <v>1.0</v>
      </c>
      <c r="I38" s="24">
        <v>2.0</v>
      </c>
      <c r="J38" s="24">
        <v>2.0</v>
      </c>
      <c r="K38" s="24" t="s">
        <v>281</v>
      </c>
      <c r="L38" s="24" t="s">
        <v>219</v>
      </c>
      <c r="M38" s="24" t="s">
        <v>219</v>
      </c>
      <c r="N38" s="24" t="s">
        <v>282</v>
      </c>
      <c r="O38" s="24" t="s">
        <v>219</v>
      </c>
      <c r="P38" s="24" t="s">
        <v>219</v>
      </c>
      <c r="Q38" s="24" t="s">
        <v>219</v>
      </c>
      <c r="R38" s="24" t="s">
        <v>219</v>
      </c>
      <c r="S38" s="24" t="s">
        <v>219</v>
      </c>
      <c r="T38" s="24" t="s">
        <v>219</v>
      </c>
      <c r="U38" s="24" t="s">
        <v>219</v>
      </c>
      <c r="V38" s="24" t="s">
        <v>219</v>
      </c>
      <c r="W38" s="24" t="s">
        <v>219</v>
      </c>
      <c r="X38" s="24">
        <v>4.0</v>
      </c>
      <c r="Y38" s="24">
        <v>1.0</v>
      </c>
      <c r="Z38" s="24">
        <v>2.0</v>
      </c>
      <c r="AA38" s="26" t="s">
        <v>208</v>
      </c>
      <c r="AB38" s="26" t="s">
        <v>283</v>
      </c>
      <c r="AC38" s="26">
        <v>1.0</v>
      </c>
      <c r="AD38" s="26">
        <v>1.0</v>
      </c>
      <c r="AE38" s="27" t="s">
        <v>170</v>
      </c>
      <c r="AF38" s="27">
        <v>8.0</v>
      </c>
      <c r="AG38" s="27">
        <v>1155.0</v>
      </c>
      <c r="AH38" s="27" t="s">
        <v>90</v>
      </c>
      <c r="AI38" s="27" t="s">
        <v>90</v>
      </c>
      <c r="AJ38" s="27">
        <v>1.0</v>
      </c>
      <c r="AK38" s="27" t="s">
        <v>90</v>
      </c>
      <c r="AL38" s="27" t="s">
        <v>90</v>
      </c>
      <c r="AM38" s="27" t="s">
        <v>90</v>
      </c>
      <c r="AN38" s="27" t="s">
        <v>90</v>
      </c>
      <c r="AO38" s="27" t="s">
        <v>90</v>
      </c>
      <c r="AP38" s="27" t="s">
        <v>90</v>
      </c>
      <c r="AQ38" s="27" t="s">
        <v>90</v>
      </c>
      <c r="AR38" s="27" t="s">
        <v>90</v>
      </c>
      <c r="AS38" s="27" t="s">
        <v>90</v>
      </c>
      <c r="AT38" s="27" t="s">
        <v>90</v>
      </c>
      <c r="AU38" s="27" t="s">
        <v>90</v>
      </c>
      <c r="AV38" s="26" t="s">
        <v>286</v>
      </c>
      <c r="AW38" s="26">
        <v>5.39</v>
      </c>
      <c r="AX38" s="26">
        <v>4.26</v>
      </c>
      <c r="AY38" s="26" t="s">
        <v>287</v>
      </c>
      <c r="AZ38" s="26">
        <v>5.2</v>
      </c>
      <c r="BA38" s="26">
        <v>3.94</v>
      </c>
      <c r="BB38" s="26">
        <v>24.0</v>
      </c>
      <c r="BC38" s="26">
        <v>728.0</v>
      </c>
      <c r="BD38" s="26">
        <v>5.34</v>
      </c>
      <c r="BE38" s="26">
        <v>4.07</v>
      </c>
      <c r="BF38" s="26" t="s">
        <v>90</v>
      </c>
      <c r="BG38" s="26" t="s">
        <v>90</v>
      </c>
      <c r="BH38" s="26" t="s">
        <v>90</v>
      </c>
      <c r="BI38" s="26" t="s">
        <v>90</v>
      </c>
    </row>
    <row r="39">
      <c r="A39" s="21" t="s">
        <v>210</v>
      </c>
      <c r="B39" s="22">
        <v>2018.0</v>
      </c>
      <c r="C39" s="28" t="s">
        <v>278</v>
      </c>
      <c r="D39" s="24" t="s">
        <v>89</v>
      </c>
      <c r="E39" s="25">
        <v>2018.0</v>
      </c>
      <c r="F39" s="24">
        <v>1.0</v>
      </c>
      <c r="G39" s="24">
        <v>1.0</v>
      </c>
      <c r="H39" s="24">
        <v>1.0</v>
      </c>
      <c r="I39" s="24">
        <v>1.0</v>
      </c>
      <c r="J39" s="24">
        <v>2.0</v>
      </c>
      <c r="K39" s="24" t="s">
        <v>219</v>
      </c>
      <c r="L39" s="24" t="s">
        <v>219</v>
      </c>
      <c r="M39" s="24" t="s">
        <v>219</v>
      </c>
      <c r="N39" s="24">
        <v>85.96</v>
      </c>
      <c r="O39" s="24" t="s">
        <v>288</v>
      </c>
      <c r="P39" s="24" t="s">
        <v>219</v>
      </c>
      <c r="Q39" s="24" t="s">
        <v>219</v>
      </c>
      <c r="R39" s="24" t="s">
        <v>219</v>
      </c>
      <c r="S39" s="24" t="s">
        <v>219</v>
      </c>
      <c r="T39" s="24" t="s">
        <v>219</v>
      </c>
      <c r="U39" s="24" t="s">
        <v>219</v>
      </c>
      <c r="V39" s="24" t="s">
        <v>219</v>
      </c>
      <c r="W39" s="24" t="s">
        <v>219</v>
      </c>
      <c r="X39" s="24">
        <v>4.0</v>
      </c>
      <c r="Y39" s="24">
        <v>1.0</v>
      </c>
      <c r="Z39" s="24">
        <v>2.0</v>
      </c>
      <c r="AA39" s="26" t="s">
        <v>212</v>
      </c>
      <c r="AB39" s="26" t="s">
        <v>289</v>
      </c>
      <c r="AC39" s="26">
        <v>1.0</v>
      </c>
      <c r="AD39" s="26">
        <v>2.0</v>
      </c>
      <c r="AE39" s="27" t="s">
        <v>290</v>
      </c>
      <c r="AF39" s="27">
        <v>1.0</v>
      </c>
      <c r="AG39" s="27">
        <v>36.0</v>
      </c>
      <c r="AH39" s="27">
        <v>36.0</v>
      </c>
      <c r="AI39" s="27">
        <v>27.0</v>
      </c>
      <c r="AJ39" s="27" t="s">
        <v>90</v>
      </c>
      <c r="AK39" s="27">
        <v>2.0</v>
      </c>
      <c r="AL39" s="27">
        <v>2.0</v>
      </c>
      <c r="AM39" s="27">
        <v>4.0</v>
      </c>
      <c r="AN39" s="27">
        <v>1.0</v>
      </c>
      <c r="AO39" s="27">
        <v>2.0</v>
      </c>
      <c r="AP39" s="27">
        <v>1.0</v>
      </c>
      <c r="AQ39" s="27">
        <v>1.0</v>
      </c>
      <c r="AR39" s="27" t="s">
        <v>219</v>
      </c>
      <c r="AS39" s="27">
        <v>25.0</v>
      </c>
      <c r="AT39" s="27">
        <v>244.0</v>
      </c>
      <c r="AU39" s="27">
        <v>75.0</v>
      </c>
      <c r="AV39" s="26" t="s">
        <v>291</v>
      </c>
      <c r="AW39" s="26">
        <v>20.4</v>
      </c>
      <c r="AX39" s="26">
        <v>7.78</v>
      </c>
      <c r="AY39" s="26">
        <v>27.0</v>
      </c>
      <c r="AZ39" s="26">
        <v>20.44</v>
      </c>
      <c r="BA39" s="26">
        <v>8.19</v>
      </c>
      <c r="BB39" s="26" t="s">
        <v>90</v>
      </c>
      <c r="BC39" s="26" t="s">
        <v>90</v>
      </c>
      <c r="BD39" s="26" t="s">
        <v>90</v>
      </c>
      <c r="BE39" s="26" t="s">
        <v>90</v>
      </c>
      <c r="BF39" s="26" t="s">
        <v>90</v>
      </c>
      <c r="BG39" s="26" t="s">
        <v>90</v>
      </c>
      <c r="BH39" s="26" t="s">
        <v>90</v>
      </c>
      <c r="BI39" s="26" t="s">
        <v>90</v>
      </c>
    </row>
    <row r="40">
      <c r="A40" s="21" t="s">
        <v>210</v>
      </c>
      <c r="B40" s="22">
        <v>2018.0</v>
      </c>
      <c r="C40" s="28"/>
      <c r="D40" s="24" t="s">
        <v>89</v>
      </c>
      <c r="E40" s="25">
        <v>2018.0</v>
      </c>
      <c r="F40" s="24">
        <v>1.0</v>
      </c>
      <c r="G40" s="24">
        <v>1.0</v>
      </c>
      <c r="H40" s="24">
        <v>1.0</v>
      </c>
      <c r="I40" s="24">
        <v>1.0</v>
      </c>
      <c r="J40" s="24">
        <v>2.0</v>
      </c>
      <c r="K40" s="24" t="s">
        <v>219</v>
      </c>
      <c r="L40" s="24" t="s">
        <v>219</v>
      </c>
      <c r="M40" s="24" t="s">
        <v>219</v>
      </c>
      <c r="N40" s="24">
        <v>85.96</v>
      </c>
      <c r="O40" s="24" t="s">
        <v>288</v>
      </c>
      <c r="P40" s="24" t="s">
        <v>219</v>
      </c>
      <c r="Q40" s="24" t="s">
        <v>219</v>
      </c>
      <c r="R40" s="24" t="s">
        <v>219</v>
      </c>
      <c r="S40" s="24" t="s">
        <v>219</v>
      </c>
      <c r="T40" s="24" t="s">
        <v>219</v>
      </c>
      <c r="U40" s="24" t="s">
        <v>219</v>
      </c>
      <c r="V40" s="24" t="s">
        <v>219</v>
      </c>
      <c r="W40" s="24" t="s">
        <v>219</v>
      </c>
      <c r="X40" s="24">
        <v>4.0</v>
      </c>
      <c r="Y40" s="24">
        <v>1.0</v>
      </c>
      <c r="Z40" s="24">
        <v>2.0</v>
      </c>
      <c r="AA40" s="26" t="s">
        <v>212</v>
      </c>
      <c r="AB40" s="26" t="s">
        <v>289</v>
      </c>
      <c r="AC40" s="26">
        <v>1.0</v>
      </c>
      <c r="AD40" s="26">
        <v>2.0</v>
      </c>
      <c r="AE40" s="27" t="s">
        <v>292</v>
      </c>
      <c r="AF40" s="27">
        <v>1.0</v>
      </c>
      <c r="AG40" s="27">
        <v>12.0</v>
      </c>
      <c r="AH40" s="27">
        <v>12.0</v>
      </c>
      <c r="AI40" s="27">
        <v>10.0</v>
      </c>
      <c r="AJ40" s="27" t="s">
        <v>90</v>
      </c>
      <c r="AK40" s="27">
        <v>2.0</v>
      </c>
      <c r="AL40" s="27">
        <v>2.0</v>
      </c>
      <c r="AM40" s="27">
        <v>4.0</v>
      </c>
      <c r="AN40" s="27">
        <v>1.0</v>
      </c>
      <c r="AO40" s="27">
        <v>2.0</v>
      </c>
      <c r="AP40" s="27">
        <v>1.0</v>
      </c>
      <c r="AQ40" s="27">
        <v>1.0</v>
      </c>
      <c r="AR40" s="27" t="s">
        <v>219</v>
      </c>
      <c r="AS40" s="27">
        <v>18.0</v>
      </c>
      <c r="AT40" s="27">
        <v>244.0</v>
      </c>
      <c r="AU40" s="27">
        <v>83.33</v>
      </c>
      <c r="AV40" s="26" t="s">
        <v>293</v>
      </c>
      <c r="AW40" s="26">
        <v>28.6</v>
      </c>
      <c r="AX40" s="26">
        <v>10.7</v>
      </c>
      <c r="AY40" s="26">
        <v>10.0</v>
      </c>
      <c r="AZ40" s="26">
        <v>27.8</v>
      </c>
      <c r="BA40" s="26">
        <v>9.89</v>
      </c>
      <c r="BB40" s="26" t="s">
        <v>90</v>
      </c>
      <c r="BC40" s="26" t="s">
        <v>90</v>
      </c>
      <c r="BD40" s="26" t="s">
        <v>90</v>
      </c>
      <c r="BE40" s="26" t="s">
        <v>90</v>
      </c>
      <c r="BF40" s="26" t="s">
        <v>90</v>
      </c>
      <c r="BG40" s="26" t="s">
        <v>90</v>
      </c>
      <c r="BH40" s="26" t="s">
        <v>90</v>
      </c>
      <c r="BI40" s="26" t="s">
        <v>90</v>
      </c>
    </row>
    <row r="41">
      <c r="A41" s="21" t="s">
        <v>210</v>
      </c>
      <c r="B41" s="22">
        <v>2018.0</v>
      </c>
      <c r="C41" s="28"/>
      <c r="D41" s="24" t="s">
        <v>89</v>
      </c>
      <c r="E41" s="25">
        <v>2018.0</v>
      </c>
      <c r="F41" s="24">
        <v>1.0</v>
      </c>
      <c r="G41" s="24">
        <v>1.0</v>
      </c>
      <c r="H41" s="24">
        <v>1.0</v>
      </c>
      <c r="I41" s="24">
        <v>1.0</v>
      </c>
      <c r="J41" s="24">
        <v>2.0</v>
      </c>
      <c r="K41" s="24" t="s">
        <v>219</v>
      </c>
      <c r="L41" s="24" t="s">
        <v>219</v>
      </c>
      <c r="M41" s="24" t="s">
        <v>219</v>
      </c>
      <c r="N41" s="24">
        <v>85.96</v>
      </c>
      <c r="O41" s="24" t="s">
        <v>288</v>
      </c>
      <c r="P41" s="24" t="s">
        <v>219</v>
      </c>
      <c r="Q41" s="24" t="s">
        <v>219</v>
      </c>
      <c r="R41" s="24" t="s">
        <v>219</v>
      </c>
      <c r="S41" s="24" t="s">
        <v>219</v>
      </c>
      <c r="T41" s="24" t="s">
        <v>219</v>
      </c>
      <c r="U41" s="24" t="s">
        <v>219</v>
      </c>
      <c r="V41" s="24" t="s">
        <v>219</v>
      </c>
      <c r="W41" s="24" t="s">
        <v>219</v>
      </c>
      <c r="X41" s="24">
        <v>4.0</v>
      </c>
      <c r="Y41" s="24">
        <v>1.0</v>
      </c>
      <c r="Z41" s="24">
        <v>2.0</v>
      </c>
      <c r="AA41" s="26" t="s">
        <v>212</v>
      </c>
      <c r="AB41" s="26" t="s">
        <v>289</v>
      </c>
      <c r="AC41" s="26">
        <v>1.0</v>
      </c>
      <c r="AD41" s="26">
        <v>2.0</v>
      </c>
      <c r="AE41" s="27" t="s">
        <v>170</v>
      </c>
      <c r="AF41" s="27">
        <v>1.0</v>
      </c>
      <c r="AG41" s="27">
        <v>23.0</v>
      </c>
      <c r="AH41" s="27">
        <v>23.0</v>
      </c>
      <c r="AI41" s="27">
        <v>20.0</v>
      </c>
      <c r="AJ41" s="27">
        <v>1.0</v>
      </c>
      <c r="AK41" s="27" t="s">
        <v>90</v>
      </c>
      <c r="AL41" s="27" t="s">
        <v>90</v>
      </c>
      <c r="AM41" s="27" t="s">
        <v>90</v>
      </c>
      <c r="AN41" s="27" t="s">
        <v>90</v>
      </c>
      <c r="AO41" s="27" t="s">
        <v>90</v>
      </c>
      <c r="AP41" s="27" t="s">
        <v>90</v>
      </c>
      <c r="AQ41" s="27" t="s">
        <v>90</v>
      </c>
      <c r="AR41" s="27" t="s">
        <v>90</v>
      </c>
      <c r="AS41" s="27" t="s">
        <v>90</v>
      </c>
      <c r="AT41" s="27" t="s">
        <v>90</v>
      </c>
      <c r="AU41" s="27" t="s">
        <v>90</v>
      </c>
      <c r="AV41" s="26" t="s">
        <v>294</v>
      </c>
      <c r="AW41" s="26">
        <v>26.22</v>
      </c>
      <c r="AX41" s="26">
        <v>8.04</v>
      </c>
      <c r="AY41" s="26">
        <v>20.0</v>
      </c>
      <c r="AZ41" s="26">
        <v>31.5</v>
      </c>
      <c r="BA41" s="26">
        <v>8.33</v>
      </c>
      <c r="BB41" s="26" t="s">
        <v>90</v>
      </c>
      <c r="BC41" s="26" t="s">
        <v>90</v>
      </c>
      <c r="BD41" s="26" t="s">
        <v>90</v>
      </c>
      <c r="BE41" s="26" t="s">
        <v>90</v>
      </c>
      <c r="BF41" s="26" t="s">
        <v>90</v>
      </c>
      <c r="BG41" s="26" t="s">
        <v>90</v>
      </c>
      <c r="BH41" s="26" t="s">
        <v>90</v>
      </c>
      <c r="BI41" s="26" t="s">
        <v>90</v>
      </c>
    </row>
    <row r="42">
      <c r="A42" s="21" t="s">
        <v>214</v>
      </c>
      <c r="B42" s="22">
        <v>2019.0</v>
      </c>
      <c r="C42" s="23"/>
      <c r="D42" s="24" t="s">
        <v>89</v>
      </c>
      <c r="E42" s="25">
        <v>2019.0</v>
      </c>
      <c r="F42" s="24">
        <v>1.0</v>
      </c>
      <c r="G42" s="24">
        <v>3.0</v>
      </c>
      <c r="H42" s="24">
        <v>1.0</v>
      </c>
      <c r="I42" s="24">
        <v>1.0</v>
      </c>
      <c r="J42" s="24">
        <v>2.0</v>
      </c>
      <c r="K42" s="24">
        <v>16.25</v>
      </c>
      <c r="L42" s="24" t="s">
        <v>219</v>
      </c>
      <c r="M42" s="24" t="s">
        <v>219</v>
      </c>
      <c r="N42" s="24">
        <v>100.0</v>
      </c>
      <c r="O42" s="24" t="s">
        <v>219</v>
      </c>
      <c r="P42" s="24" t="s">
        <v>219</v>
      </c>
      <c r="Q42" s="24">
        <v>100.0</v>
      </c>
      <c r="R42" s="24" t="s">
        <v>219</v>
      </c>
      <c r="S42" s="24" t="s">
        <v>219</v>
      </c>
      <c r="T42" s="24" t="s">
        <v>219</v>
      </c>
      <c r="U42" s="24" t="s">
        <v>219</v>
      </c>
      <c r="V42" s="24" t="s">
        <v>219</v>
      </c>
      <c r="W42" s="24" t="s">
        <v>219</v>
      </c>
      <c r="X42" s="24">
        <v>2.0</v>
      </c>
      <c r="Y42" s="24">
        <v>3.0</v>
      </c>
      <c r="Z42" s="24">
        <v>2.0</v>
      </c>
      <c r="AA42" s="26" t="s">
        <v>215</v>
      </c>
      <c r="AB42" s="26" t="s">
        <v>225</v>
      </c>
      <c r="AC42" s="26">
        <v>1.0</v>
      </c>
      <c r="AD42" s="26">
        <v>1.0</v>
      </c>
      <c r="AE42" s="27" t="s">
        <v>169</v>
      </c>
      <c r="AF42" s="27">
        <v>79.0</v>
      </c>
      <c r="AG42" s="27">
        <v>79.0</v>
      </c>
      <c r="AH42" s="27">
        <v>79.0</v>
      </c>
      <c r="AI42" s="27">
        <v>40.0</v>
      </c>
      <c r="AJ42" s="27" t="s">
        <v>90</v>
      </c>
      <c r="AK42" s="27">
        <v>2.0</v>
      </c>
      <c r="AL42" s="27">
        <v>2.0</v>
      </c>
      <c r="AM42" s="27">
        <v>2.0</v>
      </c>
      <c r="AN42" s="27">
        <v>1.0</v>
      </c>
      <c r="AO42" s="27">
        <v>1.0</v>
      </c>
      <c r="AP42" s="27">
        <v>1.0</v>
      </c>
      <c r="AQ42" s="27" t="s">
        <v>219</v>
      </c>
      <c r="AR42" s="27">
        <v>240.0</v>
      </c>
      <c r="AS42" s="27">
        <v>4.0</v>
      </c>
      <c r="AT42" s="27">
        <v>28.0</v>
      </c>
      <c r="AU42" s="27">
        <v>50.6</v>
      </c>
      <c r="AV42" s="26">
        <v>79.0</v>
      </c>
      <c r="AW42" s="26">
        <v>9.7</v>
      </c>
      <c r="AX42" s="26">
        <v>7.97</v>
      </c>
      <c r="AY42" s="26">
        <v>40.0</v>
      </c>
      <c r="AZ42" s="26">
        <v>6.32</v>
      </c>
      <c r="BA42" s="26">
        <v>4.67</v>
      </c>
      <c r="BB42" s="26" t="s">
        <v>90</v>
      </c>
      <c r="BC42" s="26" t="s">
        <v>90</v>
      </c>
      <c r="BD42" s="26" t="s">
        <v>90</v>
      </c>
      <c r="BE42" s="26" t="s">
        <v>90</v>
      </c>
      <c r="BF42" s="26" t="s">
        <v>90</v>
      </c>
      <c r="BG42" s="26" t="s">
        <v>90</v>
      </c>
      <c r="BH42" s="26" t="s">
        <v>90</v>
      </c>
      <c r="BI42" s="26" t="s">
        <v>90</v>
      </c>
    </row>
    <row r="43">
      <c r="A43" s="21" t="s">
        <v>214</v>
      </c>
      <c r="B43" s="22">
        <v>2019.0</v>
      </c>
      <c r="C43" s="23"/>
      <c r="D43" s="24" t="s">
        <v>89</v>
      </c>
      <c r="E43" s="25">
        <v>2019.0</v>
      </c>
      <c r="F43" s="24">
        <v>1.0</v>
      </c>
      <c r="G43" s="24">
        <v>3.0</v>
      </c>
      <c r="H43" s="24">
        <v>1.0</v>
      </c>
      <c r="I43" s="24">
        <v>1.0</v>
      </c>
      <c r="J43" s="24">
        <v>2.0</v>
      </c>
      <c r="K43" s="24">
        <v>16.25</v>
      </c>
      <c r="L43" s="24" t="s">
        <v>219</v>
      </c>
      <c r="M43" s="24" t="s">
        <v>219</v>
      </c>
      <c r="N43" s="24">
        <v>100.0</v>
      </c>
      <c r="O43" s="24" t="s">
        <v>219</v>
      </c>
      <c r="P43" s="24" t="s">
        <v>219</v>
      </c>
      <c r="Q43" s="24">
        <v>100.0</v>
      </c>
      <c r="R43" s="24" t="s">
        <v>219</v>
      </c>
      <c r="S43" s="24" t="s">
        <v>219</v>
      </c>
      <c r="T43" s="24" t="s">
        <v>219</v>
      </c>
      <c r="U43" s="24" t="s">
        <v>219</v>
      </c>
      <c r="V43" s="24" t="s">
        <v>219</v>
      </c>
      <c r="W43" s="24" t="s">
        <v>219</v>
      </c>
      <c r="X43" s="24">
        <v>2.0</v>
      </c>
      <c r="Y43" s="24">
        <v>3.0</v>
      </c>
      <c r="Z43" s="24">
        <v>2.0</v>
      </c>
      <c r="AA43" s="26" t="s">
        <v>212</v>
      </c>
      <c r="AB43" s="26" t="s">
        <v>295</v>
      </c>
      <c r="AC43" s="26">
        <v>1.0</v>
      </c>
      <c r="AD43" s="26">
        <v>2.0</v>
      </c>
      <c r="AE43" s="27" t="s">
        <v>169</v>
      </c>
      <c r="AF43" s="27">
        <v>79.0</v>
      </c>
      <c r="AG43" s="27">
        <v>79.0</v>
      </c>
      <c r="AH43" s="27">
        <v>79.0</v>
      </c>
      <c r="AI43" s="27">
        <v>40.0</v>
      </c>
      <c r="AJ43" s="27" t="s">
        <v>90</v>
      </c>
      <c r="AK43" s="27">
        <v>2.0</v>
      </c>
      <c r="AL43" s="27">
        <v>2.0</v>
      </c>
      <c r="AM43" s="27">
        <v>2.0</v>
      </c>
      <c r="AN43" s="27">
        <v>1.0</v>
      </c>
      <c r="AO43" s="27">
        <v>1.0</v>
      </c>
      <c r="AP43" s="27">
        <v>1.0</v>
      </c>
      <c r="AQ43" s="27" t="s">
        <v>219</v>
      </c>
      <c r="AR43" s="27">
        <v>240.0</v>
      </c>
      <c r="AS43" s="27">
        <v>4.0</v>
      </c>
      <c r="AT43" s="27">
        <v>28.0</v>
      </c>
      <c r="AU43" s="27">
        <v>50.6</v>
      </c>
      <c r="AV43" s="26">
        <v>79.0</v>
      </c>
      <c r="AW43" s="26">
        <v>2.45</v>
      </c>
      <c r="AX43" s="26">
        <v>1.26</v>
      </c>
      <c r="AY43" s="26">
        <v>40.0</v>
      </c>
      <c r="AZ43" s="26">
        <v>1.81</v>
      </c>
      <c r="BA43" s="26">
        <v>0.66</v>
      </c>
      <c r="BB43" s="26" t="s">
        <v>90</v>
      </c>
      <c r="BC43" s="26" t="s">
        <v>90</v>
      </c>
      <c r="BD43" s="26" t="s">
        <v>90</v>
      </c>
      <c r="BE43" s="26" t="s">
        <v>90</v>
      </c>
      <c r="BF43" s="26" t="s">
        <v>90</v>
      </c>
      <c r="BG43" s="26" t="s">
        <v>90</v>
      </c>
      <c r="BH43" s="26" t="s">
        <v>90</v>
      </c>
      <c r="BI43" s="26" t="s">
        <v>90</v>
      </c>
    </row>
    <row r="44">
      <c r="A44" s="21" t="s">
        <v>214</v>
      </c>
      <c r="B44" s="22">
        <v>2019.0</v>
      </c>
      <c r="C44" s="23"/>
      <c r="D44" s="24" t="s">
        <v>89</v>
      </c>
      <c r="E44" s="25">
        <v>2019.0</v>
      </c>
      <c r="F44" s="24">
        <v>1.0</v>
      </c>
      <c r="G44" s="24">
        <v>3.0</v>
      </c>
      <c r="H44" s="24">
        <v>1.0</v>
      </c>
      <c r="I44" s="24">
        <v>1.0</v>
      </c>
      <c r="J44" s="24">
        <v>2.0</v>
      </c>
      <c r="K44" s="24">
        <v>16.25</v>
      </c>
      <c r="L44" s="24" t="s">
        <v>219</v>
      </c>
      <c r="M44" s="24" t="s">
        <v>219</v>
      </c>
      <c r="N44" s="24">
        <v>100.0</v>
      </c>
      <c r="O44" s="24" t="s">
        <v>219</v>
      </c>
      <c r="P44" s="24" t="s">
        <v>219</v>
      </c>
      <c r="Q44" s="24">
        <v>100.0</v>
      </c>
      <c r="R44" s="24" t="s">
        <v>219</v>
      </c>
      <c r="S44" s="24" t="s">
        <v>219</v>
      </c>
      <c r="T44" s="24" t="s">
        <v>219</v>
      </c>
      <c r="U44" s="24" t="s">
        <v>219</v>
      </c>
      <c r="V44" s="24" t="s">
        <v>219</v>
      </c>
      <c r="W44" s="24" t="s">
        <v>219</v>
      </c>
      <c r="X44" s="24">
        <v>2.0</v>
      </c>
      <c r="Y44" s="24">
        <v>3.0</v>
      </c>
      <c r="Z44" s="24">
        <v>2.0</v>
      </c>
      <c r="AA44" s="26" t="s">
        <v>215</v>
      </c>
      <c r="AB44" s="26" t="s">
        <v>296</v>
      </c>
      <c r="AC44" s="26">
        <v>1.0</v>
      </c>
      <c r="AD44" s="26">
        <v>1.0</v>
      </c>
      <c r="AE44" s="27" t="s">
        <v>170</v>
      </c>
      <c r="AF44" s="27">
        <v>62.0</v>
      </c>
      <c r="AG44" s="27">
        <v>62.0</v>
      </c>
      <c r="AH44" s="27" t="s">
        <v>90</v>
      </c>
      <c r="AI44" s="27" t="s">
        <v>90</v>
      </c>
      <c r="AJ44" s="27">
        <v>1.0</v>
      </c>
      <c r="AK44" s="27" t="s">
        <v>90</v>
      </c>
      <c r="AL44" s="27" t="s">
        <v>90</v>
      </c>
      <c r="AM44" s="27" t="s">
        <v>90</v>
      </c>
      <c r="AN44" s="27" t="s">
        <v>90</v>
      </c>
      <c r="AO44" s="27" t="s">
        <v>90</v>
      </c>
      <c r="AP44" s="27" t="s">
        <v>90</v>
      </c>
      <c r="AQ44" s="27" t="s">
        <v>90</v>
      </c>
      <c r="AR44" s="27" t="s">
        <v>90</v>
      </c>
      <c r="AS44" s="27" t="s">
        <v>90</v>
      </c>
      <c r="AT44" s="27" t="s">
        <v>90</v>
      </c>
      <c r="AU44" s="27" t="s">
        <v>90</v>
      </c>
      <c r="AV44" s="26">
        <v>62.0</v>
      </c>
      <c r="AW44" s="26">
        <v>11.86</v>
      </c>
      <c r="AX44" s="26">
        <v>10.66</v>
      </c>
      <c r="AY44" s="26">
        <v>22.0</v>
      </c>
      <c r="AZ44" s="26">
        <v>13.44</v>
      </c>
      <c r="BA44" s="26">
        <v>15.09</v>
      </c>
      <c r="BB44" s="26" t="s">
        <v>90</v>
      </c>
      <c r="BC44" s="26" t="s">
        <v>90</v>
      </c>
      <c r="BD44" s="26" t="s">
        <v>90</v>
      </c>
      <c r="BE44" s="26" t="s">
        <v>90</v>
      </c>
      <c r="BF44" s="26" t="s">
        <v>90</v>
      </c>
      <c r="BG44" s="26" t="s">
        <v>90</v>
      </c>
      <c r="BH44" s="26" t="s">
        <v>90</v>
      </c>
      <c r="BI44" s="26" t="s">
        <v>90</v>
      </c>
    </row>
    <row r="45">
      <c r="A45" s="21" t="s">
        <v>214</v>
      </c>
      <c r="B45" s="22">
        <v>2019.0</v>
      </c>
      <c r="C45" s="23"/>
      <c r="D45" s="24" t="s">
        <v>89</v>
      </c>
      <c r="E45" s="25">
        <v>2019.0</v>
      </c>
      <c r="F45" s="24">
        <v>1.0</v>
      </c>
      <c r="G45" s="24">
        <v>3.0</v>
      </c>
      <c r="H45" s="24">
        <v>1.0</v>
      </c>
      <c r="I45" s="24">
        <v>1.0</v>
      </c>
      <c r="J45" s="24">
        <v>2.0</v>
      </c>
      <c r="K45" s="24">
        <v>16.25</v>
      </c>
      <c r="L45" s="24" t="s">
        <v>219</v>
      </c>
      <c r="M45" s="24" t="s">
        <v>219</v>
      </c>
      <c r="N45" s="24">
        <v>100.0</v>
      </c>
      <c r="O45" s="24" t="s">
        <v>219</v>
      </c>
      <c r="P45" s="24" t="s">
        <v>219</v>
      </c>
      <c r="Q45" s="24">
        <v>100.0</v>
      </c>
      <c r="R45" s="24" t="s">
        <v>219</v>
      </c>
      <c r="S45" s="24" t="s">
        <v>219</v>
      </c>
      <c r="T45" s="24" t="s">
        <v>219</v>
      </c>
      <c r="U45" s="24" t="s">
        <v>219</v>
      </c>
      <c r="V45" s="24" t="s">
        <v>219</v>
      </c>
      <c r="W45" s="24" t="s">
        <v>219</v>
      </c>
      <c r="X45" s="24">
        <v>2.0</v>
      </c>
      <c r="Y45" s="24">
        <v>3.0</v>
      </c>
      <c r="Z45" s="24">
        <v>2.0</v>
      </c>
      <c r="AA45" s="26" t="s">
        <v>212</v>
      </c>
      <c r="AB45" s="26" t="s">
        <v>295</v>
      </c>
      <c r="AC45" s="26">
        <v>1.0</v>
      </c>
      <c r="AD45" s="26">
        <v>2.0</v>
      </c>
      <c r="AE45" s="27" t="s">
        <v>170</v>
      </c>
      <c r="AF45" s="27">
        <v>62.0</v>
      </c>
      <c r="AG45" s="27">
        <v>62.0</v>
      </c>
      <c r="AH45" s="27" t="s">
        <v>90</v>
      </c>
      <c r="AI45" s="27" t="s">
        <v>90</v>
      </c>
      <c r="AJ45" s="27">
        <v>1.0</v>
      </c>
      <c r="AK45" s="27" t="s">
        <v>90</v>
      </c>
      <c r="AL45" s="27" t="s">
        <v>90</v>
      </c>
      <c r="AM45" s="27" t="s">
        <v>90</v>
      </c>
      <c r="AN45" s="27" t="s">
        <v>90</v>
      </c>
      <c r="AO45" s="27" t="s">
        <v>90</v>
      </c>
      <c r="AP45" s="27" t="s">
        <v>90</v>
      </c>
      <c r="AQ45" s="27" t="s">
        <v>90</v>
      </c>
      <c r="AR45" s="27" t="s">
        <v>90</v>
      </c>
      <c r="AS45" s="27" t="s">
        <v>90</v>
      </c>
      <c r="AT45" s="27" t="s">
        <v>90</v>
      </c>
      <c r="AU45" s="27" t="s">
        <v>90</v>
      </c>
      <c r="AV45" s="26">
        <v>62.0</v>
      </c>
      <c r="AW45" s="26">
        <v>2.23</v>
      </c>
      <c r="AX45" s="26">
        <v>0.84</v>
      </c>
      <c r="AY45" s="26">
        <v>22.0</v>
      </c>
      <c r="AZ45" s="26">
        <v>2.34</v>
      </c>
      <c r="BA45" s="26">
        <v>1.51</v>
      </c>
      <c r="BB45" s="26" t="s">
        <v>90</v>
      </c>
      <c r="BC45" s="26" t="s">
        <v>90</v>
      </c>
      <c r="BD45" s="26" t="s">
        <v>90</v>
      </c>
      <c r="BE45" s="26" t="s">
        <v>90</v>
      </c>
      <c r="BF45" s="26" t="s">
        <v>90</v>
      </c>
      <c r="BG45" s="26" t="s">
        <v>90</v>
      </c>
      <c r="BH45" s="26" t="s">
        <v>90</v>
      </c>
      <c r="BI45" s="26" t="s">
        <v>90</v>
      </c>
    </row>
    <row r="46">
      <c r="A46" s="21" t="s">
        <v>217</v>
      </c>
      <c r="B46" s="22">
        <v>2020.0</v>
      </c>
      <c r="C46" s="23"/>
      <c r="D46" s="24" t="s">
        <v>89</v>
      </c>
      <c r="E46" s="25">
        <v>2020.0</v>
      </c>
      <c r="F46" s="24">
        <v>1.0</v>
      </c>
      <c r="G46" s="24">
        <v>3.0</v>
      </c>
      <c r="H46" s="24">
        <v>1.0</v>
      </c>
      <c r="I46" s="24">
        <v>2.0</v>
      </c>
      <c r="J46" s="24">
        <v>1.0</v>
      </c>
      <c r="K46" s="24">
        <v>11.61</v>
      </c>
      <c r="L46" s="24">
        <v>11.0</v>
      </c>
      <c r="M46" s="24">
        <v>13.0</v>
      </c>
      <c r="N46" s="24">
        <v>48.6</v>
      </c>
      <c r="O46" s="24">
        <v>83.25</v>
      </c>
      <c r="P46" s="24">
        <v>2.21</v>
      </c>
      <c r="Q46" s="24" t="s">
        <v>219</v>
      </c>
      <c r="R46" s="24">
        <v>1.92</v>
      </c>
      <c r="S46" s="24" t="s">
        <v>219</v>
      </c>
      <c r="T46" s="24" t="s">
        <v>219</v>
      </c>
      <c r="U46" s="24">
        <v>3.14</v>
      </c>
      <c r="V46" s="24">
        <v>9.48</v>
      </c>
      <c r="W46" s="24" t="s">
        <v>219</v>
      </c>
      <c r="X46" s="24">
        <v>4.0</v>
      </c>
      <c r="Y46" s="24">
        <v>1.0</v>
      </c>
      <c r="Z46" s="24">
        <v>2.0</v>
      </c>
      <c r="AA46" s="26" t="s">
        <v>256</v>
      </c>
      <c r="AB46" s="26" t="s">
        <v>257</v>
      </c>
      <c r="AC46" s="26">
        <v>1.0</v>
      </c>
      <c r="AD46" s="26">
        <v>2.0</v>
      </c>
      <c r="AE46" s="27" t="s">
        <v>169</v>
      </c>
      <c r="AF46" s="27">
        <v>4.0</v>
      </c>
      <c r="AG46" s="27">
        <v>647.0</v>
      </c>
      <c r="AH46" s="27">
        <v>647.0</v>
      </c>
      <c r="AI46" s="27" t="s">
        <v>219</v>
      </c>
      <c r="AJ46" s="27" t="s">
        <v>90</v>
      </c>
      <c r="AK46" s="27">
        <v>2.0</v>
      </c>
      <c r="AL46" s="27">
        <v>1.0</v>
      </c>
      <c r="AM46" s="27">
        <v>3.0</v>
      </c>
      <c r="AN46" s="27">
        <v>1.0</v>
      </c>
      <c r="AO46" s="27">
        <v>1.0</v>
      </c>
      <c r="AP46" s="27">
        <v>1.0</v>
      </c>
      <c r="AQ46" s="27">
        <v>1.0</v>
      </c>
      <c r="AR46" s="27">
        <v>225.0</v>
      </c>
      <c r="AS46" s="27">
        <v>5.0</v>
      </c>
      <c r="AT46" s="27">
        <v>35.0</v>
      </c>
      <c r="AU46" s="27" t="s">
        <v>219</v>
      </c>
      <c r="AV46" s="26">
        <v>647.0</v>
      </c>
      <c r="AW46" s="26">
        <v>1.93</v>
      </c>
      <c r="AX46" s="26">
        <v>0.02</v>
      </c>
      <c r="AY46" s="26">
        <v>541.0</v>
      </c>
      <c r="AZ46" s="26">
        <v>1.74</v>
      </c>
      <c r="BA46" s="26">
        <v>0.03</v>
      </c>
      <c r="BB46" s="26">
        <v>8.0</v>
      </c>
      <c r="BC46" s="26">
        <v>597.0</v>
      </c>
      <c r="BD46" s="26">
        <v>1.75</v>
      </c>
      <c r="BE46" s="26">
        <v>0.02</v>
      </c>
      <c r="BF46" s="26">
        <v>156.0</v>
      </c>
      <c r="BG46" s="26">
        <v>475.0</v>
      </c>
      <c r="BH46" s="26">
        <v>2.07</v>
      </c>
      <c r="BI46" s="26">
        <v>0.06</v>
      </c>
    </row>
    <row r="47">
      <c r="A47" s="21" t="s">
        <v>217</v>
      </c>
      <c r="B47" s="22">
        <v>2020.0</v>
      </c>
      <c r="C47" s="23"/>
      <c r="D47" s="24" t="s">
        <v>89</v>
      </c>
      <c r="E47" s="25">
        <v>2020.0</v>
      </c>
      <c r="F47" s="24">
        <v>1.0</v>
      </c>
      <c r="G47" s="24">
        <v>3.0</v>
      </c>
      <c r="H47" s="24">
        <v>1.0</v>
      </c>
      <c r="I47" s="24">
        <v>2.0</v>
      </c>
      <c r="J47" s="24">
        <v>1.0</v>
      </c>
      <c r="K47" s="24">
        <v>11.61</v>
      </c>
      <c r="L47" s="24">
        <v>11.0</v>
      </c>
      <c r="M47" s="24">
        <v>13.0</v>
      </c>
      <c r="N47" s="24">
        <v>48.6</v>
      </c>
      <c r="O47" s="24">
        <v>83.25</v>
      </c>
      <c r="P47" s="24">
        <v>2.21</v>
      </c>
      <c r="Q47" s="24" t="s">
        <v>219</v>
      </c>
      <c r="R47" s="24">
        <v>1.92</v>
      </c>
      <c r="S47" s="24" t="s">
        <v>219</v>
      </c>
      <c r="T47" s="24" t="s">
        <v>219</v>
      </c>
      <c r="U47" s="24">
        <v>3.14</v>
      </c>
      <c r="V47" s="24">
        <v>9.48</v>
      </c>
      <c r="W47" s="24" t="s">
        <v>219</v>
      </c>
      <c r="X47" s="24">
        <v>4.0</v>
      </c>
      <c r="Y47" s="24">
        <v>1.0</v>
      </c>
      <c r="Z47" s="24">
        <v>2.0</v>
      </c>
      <c r="AA47" s="26" t="s">
        <v>256</v>
      </c>
      <c r="AB47" s="26" t="s">
        <v>257</v>
      </c>
      <c r="AC47" s="26">
        <v>1.0</v>
      </c>
      <c r="AD47" s="26">
        <v>2.0</v>
      </c>
      <c r="AE47" s="27" t="s">
        <v>170</v>
      </c>
      <c r="AF47" s="27">
        <v>2.0</v>
      </c>
      <c r="AG47" s="27">
        <v>848.0</v>
      </c>
      <c r="AH47" s="27" t="s">
        <v>90</v>
      </c>
      <c r="AI47" s="27" t="s">
        <v>90</v>
      </c>
      <c r="AJ47" s="27">
        <v>1.0</v>
      </c>
      <c r="AK47" s="27" t="s">
        <v>90</v>
      </c>
      <c r="AL47" s="27" t="s">
        <v>90</v>
      </c>
      <c r="AM47" s="27" t="s">
        <v>90</v>
      </c>
      <c r="AN47" s="27" t="s">
        <v>90</v>
      </c>
      <c r="AO47" s="27" t="s">
        <v>90</v>
      </c>
      <c r="AP47" s="27" t="s">
        <v>90</v>
      </c>
      <c r="AQ47" s="27" t="s">
        <v>90</v>
      </c>
      <c r="AR47" s="27" t="s">
        <v>90</v>
      </c>
      <c r="AS47" s="27" t="s">
        <v>90</v>
      </c>
      <c r="AT47" s="27" t="s">
        <v>90</v>
      </c>
      <c r="AU47" s="27" t="s">
        <v>90</v>
      </c>
      <c r="AV47" s="26">
        <v>848.0</v>
      </c>
      <c r="AW47" s="26">
        <v>1.72</v>
      </c>
      <c r="AX47" s="26">
        <v>0.02</v>
      </c>
      <c r="AY47" s="26">
        <v>733.0</v>
      </c>
      <c r="AZ47" s="26">
        <v>1.72</v>
      </c>
      <c r="BA47" s="26">
        <v>0.04</v>
      </c>
      <c r="BB47" s="26">
        <v>8.0</v>
      </c>
      <c r="BC47" s="26">
        <v>717.0</v>
      </c>
      <c r="BD47" s="26">
        <v>1.73</v>
      </c>
      <c r="BE47" s="26">
        <v>0.03</v>
      </c>
      <c r="BF47" s="26">
        <v>156.0</v>
      </c>
      <c r="BG47" s="26">
        <v>522.0</v>
      </c>
      <c r="BH47" s="26">
        <v>2.21</v>
      </c>
      <c r="BI47" s="26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>
    <dataValidation type="decimal" allowBlank="1" showDropDown="1" sqref="AF4:AI47">
      <formula1>0.0</formula1>
      <formula2>999.0</formula2>
    </dataValidation>
    <dataValidation type="list" allowBlank="1" sqref="Y4:Y47">
      <formula1>Options!$Y$4:$Y984</formula1>
    </dataValidation>
    <dataValidation type="list" allowBlank="1" sqref="J4:J47">
      <formula1>Options!$J$4:$J984</formula1>
    </dataValidation>
    <dataValidation type="list" allowBlank="1" sqref="AK4:AK47">
      <formula1>Options!$AJ$4:$AJ984</formula1>
    </dataValidation>
    <dataValidation type="list" allowBlank="1" sqref="AO4:AO47">
      <formula1>Options!$AN$4:$AN984</formula1>
    </dataValidation>
    <dataValidation type="list" allowBlank="1" sqref="AC4:AC47">
      <formula1>Options!$AC$4:$AC984</formula1>
    </dataValidation>
    <dataValidation type="decimal" allowBlank="1" showDropDown="1" sqref="N4:W47 AU4:AU47">
      <formula1>0.0</formula1>
      <formula2>100.0</formula2>
    </dataValidation>
    <dataValidation type="list" allowBlank="1" sqref="Z4:Z47">
      <formula1>Options!$Z$4:$Z984</formula1>
    </dataValidation>
    <dataValidation type="list" allowBlank="1" sqref="AN4:AN47">
      <formula1>Options!$AM$4:$AM984</formula1>
    </dataValidation>
    <dataValidation type="list" allowBlank="1" sqref="AD4:AD47">
      <formula1>Options!$AD$4:$AD984</formula1>
    </dataValidation>
    <dataValidation type="decimal" allowBlank="1" showDropDown="1" sqref="K4:M47">
      <formula1>10.0</formula1>
      <formula2>19.0</formula2>
    </dataValidation>
    <dataValidation type="list" allowBlank="1" sqref="AP4:AP47">
      <formula1>Options!$AO$4:$AO984</formula1>
    </dataValidation>
    <dataValidation type="list" allowBlank="1" sqref="D4:D47">
      <formula1>Options!$D$4:$D984</formula1>
    </dataValidation>
    <dataValidation type="list" allowBlank="1" sqref="F4:F47">
      <formula1>Options!$F$4:$F984</formula1>
    </dataValidation>
    <dataValidation type="list" allowBlank="1" sqref="H4:H47">
      <formula1>Options!$H$4:$H984</formula1>
    </dataValidation>
    <dataValidation type="list" allowBlank="1" sqref="AL4:AL47">
      <formula1>Options!$AK$4:$AK984</formula1>
    </dataValidation>
    <dataValidation type="decimal" allowBlank="1" showDropDown="1" sqref="AV4:BI47">
      <formula1>0.0</formula1>
      <formula2>1000.0</formula2>
    </dataValidation>
    <dataValidation type="list" allowBlank="1" sqref="AM4:AM47">
      <formula1>Options!$AL$4:$AL984</formula1>
    </dataValidation>
    <dataValidation type="list" allowBlank="1" sqref="AJ4:AJ47">
      <formula1>Options!$AI$4:$AI984</formula1>
    </dataValidation>
    <dataValidation type="list" allowBlank="1" sqref="X4:X47">
      <formula1>Options!$X$4:$X984</formula1>
    </dataValidation>
    <dataValidation type="list" allowBlank="1" sqref="G4:G47">
      <formula1>Options!$G$4:$G984</formula1>
    </dataValidation>
    <dataValidation type="list" allowBlank="1" sqref="AQ4:AQ47">
      <formula1>Options!$AP$4:$AP984</formula1>
    </dataValidation>
    <dataValidation type="list" allowBlank="1" sqref="I4:I47">
      <formula1>Options!$I$4:$I984</formula1>
    </dataValidation>
  </dataValidation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43"/>
    <col customWidth="1" min="2" max="2" width="25.0"/>
    <col customWidth="1" min="3" max="46" width="8.0"/>
    <col customWidth="1" min="47" max="47" width="10.86"/>
    <col customWidth="1" min="48" max="61" width="8.0"/>
  </cols>
  <sheetData>
    <row r="1">
      <c r="A1" s="10"/>
      <c r="B1" s="11"/>
      <c r="C1" s="43"/>
      <c r="Y1" s="44" t="s">
        <v>33</v>
      </c>
      <c r="AC1" s="45" t="s">
        <v>34</v>
      </c>
      <c r="AU1" s="14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16" t="s">
        <v>30</v>
      </c>
      <c r="B3" s="64" t="s">
        <v>31</v>
      </c>
      <c r="C3" s="17" t="s">
        <v>43</v>
      </c>
      <c r="D3" s="17" t="s">
        <v>44</v>
      </c>
      <c r="E3" s="17" t="s">
        <v>45</v>
      </c>
      <c r="F3" s="17" t="s">
        <v>46</v>
      </c>
      <c r="G3" s="17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52</v>
      </c>
      <c r="M3" s="17" t="s">
        <v>53</v>
      </c>
      <c r="N3" s="17" t="s">
        <v>54</v>
      </c>
      <c r="O3" s="17" t="s">
        <v>156</v>
      </c>
      <c r="P3" s="17" t="s">
        <v>56</v>
      </c>
      <c r="Q3" s="17" t="s">
        <v>57</v>
      </c>
      <c r="R3" s="17" t="s">
        <v>58</v>
      </c>
      <c r="S3" s="17" t="s">
        <v>59</v>
      </c>
      <c r="T3" s="17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8" t="s">
        <v>65</v>
      </c>
      <c r="Z3" s="18" t="s">
        <v>66</v>
      </c>
      <c r="AA3" s="18" t="s">
        <v>67</v>
      </c>
      <c r="AB3" s="18" t="s">
        <v>68</v>
      </c>
      <c r="AC3" s="19" t="s">
        <v>157</v>
      </c>
      <c r="AD3" s="19" t="s">
        <v>158</v>
      </c>
      <c r="AE3" s="19" t="s">
        <v>69</v>
      </c>
      <c r="AF3" s="19" t="s">
        <v>70</v>
      </c>
      <c r="AG3" s="19" t="s">
        <v>71</v>
      </c>
      <c r="AH3" s="19" t="s">
        <v>72</v>
      </c>
      <c r="AI3" s="19" t="s">
        <v>159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297</v>
      </c>
      <c r="AV3" s="18" t="s">
        <v>298</v>
      </c>
      <c r="AW3" s="18" t="s">
        <v>299</v>
      </c>
      <c r="AX3" s="18" t="s">
        <v>300</v>
      </c>
      <c r="AY3" s="18" t="s">
        <v>301</v>
      </c>
      <c r="AZ3" s="18" t="s">
        <v>302</v>
      </c>
      <c r="BA3" s="18" t="s">
        <v>303</v>
      </c>
      <c r="BB3" s="18" t="s">
        <v>304</v>
      </c>
      <c r="BC3" s="18" t="s">
        <v>305</v>
      </c>
      <c r="BD3" s="18" t="s">
        <v>306</v>
      </c>
      <c r="BE3" s="18" t="s">
        <v>307</v>
      </c>
      <c r="BF3" s="18" t="s">
        <v>308</v>
      </c>
      <c r="BG3" s="18" t="s">
        <v>309</v>
      </c>
      <c r="BH3" s="18" t="s">
        <v>310</v>
      </c>
      <c r="BI3" s="18" t="s">
        <v>311</v>
      </c>
    </row>
    <row r="4">
      <c r="A4" s="21" t="s">
        <v>104</v>
      </c>
      <c r="B4" s="46"/>
      <c r="C4" s="25">
        <v>2006.0</v>
      </c>
      <c r="D4" s="47">
        <v>1.0</v>
      </c>
      <c r="E4" s="47">
        <v>1.0</v>
      </c>
      <c r="F4" s="47">
        <v>1.0</v>
      </c>
      <c r="G4" s="47">
        <v>1.0</v>
      </c>
      <c r="H4" s="47">
        <v>1.0</v>
      </c>
      <c r="I4" s="47">
        <v>17.0</v>
      </c>
      <c r="J4" s="47">
        <v>14.0</v>
      </c>
      <c r="K4" s="47">
        <v>19.0</v>
      </c>
      <c r="L4" s="47">
        <v>100.0</v>
      </c>
      <c r="M4" s="47">
        <v>58.0</v>
      </c>
      <c r="N4" s="47">
        <v>6.0</v>
      </c>
      <c r="O4" s="47">
        <v>19.0</v>
      </c>
      <c r="P4" s="47">
        <v>10.0</v>
      </c>
      <c r="Q4" s="47" t="s">
        <v>161</v>
      </c>
      <c r="R4" s="47">
        <v>7.0</v>
      </c>
      <c r="S4" s="47" t="s">
        <v>161</v>
      </c>
      <c r="T4" s="47">
        <v>0.0</v>
      </c>
      <c r="U4" s="47" t="s">
        <v>161</v>
      </c>
      <c r="V4" s="47">
        <v>2.0</v>
      </c>
      <c r="W4" s="47">
        <v>3.0</v>
      </c>
      <c r="X4" s="47">
        <v>1.0</v>
      </c>
      <c r="Y4" s="26" t="s">
        <v>162</v>
      </c>
      <c r="Z4" s="26" t="s">
        <v>163</v>
      </c>
      <c r="AA4" s="26">
        <v>1.0</v>
      </c>
      <c r="AB4" s="26">
        <v>2.0</v>
      </c>
      <c r="AC4" s="27" t="s">
        <v>164</v>
      </c>
      <c r="AD4" s="48">
        <v>115.0</v>
      </c>
      <c r="AE4" s="48">
        <v>115.0</v>
      </c>
      <c r="AF4" s="48">
        <v>115.0</v>
      </c>
      <c r="AG4" s="48">
        <f t="shared" ref="AG4:AG5" si="1">ROUND(AF4*0.91,0)</f>
        <v>105</v>
      </c>
      <c r="AH4" s="48" t="s">
        <v>90</v>
      </c>
      <c r="AI4" s="48">
        <v>1.0</v>
      </c>
      <c r="AJ4" s="48">
        <v>2.0</v>
      </c>
      <c r="AK4" s="65">
        <v>1.0</v>
      </c>
      <c r="AL4" s="48">
        <v>2.0</v>
      </c>
      <c r="AM4" s="48">
        <v>1.0</v>
      </c>
      <c r="AN4" s="48">
        <v>1.0</v>
      </c>
      <c r="AO4" s="48">
        <v>1.0</v>
      </c>
      <c r="AP4" s="48">
        <v>1.0</v>
      </c>
      <c r="AQ4" s="48">
        <v>180.0</v>
      </c>
      <c r="AR4" s="48">
        <v>3.0</v>
      </c>
      <c r="AS4" s="48">
        <v>21.0</v>
      </c>
      <c r="AT4" s="49">
        <v>91.0</v>
      </c>
      <c r="AU4" s="50" t="s">
        <v>312</v>
      </c>
      <c r="AV4" s="50">
        <v>115.0</v>
      </c>
      <c r="AW4" s="50">
        <v>2.21</v>
      </c>
      <c r="AX4" s="50">
        <v>0.89</v>
      </c>
      <c r="AY4" s="50">
        <v>115.0</v>
      </c>
      <c r="AZ4" s="50">
        <v>1.56</v>
      </c>
      <c r="BA4" s="50">
        <v>0.69</v>
      </c>
      <c r="BB4" s="50">
        <v>24.0</v>
      </c>
      <c r="BC4" s="50">
        <v>108.0</v>
      </c>
      <c r="BD4" s="50">
        <v>1.72</v>
      </c>
      <c r="BE4" s="50">
        <v>0.65</v>
      </c>
      <c r="BF4" s="50">
        <v>52.0</v>
      </c>
      <c r="BG4" s="50">
        <v>110.0</v>
      </c>
      <c r="BH4" s="50">
        <v>1.77</v>
      </c>
      <c r="BI4" s="50">
        <v>0.75</v>
      </c>
    </row>
    <row r="5">
      <c r="A5" s="21" t="s">
        <v>104</v>
      </c>
      <c r="C5" s="25">
        <v>2006.0</v>
      </c>
      <c r="D5" s="47">
        <v>1.0</v>
      </c>
      <c r="E5" s="47">
        <v>1.0</v>
      </c>
      <c r="F5" s="47">
        <v>1.0</v>
      </c>
      <c r="G5" s="47">
        <v>1.0</v>
      </c>
      <c r="H5" s="47">
        <v>1.0</v>
      </c>
      <c r="I5" s="47">
        <v>17.0</v>
      </c>
      <c r="J5" s="47">
        <v>14.0</v>
      </c>
      <c r="K5" s="47">
        <v>19.0</v>
      </c>
      <c r="L5" s="47">
        <v>100.0</v>
      </c>
      <c r="M5" s="47">
        <v>58.0</v>
      </c>
      <c r="N5" s="47">
        <v>6.0</v>
      </c>
      <c r="O5" s="47">
        <v>19.0</v>
      </c>
      <c r="P5" s="47">
        <v>10.0</v>
      </c>
      <c r="Q5" s="47" t="s">
        <v>161</v>
      </c>
      <c r="R5" s="47">
        <v>7.0</v>
      </c>
      <c r="S5" s="47" t="s">
        <v>161</v>
      </c>
      <c r="T5" s="47">
        <v>0.0</v>
      </c>
      <c r="U5" s="47" t="s">
        <v>161</v>
      </c>
      <c r="V5" s="47">
        <v>2.0</v>
      </c>
      <c r="W5" s="47">
        <v>3.0</v>
      </c>
      <c r="X5" s="47">
        <v>1.0</v>
      </c>
      <c r="Y5" s="26" t="s">
        <v>162</v>
      </c>
      <c r="Z5" s="26" t="s">
        <v>163</v>
      </c>
      <c r="AA5" s="26">
        <v>1.0</v>
      </c>
      <c r="AB5" s="26">
        <v>2.0</v>
      </c>
      <c r="AC5" s="27" t="s">
        <v>165</v>
      </c>
      <c r="AD5" s="48">
        <v>117.0</v>
      </c>
      <c r="AE5" s="48">
        <v>117.0</v>
      </c>
      <c r="AF5" s="48">
        <v>117.0</v>
      </c>
      <c r="AG5" s="48">
        <f t="shared" si="1"/>
        <v>106</v>
      </c>
      <c r="AH5" s="48" t="s">
        <v>90</v>
      </c>
      <c r="AI5" s="48">
        <v>1.0</v>
      </c>
      <c r="AJ5" s="48">
        <v>2.0</v>
      </c>
      <c r="AK5" s="48">
        <v>1.0</v>
      </c>
      <c r="AL5" s="48">
        <v>2.0</v>
      </c>
      <c r="AM5" s="48">
        <v>1.0</v>
      </c>
      <c r="AN5" s="48">
        <v>1.0</v>
      </c>
      <c r="AO5" s="48">
        <v>1.0</v>
      </c>
      <c r="AP5" s="48">
        <v>1.0</v>
      </c>
      <c r="AQ5" s="48">
        <v>180.0</v>
      </c>
      <c r="AR5" s="48">
        <v>3.0</v>
      </c>
      <c r="AS5" s="48">
        <v>21.0</v>
      </c>
      <c r="AT5" s="49">
        <v>91.0</v>
      </c>
      <c r="AU5" s="50" t="s">
        <v>312</v>
      </c>
      <c r="AV5" s="50">
        <v>117.0</v>
      </c>
      <c r="AW5" s="50">
        <v>2.1</v>
      </c>
      <c r="AX5" s="50">
        <v>0.81</v>
      </c>
      <c r="AY5" s="50">
        <v>117.0</v>
      </c>
      <c r="AZ5" s="50">
        <v>1.61</v>
      </c>
      <c r="BA5" s="50">
        <v>0.75</v>
      </c>
      <c r="BB5" s="50">
        <v>24.0</v>
      </c>
      <c r="BC5" s="50">
        <v>111.0</v>
      </c>
      <c r="BD5" s="50">
        <v>1.83</v>
      </c>
      <c r="BE5" s="50">
        <v>0.79</v>
      </c>
      <c r="BF5" s="50">
        <v>52.0</v>
      </c>
      <c r="BG5" s="50">
        <v>110.0</v>
      </c>
      <c r="BH5" s="50">
        <v>1.84</v>
      </c>
      <c r="BI5" s="50">
        <v>0.84</v>
      </c>
    </row>
    <row r="6">
      <c r="A6" s="21" t="s">
        <v>104</v>
      </c>
      <c r="C6" s="25">
        <v>2006.0</v>
      </c>
      <c r="D6" s="47">
        <v>1.0</v>
      </c>
      <c r="E6" s="47">
        <v>1.0</v>
      </c>
      <c r="F6" s="47">
        <v>1.0</v>
      </c>
      <c r="G6" s="47">
        <v>1.0</v>
      </c>
      <c r="H6" s="47">
        <v>1.0</v>
      </c>
      <c r="I6" s="47">
        <v>17.0</v>
      </c>
      <c r="J6" s="47">
        <v>14.0</v>
      </c>
      <c r="K6" s="47">
        <v>19.0</v>
      </c>
      <c r="L6" s="47">
        <v>100.0</v>
      </c>
      <c r="M6" s="47">
        <v>58.0</v>
      </c>
      <c r="N6" s="47">
        <v>6.0</v>
      </c>
      <c r="O6" s="47">
        <v>19.0</v>
      </c>
      <c r="P6" s="47">
        <v>10.0</v>
      </c>
      <c r="Q6" s="47" t="s">
        <v>161</v>
      </c>
      <c r="R6" s="47">
        <v>7.0</v>
      </c>
      <c r="S6" s="47" t="s">
        <v>161</v>
      </c>
      <c r="T6" s="47">
        <v>0.0</v>
      </c>
      <c r="U6" s="47" t="s">
        <v>161</v>
      </c>
      <c r="V6" s="47">
        <v>2.0</v>
      </c>
      <c r="W6" s="47">
        <v>3.0</v>
      </c>
      <c r="X6" s="47">
        <v>1.0</v>
      </c>
      <c r="Y6" s="26" t="s">
        <v>162</v>
      </c>
      <c r="Z6" s="26" t="s">
        <v>163</v>
      </c>
      <c r="AA6" s="26">
        <v>1.0</v>
      </c>
      <c r="AB6" s="26">
        <v>2.0</v>
      </c>
      <c r="AC6" s="27" t="s">
        <v>166</v>
      </c>
      <c r="AD6" s="48">
        <v>123.0</v>
      </c>
      <c r="AE6" s="48">
        <v>123.0</v>
      </c>
      <c r="AF6" s="48">
        <v>123.0</v>
      </c>
      <c r="AG6" s="48" t="s">
        <v>90</v>
      </c>
      <c r="AH6" s="48">
        <v>4.0</v>
      </c>
      <c r="AI6" s="48" t="s">
        <v>90</v>
      </c>
      <c r="AJ6" s="48" t="s">
        <v>90</v>
      </c>
      <c r="AK6" s="48" t="s">
        <v>90</v>
      </c>
      <c r="AL6" s="48" t="s">
        <v>90</v>
      </c>
      <c r="AM6" s="48" t="s">
        <v>90</v>
      </c>
      <c r="AN6" s="48" t="s">
        <v>90</v>
      </c>
      <c r="AO6" s="48" t="s">
        <v>90</v>
      </c>
      <c r="AP6" s="48" t="s">
        <v>90</v>
      </c>
      <c r="AQ6" s="48" t="s">
        <v>90</v>
      </c>
      <c r="AR6" s="48" t="s">
        <v>90</v>
      </c>
      <c r="AS6" s="48" t="s">
        <v>90</v>
      </c>
      <c r="AT6" s="48" t="s">
        <v>90</v>
      </c>
      <c r="AU6" s="50" t="s">
        <v>312</v>
      </c>
      <c r="AV6" s="50">
        <v>123.0</v>
      </c>
      <c r="AW6" s="50">
        <v>2.15</v>
      </c>
      <c r="AX6" s="50">
        <v>0.95</v>
      </c>
      <c r="AY6" s="50">
        <v>123.0</v>
      </c>
      <c r="AZ6" s="50">
        <v>1.87</v>
      </c>
      <c r="BA6" s="50">
        <v>0.81</v>
      </c>
      <c r="BB6" s="50">
        <v>24.0</v>
      </c>
      <c r="BC6" s="50">
        <v>121.0</v>
      </c>
      <c r="BD6" s="50">
        <v>1.86</v>
      </c>
      <c r="BE6" s="50">
        <v>0.75</v>
      </c>
      <c r="BF6" s="50">
        <v>52.0</v>
      </c>
      <c r="BG6" s="50">
        <v>120.0</v>
      </c>
      <c r="BH6" s="50">
        <v>1.85</v>
      </c>
      <c r="BI6" s="50">
        <v>0.73</v>
      </c>
    </row>
    <row r="7">
      <c r="A7" s="21" t="s">
        <v>104</v>
      </c>
      <c r="C7" s="25">
        <v>2006.0</v>
      </c>
      <c r="D7" s="47">
        <v>1.0</v>
      </c>
      <c r="E7" s="47">
        <v>1.0</v>
      </c>
      <c r="F7" s="47">
        <v>1.0</v>
      </c>
      <c r="G7" s="47">
        <v>1.0</v>
      </c>
      <c r="H7" s="47">
        <v>1.0</v>
      </c>
      <c r="I7" s="47">
        <v>17.0</v>
      </c>
      <c r="J7" s="47">
        <v>14.0</v>
      </c>
      <c r="K7" s="47">
        <v>19.0</v>
      </c>
      <c r="L7" s="47">
        <v>100.0</v>
      </c>
      <c r="M7" s="47">
        <v>58.0</v>
      </c>
      <c r="N7" s="47">
        <v>6.0</v>
      </c>
      <c r="O7" s="47">
        <v>19.0</v>
      </c>
      <c r="P7" s="47">
        <v>10.0</v>
      </c>
      <c r="Q7" s="47" t="s">
        <v>161</v>
      </c>
      <c r="R7" s="47">
        <v>7.0</v>
      </c>
      <c r="S7" s="47" t="s">
        <v>161</v>
      </c>
      <c r="T7" s="47">
        <v>0.0</v>
      </c>
      <c r="U7" s="47" t="s">
        <v>161</v>
      </c>
      <c r="V7" s="47">
        <v>2.0</v>
      </c>
      <c r="W7" s="47">
        <v>3.0</v>
      </c>
      <c r="X7" s="47">
        <v>1.0</v>
      </c>
      <c r="Y7" s="26" t="s">
        <v>162</v>
      </c>
      <c r="Z7" s="26" t="s">
        <v>163</v>
      </c>
      <c r="AA7" s="26">
        <v>1.0</v>
      </c>
      <c r="AB7" s="26">
        <v>2.0</v>
      </c>
      <c r="AC7" s="27" t="s">
        <v>167</v>
      </c>
      <c r="AD7" s="48">
        <v>126.0</v>
      </c>
      <c r="AE7" s="48">
        <v>126.0</v>
      </c>
      <c r="AF7" s="48" t="s">
        <v>90</v>
      </c>
      <c r="AG7" s="48" t="s">
        <v>90</v>
      </c>
      <c r="AH7" s="48">
        <v>1.0</v>
      </c>
      <c r="AI7" s="48" t="s">
        <v>90</v>
      </c>
      <c r="AJ7" s="48" t="s">
        <v>90</v>
      </c>
      <c r="AK7" s="48" t="s">
        <v>90</v>
      </c>
      <c r="AL7" s="48" t="s">
        <v>90</v>
      </c>
      <c r="AM7" s="48" t="s">
        <v>90</v>
      </c>
      <c r="AN7" s="48" t="s">
        <v>90</v>
      </c>
      <c r="AO7" s="48" t="s">
        <v>90</v>
      </c>
      <c r="AP7" s="48" t="s">
        <v>90</v>
      </c>
      <c r="AQ7" s="48" t="s">
        <v>90</v>
      </c>
      <c r="AR7" s="48" t="s">
        <v>90</v>
      </c>
      <c r="AS7" s="48" t="s">
        <v>90</v>
      </c>
      <c r="AT7" s="48" t="s">
        <v>90</v>
      </c>
      <c r="AU7" s="50" t="s">
        <v>312</v>
      </c>
      <c r="AV7" s="50">
        <v>126.0</v>
      </c>
      <c r="AW7" s="50">
        <v>2.22</v>
      </c>
      <c r="AX7" s="50">
        <v>0.92</v>
      </c>
      <c r="AY7" s="50">
        <v>126.0</v>
      </c>
      <c r="AZ7" s="50">
        <v>1.92</v>
      </c>
      <c r="BA7" s="50">
        <v>0.84</v>
      </c>
      <c r="BB7" s="50">
        <v>24.0</v>
      </c>
      <c r="BC7" s="50">
        <v>123.0</v>
      </c>
      <c r="BD7" s="50">
        <v>1.93</v>
      </c>
      <c r="BE7" s="50">
        <v>0.84</v>
      </c>
      <c r="BF7" s="50">
        <v>52.0</v>
      </c>
      <c r="BG7" s="50">
        <v>121.0</v>
      </c>
      <c r="BH7" s="50">
        <v>1.92</v>
      </c>
      <c r="BI7" s="50">
        <v>0.83</v>
      </c>
    </row>
    <row r="8">
      <c r="A8" s="21" t="s">
        <v>109</v>
      </c>
      <c r="B8" s="51"/>
      <c r="C8" s="25">
        <v>2006.0</v>
      </c>
      <c r="D8" s="47">
        <v>2.0</v>
      </c>
      <c r="E8" s="47">
        <v>1.0</v>
      </c>
      <c r="F8" s="47">
        <v>1.0</v>
      </c>
      <c r="G8" s="47">
        <v>1.0</v>
      </c>
      <c r="H8" s="47">
        <v>1.0</v>
      </c>
      <c r="I8" s="52">
        <f t="shared" ref="I8:I9" si="2">((12.51*39)+(12.35*42))/(39+42)</f>
        <v>12.42703704</v>
      </c>
      <c r="J8" s="47">
        <v>11.0</v>
      </c>
      <c r="K8" s="47">
        <v>13.0</v>
      </c>
      <c r="L8" s="47">
        <v>100.0</v>
      </c>
      <c r="M8" s="52">
        <f t="shared" ref="M8:M9" si="3">((80*39)+(81*42))/(39+42)</f>
        <v>80.51851852</v>
      </c>
      <c r="N8" s="47" t="s">
        <v>161</v>
      </c>
      <c r="O8" s="52">
        <f t="shared" ref="O8:O9" si="4">((5*39)+(9*42))/(39+42)</f>
        <v>7.074074074</v>
      </c>
      <c r="P8" s="52">
        <f t="shared" ref="P8:P9" si="5">((0*39)+(2*42))/(39+42)</f>
        <v>1.037037037</v>
      </c>
      <c r="Q8" s="47" t="s">
        <v>161</v>
      </c>
      <c r="R8" s="52">
        <f t="shared" ref="R8:R9" si="6">((13*39)+(7*42))/(39+42)</f>
        <v>9.888888889</v>
      </c>
      <c r="S8" s="47" t="s">
        <v>161</v>
      </c>
      <c r="T8" s="47">
        <v>0.0</v>
      </c>
      <c r="U8" s="47" t="s">
        <v>161</v>
      </c>
      <c r="V8" s="47">
        <v>2.0</v>
      </c>
      <c r="W8" s="47">
        <v>3.0</v>
      </c>
      <c r="X8" s="47">
        <v>2.0</v>
      </c>
      <c r="Y8" s="26" t="s">
        <v>162</v>
      </c>
      <c r="Z8" s="26" t="s">
        <v>163</v>
      </c>
      <c r="AA8" s="26">
        <v>1.0</v>
      </c>
      <c r="AB8" s="26">
        <v>2.0</v>
      </c>
      <c r="AC8" s="27" t="s">
        <v>169</v>
      </c>
      <c r="AD8" s="48">
        <v>39.0</v>
      </c>
      <c r="AE8" s="48">
        <v>39.0</v>
      </c>
      <c r="AF8" s="48">
        <v>39.0</v>
      </c>
      <c r="AG8" s="48">
        <f>ROUND(AF8*0.95,0)</f>
        <v>37</v>
      </c>
      <c r="AH8" s="48" t="s">
        <v>90</v>
      </c>
      <c r="AI8" s="48">
        <v>2.0</v>
      </c>
      <c r="AJ8" s="48">
        <v>2.0</v>
      </c>
      <c r="AK8" s="48">
        <v>2.0</v>
      </c>
      <c r="AL8" s="48">
        <v>2.0</v>
      </c>
      <c r="AM8" s="48">
        <v>1.0</v>
      </c>
      <c r="AN8" s="48">
        <v>1.0</v>
      </c>
      <c r="AO8" s="48">
        <v>1.0</v>
      </c>
      <c r="AP8" s="48">
        <v>2.0</v>
      </c>
      <c r="AQ8" s="48">
        <v>270.0</v>
      </c>
      <c r="AR8" s="48">
        <v>3.0</v>
      </c>
      <c r="AS8" s="48">
        <v>21.0</v>
      </c>
      <c r="AT8" s="56">
        <f>100*AG8/AF8</f>
        <v>94.87179487</v>
      </c>
      <c r="AU8" s="50" t="s">
        <v>312</v>
      </c>
      <c r="AV8" s="50">
        <v>39.0</v>
      </c>
      <c r="AW8" s="50">
        <v>28.69</v>
      </c>
      <c r="AX8" s="50">
        <v>11.43</v>
      </c>
      <c r="AY8" s="50">
        <f t="shared" ref="AY8:AY9" si="7">AV8*0.91</f>
        <v>35.49</v>
      </c>
      <c r="AZ8" s="50">
        <v>26.85</v>
      </c>
      <c r="BA8" s="50">
        <v>11.59</v>
      </c>
      <c r="BB8" s="50">
        <v>12.0</v>
      </c>
      <c r="BC8" s="50">
        <f t="shared" ref="BC8:BC9" si="8">AV8*0.84</f>
        <v>32.76</v>
      </c>
      <c r="BD8" s="50">
        <v>25.71</v>
      </c>
      <c r="BE8" s="50">
        <v>9.78</v>
      </c>
      <c r="BF8" s="50" t="s">
        <v>90</v>
      </c>
      <c r="BG8" s="50" t="s">
        <v>90</v>
      </c>
      <c r="BH8" s="50" t="s">
        <v>90</v>
      </c>
      <c r="BI8" s="50" t="s">
        <v>90</v>
      </c>
    </row>
    <row r="9">
      <c r="A9" s="21" t="s">
        <v>109</v>
      </c>
      <c r="C9" s="25">
        <v>2006.0</v>
      </c>
      <c r="D9" s="47">
        <v>2.0</v>
      </c>
      <c r="E9" s="47">
        <v>1.0</v>
      </c>
      <c r="F9" s="47">
        <v>1.0</v>
      </c>
      <c r="G9" s="47">
        <v>1.0</v>
      </c>
      <c r="H9" s="47">
        <v>1.0</v>
      </c>
      <c r="I9" s="52">
        <f t="shared" si="2"/>
        <v>12.42703704</v>
      </c>
      <c r="J9" s="47">
        <v>11.0</v>
      </c>
      <c r="K9" s="47">
        <v>13.0</v>
      </c>
      <c r="L9" s="47">
        <v>100.0</v>
      </c>
      <c r="M9" s="52">
        <f t="shared" si="3"/>
        <v>80.51851852</v>
      </c>
      <c r="N9" s="47" t="s">
        <v>161</v>
      </c>
      <c r="O9" s="52">
        <f t="shared" si="4"/>
        <v>7.074074074</v>
      </c>
      <c r="P9" s="52">
        <f t="shared" si="5"/>
        <v>1.037037037</v>
      </c>
      <c r="Q9" s="47" t="s">
        <v>161</v>
      </c>
      <c r="R9" s="52">
        <f t="shared" si="6"/>
        <v>9.888888889</v>
      </c>
      <c r="S9" s="47" t="s">
        <v>161</v>
      </c>
      <c r="T9" s="47">
        <v>0.0</v>
      </c>
      <c r="U9" s="47" t="s">
        <v>161</v>
      </c>
      <c r="V9" s="47">
        <v>2.0</v>
      </c>
      <c r="W9" s="47">
        <v>3.0</v>
      </c>
      <c r="X9" s="47">
        <v>2.0</v>
      </c>
      <c r="Y9" s="26" t="s">
        <v>162</v>
      </c>
      <c r="Z9" s="26" t="s">
        <v>163</v>
      </c>
      <c r="AA9" s="26">
        <v>1.0</v>
      </c>
      <c r="AB9" s="26">
        <v>2.0</v>
      </c>
      <c r="AC9" s="27" t="s">
        <v>170</v>
      </c>
      <c r="AD9" s="48">
        <v>42.0</v>
      </c>
      <c r="AE9" s="48">
        <v>42.0</v>
      </c>
      <c r="AF9" s="48" t="s">
        <v>90</v>
      </c>
      <c r="AG9" s="48" t="s">
        <v>90</v>
      </c>
      <c r="AH9" s="48">
        <v>1.0</v>
      </c>
      <c r="AI9" s="48" t="s">
        <v>90</v>
      </c>
      <c r="AJ9" s="48" t="s">
        <v>90</v>
      </c>
      <c r="AK9" s="48" t="s">
        <v>90</v>
      </c>
      <c r="AL9" s="48" t="s">
        <v>90</v>
      </c>
      <c r="AM9" s="48" t="s">
        <v>90</v>
      </c>
      <c r="AN9" s="48" t="s">
        <v>90</v>
      </c>
      <c r="AO9" s="48" t="s">
        <v>90</v>
      </c>
      <c r="AP9" s="48" t="s">
        <v>90</v>
      </c>
      <c r="AQ9" s="48" t="s">
        <v>90</v>
      </c>
      <c r="AR9" s="48" t="s">
        <v>90</v>
      </c>
      <c r="AS9" s="48" t="s">
        <v>90</v>
      </c>
      <c r="AT9" s="48" t="s">
        <v>90</v>
      </c>
      <c r="AU9" s="50" t="s">
        <v>312</v>
      </c>
      <c r="AV9" s="50">
        <v>42.0</v>
      </c>
      <c r="AW9" s="50">
        <v>27.89</v>
      </c>
      <c r="AX9" s="50">
        <v>12.8</v>
      </c>
      <c r="AY9" s="50">
        <f t="shared" si="7"/>
        <v>38.22</v>
      </c>
      <c r="AZ9" s="50">
        <v>27.79</v>
      </c>
      <c r="BA9" s="50">
        <v>12.43</v>
      </c>
      <c r="BB9" s="50">
        <v>12.0</v>
      </c>
      <c r="BC9" s="50">
        <f t="shared" si="8"/>
        <v>35.28</v>
      </c>
      <c r="BD9" s="50">
        <v>24.67</v>
      </c>
      <c r="BE9" s="50">
        <v>8.13</v>
      </c>
      <c r="BF9" s="50" t="s">
        <v>90</v>
      </c>
      <c r="BG9" s="50" t="s">
        <v>90</v>
      </c>
      <c r="BH9" s="50" t="s">
        <v>90</v>
      </c>
      <c r="BI9" s="50" t="s">
        <v>90</v>
      </c>
    </row>
    <row r="10">
      <c r="A10" s="21" t="s">
        <v>113</v>
      </c>
      <c r="B10" s="46"/>
      <c r="C10" s="25">
        <v>2007.0</v>
      </c>
      <c r="D10" s="47">
        <v>1.0</v>
      </c>
      <c r="E10" s="47">
        <v>3.0</v>
      </c>
      <c r="F10" s="47">
        <v>1.0</v>
      </c>
      <c r="G10" s="47">
        <v>1.0</v>
      </c>
      <c r="H10" s="47">
        <v>2.0</v>
      </c>
      <c r="I10" s="47">
        <v>14.4</v>
      </c>
      <c r="J10" s="47">
        <v>12.0</v>
      </c>
      <c r="K10" s="47">
        <v>18.0</v>
      </c>
      <c r="L10" s="47">
        <v>100.0</v>
      </c>
      <c r="M10" s="52">
        <f t="shared" ref="M10:M11" si="9">(79/83)*100</f>
        <v>95.18072289</v>
      </c>
      <c r="N10" s="47">
        <v>0.0</v>
      </c>
      <c r="O10" s="47">
        <v>0.0</v>
      </c>
      <c r="P10" s="52">
        <f t="shared" ref="P10:P11" si="10">(4/83)*100</f>
        <v>4.819277108</v>
      </c>
      <c r="Q10" s="47">
        <v>0.0</v>
      </c>
      <c r="R10" s="47">
        <v>0.0</v>
      </c>
      <c r="S10" s="47">
        <v>0.0</v>
      </c>
      <c r="T10" s="47">
        <v>0.0</v>
      </c>
      <c r="U10" s="47" t="s">
        <v>161</v>
      </c>
      <c r="V10" s="47">
        <v>2.0</v>
      </c>
      <c r="W10" s="47">
        <v>5.0</v>
      </c>
      <c r="X10" s="47">
        <v>2.0</v>
      </c>
      <c r="Y10" s="26" t="s">
        <v>174</v>
      </c>
      <c r="Z10" s="26" t="s">
        <v>175</v>
      </c>
      <c r="AA10" s="26">
        <v>1.0</v>
      </c>
      <c r="AB10" s="26">
        <v>1.0</v>
      </c>
      <c r="AC10" s="27" t="s">
        <v>169</v>
      </c>
      <c r="AD10" s="48">
        <v>40.0</v>
      </c>
      <c r="AE10" s="48">
        <v>40.0</v>
      </c>
      <c r="AF10" s="48">
        <v>36.0</v>
      </c>
      <c r="AG10" s="48">
        <v>28.0</v>
      </c>
      <c r="AH10" s="48" t="s">
        <v>90</v>
      </c>
      <c r="AI10" s="48">
        <v>1.0</v>
      </c>
      <c r="AJ10" s="65">
        <v>5.0</v>
      </c>
      <c r="AK10" s="48">
        <v>1.0</v>
      </c>
      <c r="AL10" s="48">
        <v>2.0</v>
      </c>
      <c r="AM10" s="48">
        <v>1.0</v>
      </c>
      <c r="AN10" s="48">
        <v>2.0</v>
      </c>
      <c r="AO10" s="48">
        <v>1.0</v>
      </c>
      <c r="AP10" s="48">
        <v>2.0</v>
      </c>
      <c r="AQ10" s="48">
        <v>540.0</v>
      </c>
      <c r="AR10" s="48">
        <v>6.0</v>
      </c>
      <c r="AS10" s="48">
        <v>42.0</v>
      </c>
      <c r="AT10" s="56">
        <f>(AG10/AF10)*100</f>
        <v>77.77777778</v>
      </c>
      <c r="AU10" s="50" t="s">
        <v>312</v>
      </c>
      <c r="AV10" s="50">
        <v>36.0</v>
      </c>
      <c r="AW10" s="50">
        <v>12.97</v>
      </c>
      <c r="AX10" s="50">
        <v>9.41</v>
      </c>
      <c r="AY10" s="50">
        <v>36.0</v>
      </c>
      <c r="AZ10" s="50">
        <v>7.53</v>
      </c>
      <c r="BA10" s="50">
        <v>8.54</v>
      </c>
      <c r="BB10" s="50" t="s">
        <v>90</v>
      </c>
      <c r="BC10" s="50" t="s">
        <v>90</v>
      </c>
      <c r="BD10" s="50" t="s">
        <v>90</v>
      </c>
      <c r="BE10" s="50" t="s">
        <v>90</v>
      </c>
      <c r="BF10" s="50" t="s">
        <v>90</v>
      </c>
      <c r="BG10" s="50" t="s">
        <v>90</v>
      </c>
      <c r="BH10" s="50" t="s">
        <v>90</v>
      </c>
      <c r="BI10" s="50" t="s">
        <v>90</v>
      </c>
    </row>
    <row r="11">
      <c r="A11" s="21" t="s">
        <v>113</v>
      </c>
      <c r="C11" s="25">
        <v>2007.0</v>
      </c>
      <c r="D11" s="47">
        <v>1.0</v>
      </c>
      <c r="E11" s="47">
        <v>3.0</v>
      </c>
      <c r="F11" s="47">
        <v>1.0</v>
      </c>
      <c r="G11" s="47">
        <v>1.0</v>
      </c>
      <c r="H11" s="47">
        <v>2.0</v>
      </c>
      <c r="I11" s="47">
        <v>14.4</v>
      </c>
      <c r="J11" s="47">
        <v>12.0</v>
      </c>
      <c r="K11" s="47">
        <v>18.0</v>
      </c>
      <c r="L11" s="47">
        <v>100.0</v>
      </c>
      <c r="M11" s="52">
        <f t="shared" si="9"/>
        <v>95.18072289</v>
      </c>
      <c r="N11" s="47">
        <v>0.0</v>
      </c>
      <c r="O11" s="47">
        <v>0.0</v>
      </c>
      <c r="P11" s="52">
        <f t="shared" si="10"/>
        <v>4.819277108</v>
      </c>
      <c r="Q11" s="47">
        <v>0.0</v>
      </c>
      <c r="R11" s="47">
        <v>0.0</v>
      </c>
      <c r="S11" s="47">
        <v>0.0</v>
      </c>
      <c r="T11" s="47">
        <v>0.0</v>
      </c>
      <c r="U11" s="47" t="s">
        <v>161</v>
      </c>
      <c r="V11" s="47">
        <v>2.0</v>
      </c>
      <c r="W11" s="47">
        <v>5.0</v>
      </c>
      <c r="X11" s="47">
        <v>2.0</v>
      </c>
      <c r="Y11" s="26" t="s">
        <v>174</v>
      </c>
      <c r="Z11" s="26" t="s">
        <v>175</v>
      </c>
      <c r="AA11" s="26">
        <v>1.0</v>
      </c>
      <c r="AB11" s="26">
        <v>1.0</v>
      </c>
      <c r="AC11" s="27" t="s">
        <v>170</v>
      </c>
      <c r="AD11" s="48">
        <v>43.0</v>
      </c>
      <c r="AE11" s="48">
        <v>43.0</v>
      </c>
      <c r="AF11" s="48">
        <v>37.0</v>
      </c>
      <c r="AG11" s="48">
        <v>34.0</v>
      </c>
      <c r="AH11" s="48">
        <v>1.0</v>
      </c>
      <c r="AI11" s="48" t="s">
        <v>90</v>
      </c>
      <c r="AJ11" s="48" t="s">
        <v>90</v>
      </c>
      <c r="AK11" s="48" t="s">
        <v>90</v>
      </c>
      <c r="AL11" s="48" t="s">
        <v>90</v>
      </c>
      <c r="AM11" s="48" t="s">
        <v>90</v>
      </c>
      <c r="AN11" s="48" t="s">
        <v>90</v>
      </c>
      <c r="AO11" s="48" t="s">
        <v>90</v>
      </c>
      <c r="AP11" s="48" t="s">
        <v>90</v>
      </c>
      <c r="AQ11" s="48" t="s">
        <v>90</v>
      </c>
      <c r="AR11" s="48" t="s">
        <v>90</v>
      </c>
      <c r="AS11" s="48" t="s">
        <v>90</v>
      </c>
      <c r="AT11" s="48" t="s">
        <v>90</v>
      </c>
      <c r="AU11" s="50" t="s">
        <v>312</v>
      </c>
      <c r="AV11" s="50">
        <v>37.0</v>
      </c>
      <c r="AW11" s="50">
        <v>14.12</v>
      </c>
      <c r="AX11" s="50">
        <v>9.69</v>
      </c>
      <c r="AY11" s="50">
        <v>37.0</v>
      </c>
      <c r="AZ11" s="50">
        <v>12.35</v>
      </c>
      <c r="BA11" s="50">
        <v>10.03</v>
      </c>
      <c r="BB11" s="50" t="s">
        <v>90</v>
      </c>
      <c r="BC11" s="50" t="s">
        <v>90</v>
      </c>
      <c r="BD11" s="50" t="s">
        <v>90</v>
      </c>
      <c r="BE11" s="50" t="s">
        <v>90</v>
      </c>
      <c r="BF11" s="50" t="s">
        <v>90</v>
      </c>
      <c r="BG11" s="50" t="s">
        <v>90</v>
      </c>
      <c r="BH11" s="50" t="s">
        <v>90</v>
      </c>
      <c r="BI11" s="50" t="s">
        <v>90</v>
      </c>
    </row>
    <row r="12">
      <c r="A12" s="21" t="s">
        <v>101</v>
      </c>
      <c r="B12" s="51" t="s">
        <v>313</v>
      </c>
      <c r="C12" s="25">
        <v>2009.0</v>
      </c>
      <c r="D12" s="47">
        <v>1.0</v>
      </c>
      <c r="E12" s="47">
        <v>3.0</v>
      </c>
      <c r="F12" s="47">
        <v>1.0</v>
      </c>
      <c r="G12" s="47">
        <v>2.0</v>
      </c>
      <c r="H12" s="47">
        <v>2.0</v>
      </c>
      <c r="I12" s="47">
        <v>13.62</v>
      </c>
      <c r="J12" s="47">
        <v>13.0</v>
      </c>
      <c r="K12" s="47">
        <v>13.0</v>
      </c>
      <c r="L12" s="52">
        <f t="shared" ref="L12:L13" si="11">100*(126+147)/(126+147+107+160)</f>
        <v>50.55555556</v>
      </c>
      <c r="M12" s="47">
        <v>90.0</v>
      </c>
      <c r="N12" s="47" t="s">
        <v>161</v>
      </c>
      <c r="O12" s="47" t="s">
        <v>161</v>
      </c>
      <c r="P12" s="47" t="s">
        <v>161</v>
      </c>
      <c r="Q12" s="47" t="s">
        <v>161</v>
      </c>
      <c r="R12" s="66">
        <v>10.0</v>
      </c>
      <c r="S12" s="47" t="s">
        <v>161</v>
      </c>
      <c r="T12" s="47">
        <v>0.0</v>
      </c>
      <c r="U12" s="47" t="s">
        <v>161</v>
      </c>
      <c r="V12" s="47">
        <v>4.0</v>
      </c>
      <c r="W12" s="47">
        <v>1.0</v>
      </c>
      <c r="X12" s="47">
        <v>2.0</v>
      </c>
      <c r="Y12" s="26" t="s">
        <v>178</v>
      </c>
      <c r="Z12" s="26" t="s">
        <v>179</v>
      </c>
      <c r="AA12" s="26">
        <v>1.0</v>
      </c>
      <c r="AB12" s="26">
        <v>1.0</v>
      </c>
      <c r="AC12" s="27" t="s">
        <v>169</v>
      </c>
      <c r="AD12" s="48">
        <v>11.0</v>
      </c>
      <c r="AE12" s="48">
        <v>233.0</v>
      </c>
      <c r="AF12" s="48" t="s">
        <v>161</v>
      </c>
      <c r="AG12" s="48" t="s">
        <v>161</v>
      </c>
      <c r="AH12" s="48" t="s">
        <v>90</v>
      </c>
      <c r="AI12" s="48">
        <v>1.0</v>
      </c>
      <c r="AJ12" s="48">
        <v>2.0</v>
      </c>
      <c r="AK12" s="48">
        <v>2.0</v>
      </c>
      <c r="AL12" s="48">
        <v>2.0</v>
      </c>
      <c r="AM12" s="48">
        <v>1.0</v>
      </c>
      <c r="AN12" s="48">
        <v>2.0</v>
      </c>
      <c r="AO12" s="48">
        <v>1.0</v>
      </c>
      <c r="AP12" s="48">
        <v>2.0</v>
      </c>
      <c r="AQ12" s="48">
        <v>400.0</v>
      </c>
      <c r="AR12" s="48">
        <v>8.0</v>
      </c>
      <c r="AS12" s="48">
        <v>28.0</v>
      </c>
      <c r="AT12" s="48" t="s">
        <v>161</v>
      </c>
      <c r="AU12" s="50" t="s">
        <v>312</v>
      </c>
      <c r="AV12" s="50">
        <v>220.0</v>
      </c>
      <c r="AW12" s="67">
        <v>0.3265</v>
      </c>
      <c r="AX12" s="67">
        <v>0.34139</v>
      </c>
      <c r="AY12" s="50">
        <v>207.0</v>
      </c>
      <c r="AZ12" s="67">
        <v>0.2933</v>
      </c>
      <c r="BA12" s="67">
        <v>0.33713</v>
      </c>
      <c r="BB12" s="50">
        <v>26.0</v>
      </c>
      <c r="BC12" s="50">
        <v>198.0</v>
      </c>
      <c r="BD12" s="67">
        <v>0.3407</v>
      </c>
      <c r="BE12" s="67">
        <v>0.42855</v>
      </c>
      <c r="BF12" s="50">
        <v>130.0</v>
      </c>
      <c r="BG12" s="50">
        <v>120.0</v>
      </c>
      <c r="BH12" s="67">
        <v>0.2567</v>
      </c>
      <c r="BI12" s="67">
        <v>0.33071</v>
      </c>
      <c r="BJ12" s="35"/>
      <c r="BK12" s="35"/>
      <c r="BL12" s="35"/>
      <c r="BM12" s="35"/>
      <c r="BN12" s="35"/>
      <c r="BO12" s="35"/>
      <c r="BP12" s="35"/>
      <c r="BQ12" s="35"/>
      <c r="BR12" s="35"/>
    </row>
    <row r="13">
      <c r="A13" s="21" t="s">
        <v>101</v>
      </c>
      <c r="C13" s="25">
        <v>2009.0</v>
      </c>
      <c r="D13" s="47">
        <v>1.0</v>
      </c>
      <c r="E13" s="47">
        <v>3.0</v>
      </c>
      <c r="F13" s="47">
        <v>1.0</v>
      </c>
      <c r="G13" s="47">
        <v>2.0</v>
      </c>
      <c r="H13" s="47">
        <v>2.0</v>
      </c>
      <c r="I13" s="47">
        <v>13.62</v>
      </c>
      <c r="J13" s="47">
        <v>13.0</v>
      </c>
      <c r="K13" s="47">
        <v>13.0</v>
      </c>
      <c r="L13" s="52">
        <f t="shared" si="11"/>
        <v>50.55555556</v>
      </c>
      <c r="M13" s="47">
        <v>90.0</v>
      </c>
      <c r="N13" s="47" t="s">
        <v>161</v>
      </c>
      <c r="O13" s="47" t="s">
        <v>161</v>
      </c>
      <c r="P13" s="47" t="s">
        <v>161</v>
      </c>
      <c r="Q13" s="47" t="s">
        <v>161</v>
      </c>
      <c r="R13" s="66">
        <v>10.0</v>
      </c>
      <c r="S13" s="47" t="s">
        <v>161</v>
      </c>
      <c r="T13" s="47">
        <v>0.0</v>
      </c>
      <c r="U13" s="47" t="s">
        <v>161</v>
      </c>
      <c r="V13" s="47">
        <v>4.0</v>
      </c>
      <c r="W13" s="47">
        <v>1.0</v>
      </c>
      <c r="X13" s="47">
        <v>2.0</v>
      </c>
      <c r="Y13" s="26" t="s">
        <v>178</v>
      </c>
      <c r="Z13" s="26" t="s">
        <v>179</v>
      </c>
      <c r="AA13" s="26">
        <v>1.0</v>
      </c>
      <c r="AB13" s="26">
        <v>1.0</v>
      </c>
      <c r="AC13" s="27" t="s">
        <v>170</v>
      </c>
      <c r="AD13" s="48">
        <v>13.0</v>
      </c>
      <c r="AE13" s="48">
        <v>307.0</v>
      </c>
      <c r="AF13" s="48" t="s">
        <v>90</v>
      </c>
      <c r="AG13" s="48" t="s">
        <v>90</v>
      </c>
      <c r="AH13" s="48">
        <v>1.0</v>
      </c>
      <c r="AI13" s="48" t="s">
        <v>90</v>
      </c>
      <c r="AJ13" s="48" t="s">
        <v>90</v>
      </c>
      <c r="AK13" s="48" t="s">
        <v>90</v>
      </c>
      <c r="AL13" s="48" t="s">
        <v>90</v>
      </c>
      <c r="AM13" s="48" t="s">
        <v>90</v>
      </c>
      <c r="AN13" s="48" t="s">
        <v>90</v>
      </c>
      <c r="AO13" s="48" t="s">
        <v>90</v>
      </c>
      <c r="AP13" s="48" t="s">
        <v>90</v>
      </c>
      <c r="AQ13" s="48" t="s">
        <v>90</v>
      </c>
      <c r="AR13" s="48" t="s">
        <v>90</v>
      </c>
      <c r="AS13" s="48" t="s">
        <v>90</v>
      </c>
      <c r="AT13" s="48" t="s">
        <v>90</v>
      </c>
      <c r="AU13" s="50" t="s">
        <v>312</v>
      </c>
      <c r="AV13" s="50">
        <v>253.0</v>
      </c>
      <c r="AW13" s="67">
        <v>0.343</v>
      </c>
      <c r="AX13" s="67">
        <v>0.35903</v>
      </c>
      <c r="AY13" s="50">
        <v>217.0</v>
      </c>
      <c r="AZ13" s="67">
        <v>0.3737</v>
      </c>
      <c r="BA13" s="67">
        <v>0.47351</v>
      </c>
      <c r="BB13" s="50">
        <v>26.0</v>
      </c>
      <c r="BC13" s="50">
        <v>239.0</v>
      </c>
      <c r="BD13" s="67">
        <v>0.3636</v>
      </c>
      <c r="BE13" s="67">
        <v>0.45924</v>
      </c>
      <c r="BF13" s="50">
        <v>130.0</v>
      </c>
      <c r="BG13" s="50">
        <v>162.0</v>
      </c>
      <c r="BH13" s="67">
        <v>0.3589</v>
      </c>
      <c r="BI13" s="67">
        <v>0.41197</v>
      </c>
      <c r="BJ13" s="35"/>
      <c r="BK13" s="35"/>
      <c r="BL13" s="35"/>
      <c r="BM13" s="35"/>
      <c r="BN13" s="35"/>
      <c r="BO13" s="35"/>
      <c r="BP13" s="35"/>
      <c r="BQ13" s="35"/>
      <c r="BR13" s="35"/>
    </row>
    <row r="14">
      <c r="A14" s="21" t="s">
        <v>106</v>
      </c>
      <c r="B14" s="51" t="s">
        <v>313</v>
      </c>
      <c r="C14" s="25">
        <v>2009.0</v>
      </c>
      <c r="D14" s="47">
        <v>1.0</v>
      </c>
      <c r="E14" s="47">
        <v>1.0</v>
      </c>
      <c r="F14" s="47">
        <v>1.0</v>
      </c>
      <c r="G14" s="47">
        <v>1.0</v>
      </c>
      <c r="H14" s="47">
        <v>1.0</v>
      </c>
      <c r="I14" s="47">
        <v>15.7</v>
      </c>
      <c r="J14" s="47">
        <v>14.0</v>
      </c>
      <c r="K14" s="47">
        <v>19.0</v>
      </c>
      <c r="L14" s="47">
        <v>100.0</v>
      </c>
      <c r="M14" s="47">
        <v>81.0</v>
      </c>
      <c r="N14" s="47">
        <v>2.0</v>
      </c>
      <c r="O14" s="47">
        <v>9.0</v>
      </c>
      <c r="P14" s="47">
        <v>2.0</v>
      </c>
      <c r="Q14" s="47" t="s">
        <v>161</v>
      </c>
      <c r="R14" s="47">
        <v>6.0</v>
      </c>
      <c r="S14" s="47" t="s">
        <v>161</v>
      </c>
      <c r="T14" s="47">
        <v>0.0</v>
      </c>
      <c r="U14" s="47" t="s">
        <v>161</v>
      </c>
      <c r="V14" s="47">
        <v>2.0</v>
      </c>
      <c r="W14" s="47">
        <v>3.0</v>
      </c>
      <c r="X14" s="47">
        <v>2.0</v>
      </c>
      <c r="Y14" s="26" t="s">
        <v>182</v>
      </c>
      <c r="Z14" s="26" t="s">
        <v>183</v>
      </c>
      <c r="AA14" s="26">
        <v>1.0</v>
      </c>
      <c r="AB14" s="26">
        <v>1.0</v>
      </c>
      <c r="AC14" s="27" t="s">
        <v>169</v>
      </c>
      <c r="AD14" s="48">
        <v>139.0</v>
      </c>
      <c r="AE14" s="48">
        <v>139.0</v>
      </c>
      <c r="AF14" s="48">
        <v>139.0</v>
      </c>
      <c r="AG14" s="48">
        <f>ROUND(AF14*0.67,0)</f>
        <v>93</v>
      </c>
      <c r="AH14" s="48" t="s">
        <v>90</v>
      </c>
      <c r="AI14" s="48">
        <v>1.0</v>
      </c>
      <c r="AJ14" s="48">
        <v>2.0</v>
      </c>
      <c r="AK14" s="65">
        <v>1.0</v>
      </c>
      <c r="AL14" s="48">
        <v>3.0</v>
      </c>
      <c r="AM14" s="48">
        <v>1.0</v>
      </c>
      <c r="AN14" s="48">
        <v>1.0</v>
      </c>
      <c r="AO14" s="48">
        <v>1.0</v>
      </c>
      <c r="AP14" s="48">
        <v>1.0</v>
      </c>
      <c r="AQ14" s="48">
        <v>240.0</v>
      </c>
      <c r="AR14" s="48">
        <v>4.0</v>
      </c>
      <c r="AS14" s="48">
        <v>28.0</v>
      </c>
      <c r="AT14" s="56">
        <v>67.0</v>
      </c>
      <c r="AU14" s="50" t="s">
        <v>312</v>
      </c>
      <c r="AV14" s="50">
        <v>139.0</v>
      </c>
      <c r="AW14" s="50">
        <v>18.1</v>
      </c>
      <c r="AX14" s="50">
        <v>12.61</v>
      </c>
      <c r="AY14" s="50">
        <v>136.0</v>
      </c>
      <c r="AZ14" s="50">
        <v>11.52</v>
      </c>
      <c r="BA14" s="50">
        <v>9.75</v>
      </c>
      <c r="BB14" s="50">
        <v>26.0</v>
      </c>
      <c r="BC14" s="50">
        <v>128.0</v>
      </c>
      <c r="BD14" s="50">
        <v>12.93</v>
      </c>
      <c r="BE14" s="50">
        <v>11.79</v>
      </c>
      <c r="BF14" s="50">
        <v>52.0</v>
      </c>
      <c r="BG14" s="50">
        <v>126.0</v>
      </c>
      <c r="BH14" s="50">
        <v>13.25</v>
      </c>
      <c r="BI14" s="50">
        <v>12.43</v>
      </c>
    </row>
    <row r="15">
      <c r="A15" s="21" t="s">
        <v>106</v>
      </c>
      <c r="C15" s="25">
        <v>2009.0</v>
      </c>
      <c r="D15" s="47">
        <v>1.0</v>
      </c>
      <c r="E15" s="47">
        <v>1.0</v>
      </c>
      <c r="F15" s="47">
        <v>1.0</v>
      </c>
      <c r="G15" s="47">
        <v>1.0</v>
      </c>
      <c r="H15" s="47">
        <v>1.0</v>
      </c>
      <c r="I15" s="47">
        <v>15.7</v>
      </c>
      <c r="J15" s="47">
        <v>14.0</v>
      </c>
      <c r="K15" s="47">
        <v>19.0</v>
      </c>
      <c r="L15" s="47">
        <v>100.0</v>
      </c>
      <c r="M15" s="47">
        <v>81.0</v>
      </c>
      <c r="N15" s="47">
        <v>2.0</v>
      </c>
      <c r="O15" s="47">
        <v>9.0</v>
      </c>
      <c r="P15" s="47">
        <v>2.0</v>
      </c>
      <c r="Q15" s="47" t="s">
        <v>161</v>
      </c>
      <c r="R15" s="47">
        <v>6.0</v>
      </c>
      <c r="S15" s="47" t="s">
        <v>161</v>
      </c>
      <c r="T15" s="47">
        <v>0.0</v>
      </c>
      <c r="U15" s="47" t="s">
        <v>161</v>
      </c>
      <c r="V15" s="47">
        <v>2.0</v>
      </c>
      <c r="W15" s="47">
        <v>3.0</v>
      </c>
      <c r="X15" s="47">
        <v>2.0</v>
      </c>
      <c r="Y15" s="26" t="s">
        <v>182</v>
      </c>
      <c r="Z15" s="26" t="s">
        <v>183</v>
      </c>
      <c r="AA15" s="26">
        <v>1.0</v>
      </c>
      <c r="AB15" s="26">
        <v>1.0</v>
      </c>
      <c r="AC15" s="27" t="s">
        <v>170</v>
      </c>
      <c r="AD15" s="48">
        <v>167.0</v>
      </c>
      <c r="AE15" s="48">
        <v>167.0</v>
      </c>
      <c r="AF15" s="48" t="s">
        <v>90</v>
      </c>
      <c r="AG15" s="48" t="s">
        <v>90</v>
      </c>
      <c r="AH15" s="48">
        <v>2.0</v>
      </c>
      <c r="AI15" s="48" t="s">
        <v>90</v>
      </c>
      <c r="AJ15" s="48" t="s">
        <v>90</v>
      </c>
      <c r="AK15" s="48" t="s">
        <v>90</v>
      </c>
      <c r="AL15" s="48" t="s">
        <v>90</v>
      </c>
      <c r="AM15" s="48" t="s">
        <v>90</v>
      </c>
      <c r="AN15" s="48" t="s">
        <v>90</v>
      </c>
      <c r="AO15" s="48" t="s">
        <v>90</v>
      </c>
      <c r="AP15" s="48" t="s">
        <v>90</v>
      </c>
      <c r="AQ15" s="48" t="s">
        <v>90</v>
      </c>
      <c r="AR15" s="48" t="s">
        <v>90</v>
      </c>
      <c r="AS15" s="48" t="s">
        <v>90</v>
      </c>
      <c r="AT15" s="48" t="s">
        <v>90</v>
      </c>
      <c r="AU15" s="50" t="s">
        <v>312</v>
      </c>
      <c r="AV15" s="50">
        <v>167.0</v>
      </c>
      <c r="AW15" s="50">
        <v>16.96</v>
      </c>
      <c r="AX15" s="50">
        <v>13.08</v>
      </c>
      <c r="AY15" s="50">
        <v>162.0</v>
      </c>
      <c r="AZ15" s="50">
        <v>13.07</v>
      </c>
      <c r="BA15" s="50">
        <v>11.92</v>
      </c>
      <c r="BB15" s="50">
        <v>26.0</v>
      </c>
      <c r="BC15" s="50">
        <v>157.0</v>
      </c>
      <c r="BD15" s="50">
        <v>12.25</v>
      </c>
      <c r="BE15" s="50">
        <v>11.73</v>
      </c>
      <c r="BF15" s="50">
        <v>52.0</v>
      </c>
      <c r="BG15" s="50">
        <v>154.0</v>
      </c>
      <c r="BH15" s="50">
        <v>12.51</v>
      </c>
      <c r="BI15" s="50">
        <v>11.99</v>
      </c>
    </row>
    <row r="16">
      <c r="A16" s="16" t="s">
        <v>114</v>
      </c>
      <c r="B16" s="68" t="s">
        <v>314</v>
      </c>
      <c r="C16" s="69">
        <v>2013.0</v>
      </c>
      <c r="D16" s="70">
        <v>1.0</v>
      </c>
      <c r="E16" s="70">
        <v>3.0</v>
      </c>
      <c r="F16" s="70">
        <v>1.0</v>
      </c>
      <c r="G16" s="70">
        <v>2.0</v>
      </c>
      <c r="H16" s="70">
        <v>2.0</v>
      </c>
      <c r="I16" s="71">
        <f t="shared" ref="I16:I17" si="12">(13.06*255+12.99*181)/(255+181)</f>
        <v>13.03094037</v>
      </c>
      <c r="J16" s="70">
        <v>12.0</v>
      </c>
      <c r="K16" s="70">
        <v>13.0</v>
      </c>
      <c r="L16" s="70">
        <v>100.0</v>
      </c>
      <c r="M16" s="71">
        <f t="shared" ref="M16:M17" si="13">100*(133+79)/(255+181)</f>
        <v>48.62385321</v>
      </c>
      <c r="N16" s="71">
        <f t="shared" ref="N16:N17" si="14">100*(37+35)/(255+181)</f>
        <v>16.51376147</v>
      </c>
      <c r="O16" s="70" t="s">
        <v>161</v>
      </c>
      <c r="P16" s="71">
        <f t="shared" ref="P16:P17" si="15">100*(43+32)/(255+181)</f>
        <v>17.20183486</v>
      </c>
      <c r="Q16" s="70" t="s">
        <v>161</v>
      </c>
      <c r="R16" s="71">
        <f t="shared" ref="R16:R17" si="16">100*(34+20)/(255+181)</f>
        <v>12.3853211</v>
      </c>
      <c r="S16" s="70" t="s">
        <v>161</v>
      </c>
      <c r="T16" s="71">
        <f t="shared" ref="T16:T20" si="17">100-M16-N16-P16-R16</f>
        <v>5.275229358</v>
      </c>
      <c r="U16" s="70" t="s">
        <v>161</v>
      </c>
      <c r="V16" s="70">
        <v>4.0</v>
      </c>
      <c r="W16" s="70">
        <v>1.0</v>
      </c>
      <c r="X16" s="70">
        <v>2.0</v>
      </c>
      <c r="Y16" s="72" t="s">
        <v>190</v>
      </c>
      <c r="Z16" s="73" t="s">
        <v>187</v>
      </c>
      <c r="AA16" s="72">
        <v>1.0</v>
      </c>
      <c r="AB16" s="72">
        <v>1.0</v>
      </c>
      <c r="AC16" s="74" t="s">
        <v>169</v>
      </c>
      <c r="AD16" s="75">
        <v>9.0</v>
      </c>
      <c r="AE16" s="75">
        <v>261.0</v>
      </c>
      <c r="AF16" s="75" t="s">
        <v>161</v>
      </c>
      <c r="AG16" s="75" t="s">
        <v>161</v>
      </c>
      <c r="AH16" s="75" t="s">
        <v>90</v>
      </c>
      <c r="AI16" s="75">
        <v>1.0</v>
      </c>
      <c r="AJ16" s="75">
        <v>2.0</v>
      </c>
      <c r="AK16" s="76">
        <v>2.0</v>
      </c>
      <c r="AL16" s="75">
        <v>3.0</v>
      </c>
      <c r="AM16" s="75">
        <v>1.0</v>
      </c>
      <c r="AN16" s="75">
        <v>1.0</v>
      </c>
      <c r="AO16" s="75">
        <v>1.0</v>
      </c>
      <c r="AP16" s="75">
        <v>1.0</v>
      </c>
      <c r="AQ16" s="75">
        <v>300.0</v>
      </c>
      <c r="AR16" s="75">
        <v>6.0</v>
      </c>
      <c r="AS16" s="75" t="s">
        <v>161</v>
      </c>
      <c r="AT16" s="75" t="s">
        <v>161</v>
      </c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35"/>
      <c r="BK16" s="35"/>
      <c r="BL16" s="35"/>
      <c r="BM16" s="35"/>
      <c r="BN16" s="35"/>
      <c r="BO16" s="35"/>
      <c r="BP16" s="35"/>
      <c r="BQ16" s="35"/>
      <c r="BR16" s="35"/>
    </row>
    <row r="17">
      <c r="A17" s="16" t="s">
        <v>114</v>
      </c>
      <c r="C17" s="69">
        <v>2013.0</v>
      </c>
      <c r="D17" s="70">
        <v>1.0</v>
      </c>
      <c r="E17" s="70">
        <v>3.0</v>
      </c>
      <c r="F17" s="70">
        <v>1.0</v>
      </c>
      <c r="G17" s="70">
        <v>2.0</v>
      </c>
      <c r="H17" s="70">
        <v>2.0</v>
      </c>
      <c r="I17" s="71">
        <f t="shared" si="12"/>
        <v>13.03094037</v>
      </c>
      <c r="J17" s="70">
        <v>12.0</v>
      </c>
      <c r="K17" s="70">
        <v>13.0</v>
      </c>
      <c r="L17" s="70">
        <v>100.0</v>
      </c>
      <c r="M17" s="71">
        <f t="shared" si="13"/>
        <v>48.62385321</v>
      </c>
      <c r="N17" s="71">
        <f t="shared" si="14"/>
        <v>16.51376147</v>
      </c>
      <c r="O17" s="70" t="s">
        <v>161</v>
      </c>
      <c r="P17" s="71">
        <f t="shared" si="15"/>
        <v>17.20183486</v>
      </c>
      <c r="Q17" s="70" t="s">
        <v>161</v>
      </c>
      <c r="R17" s="71">
        <f t="shared" si="16"/>
        <v>12.3853211</v>
      </c>
      <c r="S17" s="70" t="s">
        <v>161</v>
      </c>
      <c r="T17" s="71">
        <f t="shared" si="17"/>
        <v>5.275229358</v>
      </c>
      <c r="U17" s="70" t="s">
        <v>161</v>
      </c>
      <c r="V17" s="70">
        <v>4.0</v>
      </c>
      <c r="W17" s="70">
        <v>1.0</v>
      </c>
      <c r="X17" s="70">
        <v>2.0</v>
      </c>
      <c r="Y17" s="72" t="s">
        <v>190</v>
      </c>
      <c r="Z17" s="73" t="s">
        <v>187</v>
      </c>
      <c r="AA17" s="72">
        <v>1.0</v>
      </c>
      <c r="AB17" s="72">
        <v>1.0</v>
      </c>
      <c r="AC17" s="74" t="s">
        <v>170</v>
      </c>
      <c r="AD17" s="75">
        <v>7.0</v>
      </c>
      <c r="AE17" s="75">
        <v>187.0</v>
      </c>
      <c r="AF17" s="75" t="s">
        <v>90</v>
      </c>
      <c r="AG17" s="75" t="s">
        <v>90</v>
      </c>
      <c r="AH17" s="75">
        <v>1.0</v>
      </c>
      <c r="AI17" s="75" t="s">
        <v>90</v>
      </c>
      <c r="AJ17" s="75" t="s">
        <v>90</v>
      </c>
      <c r="AK17" s="75" t="s">
        <v>90</v>
      </c>
      <c r="AL17" s="75" t="s">
        <v>90</v>
      </c>
      <c r="AM17" s="75" t="s">
        <v>90</v>
      </c>
      <c r="AN17" s="75" t="s">
        <v>90</v>
      </c>
      <c r="AO17" s="75" t="s">
        <v>90</v>
      </c>
      <c r="AP17" s="75" t="s">
        <v>90</v>
      </c>
      <c r="AQ17" s="75" t="s">
        <v>90</v>
      </c>
      <c r="AR17" s="75" t="s">
        <v>90</v>
      </c>
      <c r="AS17" s="75" t="s">
        <v>90</v>
      </c>
      <c r="AT17" s="75" t="s">
        <v>90</v>
      </c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35"/>
      <c r="BK17" s="35"/>
      <c r="BL17" s="35"/>
      <c r="BM17" s="35"/>
      <c r="BN17" s="35"/>
      <c r="BO17" s="35"/>
      <c r="BP17" s="35"/>
      <c r="BQ17" s="35"/>
      <c r="BR17" s="35"/>
    </row>
    <row r="18">
      <c r="A18" s="16" t="s">
        <v>117</v>
      </c>
      <c r="B18" s="68" t="s">
        <v>315</v>
      </c>
      <c r="C18" s="69">
        <v>2015.0</v>
      </c>
      <c r="D18" s="70">
        <v>1.0</v>
      </c>
      <c r="E18" s="70">
        <v>3.0</v>
      </c>
      <c r="F18" s="70">
        <v>1.0</v>
      </c>
      <c r="G18" s="70">
        <v>2.0</v>
      </c>
      <c r="H18" s="70">
        <v>2.0</v>
      </c>
      <c r="I18" s="70">
        <v>15.7</v>
      </c>
      <c r="J18" s="70">
        <v>14.0</v>
      </c>
      <c r="K18" s="70">
        <v>18.0</v>
      </c>
      <c r="L18" s="70">
        <v>100.0</v>
      </c>
      <c r="M18" s="70">
        <v>84.0</v>
      </c>
      <c r="N18" s="70">
        <v>1.0</v>
      </c>
      <c r="O18" s="70" t="s">
        <v>161</v>
      </c>
      <c r="P18" s="70">
        <v>8.0</v>
      </c>
      <c r="Q18" s="70" t="s">
        <v>161</v>
      </c>
      <c r="R18" s="70">
        <v>4.0</v>
      </c>
      <c r="S18" s="70" t="s">
        <v>161</v>
      </c>
      <c r="T18" s="70">
        <f t="shared" si="17"/>
        <v>3</v>
      </c>
      <c r="U18" s="70" t="s">
        <v>161</v>
      </c>
      <c r="V18" s="70">
        <v>3.0</v>
      </c>
      <c r="W18" s="70">
        <v>1.0</v>
      </c>
      <c r="X18" s="70">
        <v>2.0</v>
      </c>
      <c r="Y18" s="72" t="s">
        <v>162</v>
      </c>
      <c r="Z18" s="72" t="s">
        <v>193</v>
      </c>
      <c r="AA18" s="72">
        <v>1.0</v>
      </c>
      <c r="AB18" s="72">
        <v>2.0</v>
      </c>
      <c r="AC18" s="74" t="s">
        <v>194</v>
      </c>
      <c r="AD18" s="75">
        <v>7.0</v>
      </c>
      <c r="AE18" s="75">
        <v>138.0</v>
      </c>
      <c r="AF18" s="75" t="s">
        <v>161</v>
      </c>
      <c r="AG18" s="75" t="s">
        <v>161</v>
      </c>
      <c r="AH18" s="75" t="s">
        <v>90</v>
      </c>
      <c r="AI18" s="75">
        <v>1.0</v>
      </c>
      <c r="AJ18" s="75">
        <v>2.0</v>
      </c>
      <c r="AK18" s="76">
        <v>1.0</v>
      </c>
      <c r="AL18" s="75">
        <v>2.0</v>
      </c>
      <c r="AM18" s="75">
        <v>1.0</v>
      </c>
      <c r="AN18" s="75">
        <v>2.0</v>
      </c>
      <c r="AO18" s="75">
        <v>1.0</v>
      </c>
      <c r="AP18" s="75">
        <v>2.0</v>
      </c>
      <c r="AQ18" s="75" t="s">
        <v>161</v>
      </c>
      <c r="AR18" s="75">
        <v>3.0</v>
      </c>
      <c r="AS18" s="75">
        <v>21.0</v>
      </c>
      <c r="AT18" s="75" t="s">
        <v>161</v>
      </c>
      <c r="AU18" s="77" t="s">
        <v>316</v>
      </c>
      <c r="AV18" s="77" t="s">
        <v>90</v>
      </c>
      <c r="AW18" s="77" t="s">
        <v>90</v>
      </c>
      <c r="AX18" s="77" t="s">
        <v>90</v>
      </c>
      <c r="AY18" s="77">
        <v>121.0</v>
      </c>
      <c r="AZ18" s="78">
        <v>0.3029855072463768</v>
      </c>
      <c r="BA18" s="78">
        <v>0.183100262644937</v>
      </c>
      <c r="BB18" s="77">
        <v>4.0</v>
      </c>
      <c r="BC18" s="77">
        <v>124.0</v>
      </c>
      <c r="BD18" s="78">
        <v>0.2929855072463768</v>
      </c>
      <c r="BE18" s="78">
        <v>0.1853558721754163</v>
      </c>
      <c r="BF18" s="77">
        <v>26.0</v>
      </c>
      <c r="BG18" s="77">
        <v>107.0</v>
      </c>
      <c r="BH18" s="78">
        <v>0.31</v>
      </c>
      <c r="BI18" s="78">
        <v>0.17218383456599026</v>
      </c>
      <c r="BJ18" s="35"/>
      <c r="BK18" s="35"/>
      <c r="BL18" s="35"/>
      <c r="BM18" s="35"/>
      <c r="BN18" s="35"/>
      <c r="BO18" s="35"/>
      <c r="BP18" s="35"/>
      <c r="BQ18" s="35"/>
      <c r="BR18" s="35"/>
    </row>
    <row r="19">
      <c r="A19" s="16" t="s">
        <v>117</v>
      </c>
      <c r="C19" s="69">
        <v>2015.0</v>
      </c>
      <c r="D19" s="70">
        <v>1.0</v>
      </c>
      <c r="E19" s="70">
        <v>3.0</v>
      </c>
      <c r="F19" s="70">
        <v>1.0</v>
      </c>
      <c r="G19" s="70">
        <v>2.0</v>
      </c>
      <c r="H19" s="70">
        <v>2.0</v>
      </c>
      <c r="I19" s="70">
        <v>15.7</v>
      </c>
      <c r="J19" s="70">
        <v>14.0</v>
      </c>
      <c r="K19" s="70">
        <v>18.0</v>
      </c>
      <c r="L19" s="70">
        <v>100.0</v>
      </c>
      <c r="M19" s="70">
        <v>84.0</v>
      </c>
      <c r="N19" s="70">
        <v>1.0</v>
      </c>
      <c r="O19" s="70" t="s">
        <v>161</v>
      </c>
      <c r="P19" s="70">
        <v>8.0</v>
      </c>
      <c r="Q19" s="70" t="s">
        <v>161</v>
      </c>
      <c r="R19" s="70">
        <v>4.0</v>
      </c>
      <c r="S19" s="70" t="s">
        <v>161</v>
      </c>
      <c r="T19" s="70">
        <f t="shared" si="17"/>
        <v>3</v>
      </c>
      <c r="U19" s="70" t="s">
        <v>161</v>
      </c>
      <c r="V19" s="70">
        <v>3.0</v>
      </c>
      <c r="W19" s="70">
        <v>1.0</v>
      </c>
      <c r="X19" s="70">
        <v>2.0</v>
      </c>
      <c r="Y19" s="72" t="s">
        <v>162</v>
      </c>
      <c r="Z19" s="72" t="s">
        <v>193</v>
      </c>
      <c r="AA19" s="72">
        <v>1.0</v>
      </c>
      <c r="AB19" s="72">
        <v>2.0</v>
      </c>
      <c r="AC19" s="74" t="s">
        <v>195</v>
      </c>
      <c r="AD19" s="75">
        <v>6.0</v>
      </c>
      <c r="AE19" s="75">
        <v>108.0</v>
      </c>
      <c r="AF19" s="75" t="s">
        <v>161</v>
      </c>
      <c r="AG19" s="75" t="s">
        <v>161</v>
      </c>
      <c r="AH19" s="75" t="s">
        <v>90</v>
      </c>
      <c r="AI19" s="75">
        <v>1.0</v>
      </c>
      <c r="AJ19" s="75">
        <v>2.0</v>
      </c>
      <c r="AK19" s="76">
        <v>1.0</v>
      </c>
      <c r="AL19" s="75">
        <v>2.0</v>
      </c>
      <c r="AM19" s="75">
        <v>1.0</v>
      </c>
      <c r="AN19" s="75">
        <v>2.0</v>
      </c>
      <c r="AO19" s="75">
        <v>1.0</v>
      </c>
      <c r="AP19" s="75">
        <v>2.0</v>
      </c>
      <c r="AQ19" s="75" t="s">
        <v>161</v>
      </c>
      <c r="AR19" s="75">
        <v>3.0</v>
      </c>
      <c r="AS19" s="75">
        <v>21.0</v>
      </c>
      <c r="AT19" s="75" t="s">
        <v>161</v>
      </c>
      <c r="AU19" s="77" t="s">
        <v>316</v>
      </c>
      <c r="AV19" s="77" t="s">
        <v>90</v>
      </c>
      <c r="AW19" s="77" t="s">
        <v>90</v>
      </c>
      <c r="AX19" s="77" t="s">
        <v>90</v>
      </c>
      <c r="AY19" s="77">
        <v>96.0</v>
      </c>
      <c r="AZ19" s="78">
        <v>0.3038840579710145</v>
      </c>
      <c r="BA19" s="78">
        <v>0.1630948640578779</v>
      </c>
      <c r="BB19" s="77">
        <v>4.0</v>
      </c>
      <c r="BC19" s="77">
        <v>96.0</v>
      </c>
      <c r="BD19" s="78">
        <v>0.2808985507246377</v>
      </c>
      <c r="BE19" s="78">
        <v>0.1630948640578779</v>
      </c>
      <c r="BF19" s="77">
        <v>26.0</v>
      </c>
      <c r="BG19" s="77">
        <v>96.0</v>
      </c>
      <c r="BH19" s="78">
        <v>0.3159710144927536</v>
      </c>
      <c r="BI19" s="78">
        <v>0.1630948640578779</v>
      </c>
      <c r="BJ19" s="35"/>
      <c r="BK19" s="35"/>
      <c r="BL19" s="35"/>
      <c r="BM19" s="35"/>
      <c r="BN19" s="35"/>
      <c r="BO19" s="35"/>
      <c r="BP19" s="35"/>
      <c r="BQ19" s="35"/>
      <c r="BR19" s="35"/>
    </row>
    <row r="20">
      <c r="A20" s="16" t="s">
        <v>117</v>
      </c>
      <c r="C20" s="69">
        <v>2015.0</v>
      </c>
      <c r="D20" s="70">
        <v>1.0</v>
      </c>
      <c r="E20" s="70">
        <v>3.0</v>
      </c>
      <c r="F20" s="70">
        <v>1.0</v>
      </c>
      <c r="G20" s="70">
        <v>2.0</v>
      </c>
      <c r="H20" s="70">
        <v>2.0</v>
      </c>
      <c r="I20" s="70">
        <v>15.7</v>
      </c>
      <c r="J20" s="70">
        <v>14.0</v>
      </c>
      <c r="K20" s="70">
        <v>18.0</v>
      </c>
      <c r="L20" s="70">
        <v>100.0</v>
      </c>
      <c r="M20" s="70">
        <v>84.0</v>
      </c>
      <c r="N20" s="70">
        <v>1.0</v>
      </c>
      <c r="O20" s="70" t="s">
        <v>161</v>
      </c>
      <c r="P20" s="70">
        <v>8.0</v>
      </c>
      <c r="Q20" s="70" t="s">
        <v>161</v>
      </c>
      <c r="R20" s="70">
        <v>4.0</v>
      </c>
      <c r="S20" s="70" t="s">
        <v>161</v>
      </c>
      <c r="T20" s="70">
        <f t="shared" si="17"/>
        <v>3</v>
      </c>
      <c r="U20" s="70" t="s">
        <v>161</v>
      </c>
      <c r="V20" s="70">
        <v>3.0</v>
      </c>
      <c r="W20" s="70">
        <v>1.0</v>
      </c>
      <c r="X20" s="70">
        <v>2.0</v>
      </c>
      <c r="Y20" s="72" t="s">
        <v>162</v>
      </c>
      <c r="Z20" s="72" t="s">
        <v>193</v>
      </c>
      <c r="AA20" s="72">
        <v>1.0</v>
      </c>
      <c r="AB20" s="72">
        <v>2.0</v>
      </c>
      <c r="AC20" s="74" t="s">
        <v>170</v>
      </c>
      <c r="AD20" s="75">
        <v>6.0</v>
      </c>
      <c r="AE20" s="75">
        <v>101.0</v>
      </c>
      <c r="AF20" s="75" t="s">
        <v>90</v>
      </c>
      <c r="AG20" s="75" t="s">
        <v>90</v>
      </c>
      <c r="AH20" s="75">
        <v>1.0</v>
      </c>
      <c r="AI20" s="75" t="s">
        <v>90</v>
      </c>
      <c r="AJ20" s="75" t="s">
        <v>90</v>
      </c>
      <c r="AK20" s="75" t="s">
        <v>90</v>
      </c>
      <c r="AL20" s="75" t="s">
        <v>90</v>
      </c>
      <c r="AM20" s="75" t="s">
        <v>90</v>
      </c>
      <c r="AN20" s="75" t="s">
        <v>90</v>
      </c>
      <c r="AO20" s="75" t="s">
        <v>90</v>
      </c>
      <c r="AP20" s="75" t="s">
        <v>90</v>
      </c>
      <c r="AQ20" s="75" t="s">
        <v>90</v>
      </c>
      <c r="AR20" s="75" t="s">
        <v>90</v>
      </c>
      <c r="AS20" s="75" t="s">
        <v>90</v>
      </c>
      <c r="AT20" s="75" t="s">
        <v>90</v>
      </c>
      <c r="AU20" s="77" t="s">
        <v>316</v>
      </c>
      <c r="AV20" s="77" t="s">
        <v>90</v>
      </c>
      <c r="AW20" s="77" t="s">
        <v>90</v>
      </c>
      <c r="AX20" s="77" t="s">
        <v>90</v>
      </c>
      <c r="AY20" s="77">
        <v>83.0</v>
      </c>
      <c r="AZ20" s="78">
        <v>0.32805797101449274</v>
      </c>
      <c r="BA20" s="78">
        <v>0.15165269111967322</v>
      </c>
      <c r="BB20" s="77">
        <v>4.0</v>
      </c>
      <c r="BC20" s="77">
        <v>91.0</v>
      </c>
      <c r="BD20" s="78">
        <v>0.2779130434782609</v>
      </c>
      <c r="BE20" s="78">
        <v>0.1587916302113433</v>
      </c>
      <c r="BF20" s="77">
        <v>26.0</v>
      </c>
      <c r="BG20" s="77">
        <v>81.0</v>
      </c>
      <c r="BH20" s="78">
        <v>0.2898550724637681</v>
      </c>
      <c r="BI20" s="78">
        <v>0.14981481330228386</v>
      </c>
      <c r="BJ20" s="35"/>
      <c r="BK20" s="35"/>
      <c r="BL20" s="35"/>
      <c r="BM20" s="35"/>
      <c r="BN20" s="35"/>
      <c r="BO20" s="35"/>
      <c r="BP20" s="35"/>
      <c r="BQ20" s="35"/>
      <c r="BR20" s="35"/>
    </row>
    <row r="21">
      <c r="A21" s="16" t="s">
        <v>119</v>
      </c>
      <c r="B21" s="68" t="s">
        <v>317</v>
      </c>
      <c r="C21" s="69">
        <v>2015.0</v>
      </c>
      <c r="D21" s="70">
        <v>1.0</v>
      </c>
      <c r="E21" s="70">
        <v>3.0</v>
      </c>
      <c r="F21" s="70">
        <v>1.0</v>
      </c>
      <c r="G21" s="70">
        <v>2.0</v>
      </c>
      <c r="H21" s="70">
        <v>2.0</v>
      </c>
      <c r="I21" s="71">
        <f t="shared" ref="I21:I23" si="18">(12.11*202+12.3*371+12.12*274+12.11*225+12.16*358+12.16*277)/(202+371+274+225+358+277)</f>
        <v>12.17149971</v>
      </c>
      <c r="J21" s="70">
        <v>11.0</v>
      </c>
      <c r="K21" s="70">
        <v>13.0</v>
      </c>
      <c r="L21" s="71">
        <f t="shared" ref="L21:L23" si="19">100*860/(860+847)</f>
        <v>50.380785</v>
      </c>
      <c r="M21" s="71">
        <f t="shared" ref="M21:M23" si="20">100*(149+291+211+173+293+216)/(202+371+274+225+358+277)</f>
        <v>78.09021675</v>
      </c>
      <c r="N21" s="71">
        <f t="shared" ref="N21:N23" si="21">100*(15+14+13+11+13+9)/(202+371+274+225+358+277)</f>
        <v>4.393673111</v>
      </c>
      <c r="O21" s="71" t="s">
        <v>161</v>
      </c>
      <c r="P21" s="71">
        <f t="shared" ref="P21:P23" si="22">100*(5+11+19+10+7+21)/(202+371+274+225+358+277)</f>
        <v>4.276508494</v>
      </c>
      <c r="Q21" s="71" t="s">
        <v>161</v>
      </c>
      <c r="R21" s="71" t="s">
        <v>161</v>
      </c>
      <c r="S21" s="71">
        <f t="shared" ref="S21:S23" si="23">100*(11+27+10+10+16+15)/(202+371+274+225+358+277)</f>
        <v>5.213825425</v>
      </c>
      <c r="T21" s="71">
        <f t="shared" ref="T21:T23" si="24">100-M21-N21-P21-S21</f>
        <v>8.025776216</v>
      </c>
      <c r="U21" s="70" t="s">
        <v>161</v>
      </c>
      <c r="V21" s="70">
        <v>4.0</v>
      </c>
      <c r="W21" s="70">
        <v>1.0</v>
      </c>
      <c r="X21" s="70">
        <v>2.0</v>
      </c>
      <c r="Y21" s="72" t="s">
        <v>198</v>
      </c>
      <c r="Z21" s="72" t="s">
        <v>199</v>
      </c>
      <c r="AA21" s="72">
        <v>1.0</v>
      </c>
      <c r="AB21" s="72">
        <v>2.0</v>
      </c>
      <c r="AC21" s="74" t="s">
        <v>200</v>
      </c>
      <c r="AD21" s="75">
        <v>2.0</v>
      </c>
      <c r="AE21" s="75">
        <v>551.0</v>
      </c>
      <c r="AF21" s="75" t="s">
        <v>161</v>
      </c>
      <c r="AG21" s="75" t="s">
        <v>161</v>
      </c>
      <c r="AH21" s="75" t="s">
        <v>90</v>
      </c>
      <c r="AI21" s="75">
        <v>1.0</v>
      </c>
      <c r="AJ21" s="75">
        <v>2.0</v>
      </c>
      <c r="AK21" s="75">
        <v>1.0</v>
      </c>
      <c r="AL21" s="75">
        <v>2.0</v>
      </c>
      <c r="AM21" s="75">
        <v>1.0</v>
      </c>
      <c r="AN21" s="75">
        <v>1.0</v>
      </c>
      <c r="AO21" s="75">
        <v>1.0</v>
      </c>
      <c r="AP21" s="75">
        <v>1.0</v>
      </c>
      <c r="AQ21" s="75">
        <v>90.0</v>
      </c>
      <c r="AR21" s="75">
        <v>1.0</v>
      </c>
      <c r="AS21" s="75">
        <v>1.0</v>
      </c>
      <c r="AT21" s="79" t="s">
        <v>161</v>
      </c>
      <c r="AU21" s="77" t="s">
        <v>312</v>
      </c>
      <c r="AV21" s="77">
        <v>551.0</v>
      </c>
      <c r="AW21" s="80">
        <v>1.776637375512595</v>
      </c>
      <c r="AX21" s="78">
        <v>0.588104080151843</v>
      </c>
      <c r="AY21" s="77">
        <v>495.0</v>
      </c>
      <c r="AZ21" s="80">
        <v>1.6912185120093732</v>
      </c>
      <c r="BA21" s="80">
        <v>0.8700554806980806</v>
      </c>
      <c r="BB21" s="77">
        <v>7.0</v>
      </c>
      <c r="BC21" s="77">
        <v>496.0</v>
      </c>
      <c r="BD21" s="78">
        <v>1.7115992970123022</v>
      </c>
      <c r="BE21" s="78">
        <v>0.8709338761009662</v>
      </c>
      <c r="BF21" s="77" t="s">
        <v>90</v>
      </c>
      <c r="BG21" s="77" t="s">
        <v>90</v>
      </c>
      <c r="BH21" s="77" t="s">
        <v>90</v>
      </c>
      <c r="BI21" s="77" t="s">
        <v>90</v>
      </c>
      <c r="BJ21" s="35"/>
      <c r="BK21" s="35"/>
      <c r="BL21" s="35"/>
      <c r="BM21" s="35"/>
      <c r="BN21" s="35"/>
      <c r="BO21" s="35"/>
      <c r="BP21" s="35"/>
      <c r="BQ21" s="35"/>
      <c r="BR21" s="35"/>
    </row>
    <row r="22">
      <c r="A22" s="16" t="s">
        <v>119</v>
      </c>
      <c r="C22" s="69">
        <v>2015.0</v>
      </c>
      <c r="D22" s="70">
        <v>1.0</v>
      </c>
      <c r="E22" s="70">
        <v>3.0</v>
      </c>
      <c r="F22" s="70">
        <v>1.0</v>
      </c>
      <c r="G22" s="70">
        <v>2.0</v>
      </c>
      <c r="H22" s="70">
        <v>2.0</v>
      </c>
      <c r="I22" s="71">
        <f t="shared" si="18"/>
        <v>12.17149971</v>
      </c>
      <c r="J22" s="70">
        <v>11.0</v>
      </c>
      <c r="K22" s="70">
        <v>13.0</v>
      </c>
      <c r="L22" s="71">
        <f t="shared" si="19"/>
        <v>50.380785</v>
      </c>
      <c r="M22" s="71">
        <f t="shared" si="20"/>
        <v>78.09021675</v>
      </c>
      <c r="N22" s="71">
        <f t="shared" si="21"/>
        <v>4.393673111</v>
      </c>
      <c r="O22" s="71" t="s">
        <v>161</v>
      </c>
      <c r="P22" s="71">
        <f t="shared" si="22"/>
        <v>4.276508494</v>
      </c>
      <c r="Q22" s="71" t="s">
        <v>161</v>
      </c>
      <c r="R22" s="71" t="s">
        <v>161</v>
      </c>
      <c r="S22" s="71">
        <f t="shared" si="23"/>
        <v>5.213825425</v>
      </c>
      <c r="T22" s="71">
        <f t="shared" si="24"/>
        <v>8.025776216</v>
      </c>
      <c r="U22" s="70" t="s">
        <v>161</v>
      </c>
      <c r="V22" s="70">
        <v>4.0</v>
      </c>
      <c r="W22" s="70">
        <v>1.0</v>
      </c>
      <c r="X22" s="70">
        <v>2.0</v>
      </c>
      <c r="Y22" s="72" t="s">
        <v>198</v>
      </c>
      <c r="Z22" s="72" t="s">
        <v>199</v>
      </c>
      <c r="AA22" s="72">
        <v>1.0</v>
      </c>
      <c r="AB22" s="72">
        <v>2.0</v>
      </c>
      <c r="AC22" s="74" t="s">
        <v>201</v>
      </c>
      <c r="AD22" s="75">
        <v>2.0</v>
      </c>
      <c r="AE22" s="75">
        <v>729.0</v>
      </c>
      <c r="AF22" s="75" t="s">
        <v>161</v>
      </c>
      <c r="AG22" s="75" t="s">
        <v>161</v>
      </c>
      <c r="AH22" s="75" t="s">
        <v>90</v>
      </c>
      <c r="AI22" s="75">
        <v>1.0</v>
      </c>
      <c r="AJ22" s="75">
        <v>2.0</v>
      </c>
      <c r="AK22" s="75">
        <v>1.0</v>
      </c>
      <c r="AL22" s="75">
        <v>3.0</v>
      </c>
      <c r="AM22" s="75">
        <v>1.0</v>
      </c>
      <c r="AN22" s="75">
        <v>1.0</v>
      </c>
      <c r="AO22" s="75">
        <v>1.0</v>
      </c>
      <c r="AP22" s="75">
        <v>1.0</v>
      </c>
      <c r="AQ22" s="75">
        <v>90.0</v>
      </c>
      <c r="AR22" s="75">
        <v>1.0</v>
      </c>
      <c r="AS22" s="75">
        <v>1.0</v>
      </c>
      <c r="AT22" s="79" t="s">
        <v>161</v>
      </c>
      <c r="AU22" s="77" t="s">
        <v>312</v>
      </c>
      <c r="AV22" s="77">
        <v>729.0</v>
      </c>
      <c r="AW22" s="78">
        <v>1.8117516110134742</v>
      </c>
      <c r="AX22" s="80">
        <v>0.6764593979973578</v>
      </c>
      <c r="AY22" s="77">
        <v>683.0</v>
      </c>
      <c r="AZ22" s="80">
        <v>1.6912185120093735</v>
      </c>
      <c r="BA22" s="80">
        <v>0.8381287761202466</v>
      </c>
      <c r="BB22" s="77">
        <v>7.0</v>
      </c>
      <c r="BC22" s="77">
        <v>599.0</v>
      </c>
      <c r="BD22" s="78">
        <v>1.8714469830111307</v>
      </c>
      <c r="BE22" s="78">
        <v>0.9571004926727846</v>
      </c>
      <c r="BF22" s="77" t="s">
        <v>90</v>
      </c>
      <c r="BG22" s="77" t="s">
        <v>90</v>
      </c>
      <c r="BH22" s="77" t="s">
        <v>90</v>
      </c>
      <c r="BI22" s="77" t="s">
        <v>90</v>
      </c>
      <c r="BJ22" s="35"/>
      <c r="BK22" s="35"/>
      <c r="BL22" s="35"/>
      <c r="BM22" s="35"/>
      <c r="BN22" s="35"/>
      <c r="BO22" s="35"/>
      <c r="BP22" s="35"/>
      <c r="BQ22" s="35"/>
      <c r="BR22" s="35"/>
    </row>
    <row r="23">
      <c r="A23" s="16" t="s">
        <v>119</v>
      </c>
      <c r="C23" s="69">
        <v>2015.0</v>
      </c>
      <c r="D23" s="70">
        <v>1.0</v>
      </c>
      <c r="E23" s="70">
        <v>3.0</v>
      </c>
      <c r="F23" s="70">
        <v>1.0</v>
      </c>
      <c r="G23" s="70">
        <v>2.0</v>
      </c>
      <c r="H23" s="70">
        <v>2.0</v>
      </c>
      <c r="I23" s="71">
        <f t="shared" si="18"/>
        <v>12.17149971</v>
      </c>
      <c r="J23" s="70">
        <v>11.0</v>
      </c>
      <c r="K23" s="70">
        <v>13.0</v>
      </c>
      <c r="L23" s="71">
        <f t="shared" si="19"/>
        <v>50.380785</v>
      </c>
      <c r="M23" s="71">
        <f t="shared" si="20"/>
        <v>78.09021675</v>
      </c>
      <c r="N23" s="71">
        <f t="shared" si="21"/>
        <v>4.393673111</v>
      </c>
      <c r="O23" s="71" t="s">
        <v>161</v>
      </c>
      <c r="P23" s="71">
        <f t="shared" si="22"/>
        <v>4.276508494</v>
      </c>
      <c r="Q23" s="71" t="s">
        <v>161</v>
      </c>
      <c r="R23" s="71" t="s">
        <v>161</v>
      </c>
      <c r="S23" s="71">
        <f t="shared" si="23"/>
        <v>5.213825425</v>
      </c>
      <c r="T23" s="71">
        <f t="shared" si="24"/>
        <v>8.025776216</v>
      </c>
      <c r="U23" s="70" t="s">
        <v>161</v>
      </c>
      <c r="V23" s="70">
        <v>4.0</v>
      </c>
      <c r="W23" s="70">
        <v>1.0</v>
      </c>
      <c r="X23" s="70">
        <v>2.0</v>
      </c>
      <c r="Y23" s="72" t="s">
        <v>198</v>
      </c>
      <c r="Z23" s="72" t="s">
        <v>199</v>
      </c>
      <c r="AA23" s="72">
        <v>1.0</v>
      </c>
      <c r="AB23" s="72">
        <v>2.0</v>
      </c>
      <c r="AC23" s="74" t="s">
        <v>170</v>
      </c>
      <c r="AD23" s="75">
        <v>2.0</v>
      </c>
      <c r="AE23" s="75">
        <v>427.0</v>
      </c>
      <c r="AF23" s="75" t="s">
        <v>90</v>
      </c>
      <c r="AG23" s="75" t="s">
        <v>90</v>
      </c>
      <c r="AH23" s="75">
        <v>1.0</v>
      </c>
      <c r="AI23" s="75" t="s">
        <v>90</v>
      </c>
      <c r="AJ23" s="75" t="s">
        <v>90</v>
      </c>
      <c r="AK23" s="75" t="s">
        <v>90</v>
      </c>
      <c r="AL23" s="75" t="s">
        <v>90</v>
      </c>
      <c r="AM23" s="75" t="s">
        <v>90</v>
      </c>
      <c r="AN23" s="75" t="s">
        <v>90</v>
      </c>
      <c r="AO23" s="75" t="s">
        <v>90</v>
      </c>
      <c r="AP23" s="75" t="s">
        <v>90</v>
      </c>
      <c r="AQ23" s="75" t="s">
        <v>90</v>
      </c>
      <c r="AR23" s="75" t="s">
        <v>90</v>
      </c>
      <c r="AS23" s="75" t="s">
        <v>90</v>
      </c>
      <c r="AT23" s="75" t="s">
        <v>90</v>
      </c>
      <c r="AU23" s="77" t="s">
        <v>312</v>
      </c>
      <c r="AV23" s="77">
        <v>427.0</v>
      </c>
      <c r="AW23" s="78">
        <v>1.771370826010545</v>
      </c>
      <c r="AX23" s="80">
        <v>0.7306032456714785</v>
      </c>
      <c r="AY23" s="77">
        <v>345.0</v>
      </c>
      <c r="AZ23" s="80">
        <v>1.8062565905096661</v>
      </c>
      <c r="BA23" s="80">
        <v>0.9862583582916123</v>
      </c>
      <c r="BB23" s="77">
        <v>7.0</v>
      </c>
      <c r="BC23" s="77">
        <v>306.0</v>
      </c>
      <c r="BD23" s="78">
        <v>1.7764089045108378</v>
      </c>
      <c r="BE23" s="78">
        <v>0.9895742347825466</v>
      </c>
      <c r="BF23" s="77" t="s">
        <v>90</v>
      </c>
      <c r="BG23" s="77" t="s">
        <v>90</v>
      </c>
      <c r="BH23" s="77" t="s">
        <v>90</v>
      </c>
      <c r="BI23" s="77" t="s">
        <v>90</v>
      </c>
      <c r="BJ23" s="35"/>
      <c r="BK23" s="35"/>
      <c r="BL23" s="35"/>
      <c r="BM23" s="35"/>
      <c r="BN23" s="35"/>
      <c r="BO23" s="35"/>
      <c r="BP23" s="35"/>
      <c r="BQ23" s="35"/>
      <c r="BR23" s="35"/>
    </row>
    <row r="24">
      <c r="A24" s="21" t="s">
        <v>133</v>
      </c>
      <c r="B24" s="46"/>
      <c r="C24" s="25">
        <v>2015.0</v>
      </c>
      <c r="D24" s="47">
        <v>1.0</v>
      </c>
      <c r="E24" s="47">
        <v>1.0</v>
      </c>
      <c r="F24" s="47">
        <v>4.0</v>
      </c>
      <c r="G24" s="47">
        <v>1.0</v>
      </c>
      <c r="H24" s="47">
        <v>1.0</v>
      </c>
      <c r="I24" s="47">
        <v>14.9</v>
      </c>
      <c r="J24" s="47">
        <v>13.0</v>
      </c>
      <c r="K24" s="47">
        <v>17.0</v>
      </c>
      <c r="L24" s="47">
        <v>100.0</v>
      </c>
      <c r="M24" s="47">
        <v>72.0</v>
      </c>
      <c r="N24" s="47">
        <v>2.0</v>
      </c>
      <c r="O24" s="47">
        <v>15.0</v>
      </c>
      <c r="P24" s="47">
        <v>2.0</v>
      </c>
      <c r="Q24" s="47" t="s">
        <v>161</v>
      </c>
      <c r="R24" s="47">
        <v>9.0</v>
      </c>
      <c r="S24" s="47" t="s">
        <v>161</v>
      </c>
      <c r="T24" s="47">
        <v>0.0</v>
      </c>
      <c r="U24" s="47" t="s">
        <v>161</v>
      </c>
      <c r="V24" s="47">
        <v>2.0</v>
      </c>
      <c r="W24" s="47">
        <v>3.0</v>
      </c>
      <c r="X24" s="47">
        <v>2.0</v>
      </c>
      <c r="Y24" s="26" t="s">
        <v>162</v>
      </c>
      <c r="Z24" s="26" t="s">
        <v>163</v>
      </c>
      <c r="AA24" s="26">
        <v>1.0</v>
      </c>
      <c r="AB24" s="26">
        <v>2.0</v>
      </c>
      <c r="AC24" s="27" t="s">
        <v>169</v>
      </c>
      <c r="AD24" s="48" t="s">
        <v>90</v>
      </c>
      <c r="AE24" s="48">
        <v>43.0</v>
      </c>
      <c r="AF24" s="48" t="s">
        <v>161</v>
      </c>
      <c r="AG24" s="48" t="s">
        <v>161</v>
      </c>
      <c r="AH24" s="48" t="s">
        <v>90</v>
      </c>
      <c r="AI24" s="48">
        <v>1.0</v>
      </c>
      <c r="AJ24" s="48">
        <v>2.0</v>
      </c>
      <c r="AK24" s="65">
        <v>1.0</v>
      </c>
      <c r="AL24" s="48">
        <v>2.0</v>
      </c>
      <c r="AM24" s="48">
        <v>1.0</v>
      </c>
      <c r="AN24" s="48">
        <v>1.0</v>
      </c>
      <c r="AO24" s="48">
        <v>1.0</v>
      </c>
      <c r="AP24" s="48">
        <v>1.0</v>
      </c>
      <c r="AQ24" s="48">
        <v>240.0</v>
      </c>
      <c r="AR24" s="48">
        <v>4.0</v>
      </c>
      <c r="AS24" s="48">
        <v>28.0</v>
      </c>
      <c r="AT24" s="56" t="s">
        <v>161</v>
      </c>
      <c r="AU24" s="50" t="s">
        <v>312</v>
      </c>
      <c r="AV24" s="50">
        <v>43.0</v>
      </c>
      <c r="AW24" s="50">
        <v>2.22</v>
      </c>
      <c r="AX24" s="50">
        <v>1.02</v>
      </c>
      <c r="AY24" s="50">
        <v>36.0</v>
      </c>
      <c r="AZ24" s="50">
        <v>1.85</v>
      </c>
      <c r="BA24" s="50">
        <v>0.78</v>
      </c>
      <c r="BB24" s="50">
        <v>12.0</v>
      </c>
      <c r="BC24" s="50">
        <v>30.0</v>
      </c>
      <c r="BD24" s="50">
        <v>1.83</v>
      </c>
      <c r="BE24" s="50">
        <v>0.64</v>
      </c>
      <c r="BF24" s="50" t="s">
        <v>90</v>
      </c>
      <c r="BG24" s="50" t="s">
        <v>90</v>
      </c>
      <c r="BH24" s="50" t="s">
        <v>90</v>
      </c>
      <c r="BI24" s="50" t="s">
        <v>90</v>
      </c>
    </row>
    <row r="25">
      <c r="A25" s="21" t="s">
        <v>133</v>
      </c>
      <c r="C25" s="25">
        <v>2015.0</v>
      </c>
      <c r="D25" s="47">
        <v>1.0</v>
      </c>
      <c r="E25" s="47">
        <v>1.0</v>
      </c>
      <c r="F25" s="47">
        <v>4.0</v>
      </c>
      <c r="G25" s="47">
        <v>1.0</v>
      </c>
      <c r="H25" s="47">
        <v>1.0</v>
      </c>
      <c r="I25" s="47">
        <v>14.9</v>
      </c>
      <c r="J25" s="47">
        <v>13.0</v>
      </c>
      <c r="K25" s="47">
        <v>17.0</v>
      </c>
      <c r="L25" s="47">
        <v>100.0</v>
      </c>
      <c r="M25" s="47">
        <v>72.0</v>
      </c>
      <c r="N25" s="47">
        <v>2.0</v>
      </c>
      <c r="O25" s="47">
        <v>15.0</v>
      </c>
      <c r="P25" s="47">
        <v>2.0</v>
      </c>
      <c r="Q25" s="47" t="s">
        <v>161</v>
      </c>
      <c r="R25" s="47">
        <v>9.0</v>
      </c>
      <c r="S25" s="47" t="s">
        <v>161</v>
      </c>
      <c r="T25" s="47">
        <v>0.0</v>
      </c>
      <c r="U25" s="47" t="s">
        <v>161</v>
      </c>
      <c r="V25" s="47">
        <v>2.0</v>
      </c>
      <c r="W25" s="47">
        <v>3.0</v>
      </c>
      <c r="X25" s="47">
        <v>2.0</v>
      </c>
      <c r="Y25" s="26" t="s">
        <v>162</v>
      </c>
      <c r="Z25" s="26" t="s">
        <v>163</v>
      </c>
      <c r="AA25" s="26">
        <v>1.0</v>
      </c>
      <c r="AB25" s="26">
        <v>2.0</v>
      </c>
      <c r="AC25" s="27" t="s">
        <v>170</v>
      </c>
      <c r="AD25" s="48" t="s">
        <v>90</v>
      </c>
      <c r="AE25" s="48">
        <v>23.0</v>
      </c>
      <c r="AF25" s="48" t="s">
        <v>90</v>
      </c>
      <c r="AG25" s="48" t="s">
        <v>90</v>
      </c>
      <c r="AH25" s="48">
        <v>2.0</v>
      </c>
      <c r="AI25" s="48" t="s">
        <v>90</v>
      </c>
      <c r="AJ25" s="48" t="s">
        <v>90</v>
      </c>
      <c r="AK25" s="48" t="s">
        <v>90</v>
      </c>
      <c r="AL25" s="48" t="s">
        <v>90</v>
      </c>
      <c r="AM25" s="48" t="s">
        <v>90</v>
      </c>
      <c r="AN25" s="48" t="s">
        <v>90</v>
      </c>
      <c r="AO25" s="48" t="s">
        <v>90</v>
      </c>
      <c r="AP25" s="48" t="s">
        <v>90</v>
      </c>
      <c r="AQ25" s="48" t="s">
        <v>90</v>
      </c>
      <c r="AR25" s="48" t="s">
        <v>90</v>
      </c>
      <c r="AS25" s="48" t="s">
        <v>90</v>
      </c>
      <c r="AT25" s="81" t="s">
        <v>90</v>
      </c>
      <c r="AU25" s="50" t="s">
        <v>312</v>
      </c>
      <c r="AV25" s="50">
        <v>23.0</v>
      </c>
      <c r="AW25" s="50">
        <v>2.16</v>
      </c>
      <c r="AX25" s="50">
        <v>0.96</v>
      </c>
      <c r="AY25" s="50">
        <v>15.0</v>
      </c>
      <c r="AZ25" s="50">
        <v>2.25</v>
      </c>
      <c r="BA25" s="50">
        <v>1.05</v>
      </c>
      <c r="BB25" s="50">
        <v>12.0</v>
      </c>
      <c r="BC25" s="50">
        <v>17.0</v>
      </c>
      <c r="BD25" s="50">
        <v>2.13</v>
      </c>
      <c r="BE25" s="50">
        <v>0.98</v>
      </c>
      <c r="BF25" s="50" t="s">
        <v>90</v>
      </c>
      <c r="BG25" s="50" t="s">
        <v>90</v>
      </c>
      <c r="BH25" s="50" t="s">
        <v>90</v>
      </c>
      <c r="BI25" s="50" t="s">
        <v>90</v>
      </c>
    </row>
    <row r="26">
      <c r="A26" s="82" t="s">
        <v>318</v>
      </c>
      <c r="B26" s="57" t="s">
        <v>319</v>
      </c>
      <c r="C26" s="83">
        <v>2015.0</v>
      </c>
      <c r="D26" s="84">
        <v>1.0</v>
      </c>
      <c r="E26" s="84">
        <v>3.0</v>
      </c>
      <c r="F26" s="84">
        <v>1.0</v>
      </c>
      <c r="G26" s="84">
        <v>2.0</v>
      </c>
      <c r="H26" s="84">
        <v>2.0</v>
      </c>
      <c r="I26" s="84">
        <v>13.21</v>
      </c>
      <c r="J26" s="84">
        <v>13.0</v>
      </c>
      <c r="K26" s="84">
        <v>14.0</v>
      </c>
      <c r="L26" s="85">
        <f t="shared" ref="L26:L28" si="25">100*840/(840+476)</f>
        <v>63.82978723</v>
      </c>
      <c r="M26" s="84">
        <v>90.0</v>
      </c>
      <c r="N26" s="84" t="s">
        <v>161</v>
      </c>
      <c r="O26" s="84" t="s">
        <v>161</v>
      </c>
      <c r="P26" s="84" t="s">
        <v>161</v>
      </c>
      <c r="Q26" s="84" t="s">
        <v>161</v>
      </c>
      <c r="R26" s="84">
        <v>10.0</v>
      </c>
      <c r="S26" s="84" t="s">
        <v>161</v>
      </c>
      <c r="T26" s="84">
        <v>0.0</v>
      </c>
      <c r="U26" s="84" t="s">
        <v>161</v>
      </c>
      <c r="V26" s="84">
        <v>4.0</v>
      </c>
      <c r="W26" s="84">
        <v>1.0</v>
      </c>
      <c r="X26" s="84">
        <v>2.0</v>
      </c>
      <c r="Y26" s="86" t="s">
        <v>178</v>
      </c>
      <c r="Z26" s="86" t="s">
        <v>179</v>
      </c>
      <c r="AA26" s="86">
        <v>1.0</v>
      </c>
      <c r="AB26" s="86">
        <v>1.0</v>
      </c>
      <c r="AC26" s="87" t="s">
        <v>320</v>
      </c>
      <c r="AD26" s="88">
        <v>17.0</v>
      </c>
      <c r="AE26" s="88">
        <v>269.0</v>
      </c>
      <c r="AF26" s="88">
        <v>269.0</v>
      </c>
      <c r="AG26" s="88">
        <v>219.0</v>
      </c>
      <c r="AH26" s="88" t="s">
        <v>90</v>
      </c>
      <c r="AI26" s="88">
        <v>1.0</v>
      </c>
      <c r="AJ26" s="88">
        <v>2.0</v>
      </c>
      <c r="AK26" s="89">
        <v>1.0</v>
      </c>
      <c r="AL26" s="88">
        <v>2.0</v>
      </c>
      <c r="AM26" s="88">
        <v>1.0</v>
      </c>
      <c r="AN26" s="88">
        <v>2.0</v>
      </c>
      <c r="AO26" s="88">
        <v>1.0</v>
      </c>
      <c r="AP26" s="88">
        <v>2.0</v>
      </c>
      <c r="AQ26" s="88">
        <v>400.0</v>
      </c>
      <c r="AR26" s="88">
        <v>8.0</v>
      </c>
      <c r="AS26" s="88">
        <v>28.0</v>
      </c>
      <c r="AT26" s="56">
        <f t="shared" ref="AT26:AT27" si="26">(AG26/AF26)*100</f>
        <v>81.41263941</v>
      </c>
      <c r="AU26" s="90" t="s">
        <v>312</v>
      </c>
      <c r="AV26" s="90">
        <v>247.0</v>
      </c>
      <c r="AW26" s="91">
        <v>0.2846</v>
      </c>
      <c r="AX26" s="91">
        <v>0.32988</v>
      </c>
      <c r="AY26" s="90">
        <v>229.0</v>
      </c>
      <c r="AZ26" s="91">
        <v>0.273</v>
      </c>
      <c r="BA26" s="91">
        <v>0.40319</v>
      </c>
      <c r="BB26" s="90">
        <v>26.0</v>
      </c>
      <c r="BC26" s="90">
        <v>232.0</v>
      </c>
      <c r="BD26" s="91">
        <v>0.3066</v>
      </c>
      <c r="BE26" s="91">
        <v>0.39964</v>
      </c>
      <c r="BF26" s="90">
        <v>52.0</v>
      </c>
      <c r="BG26" s="90">
        <v>223.0</v>
      </c>
      <c r="BH26" s="91">
        <v>0.3574</v>
      </c>
      <c r="BI26" s="91">
        <v>0.42058</v>
      </c>
    </row>
    <row r="27">
      <c r="A27" s="82" t="s">
        <v>318</v>
      </c>
      <c r="C27" s="83">
        <v>2015.0</v>
      </c>
      <c r="D27" s="84">
        <v>1.0</v>
      </c>
      <c r="E27" s="84">
        <v>3.0</v>
      </c>
      <c r="F27" s="84">
        <v>1.0</v>
      </c>
      <c r="G27" s="84">
        <v>2.0</v>
      </c>
      <c r="H27" s="84">
        <v>2.0</v>
      </c>
      <c r="I27" s="84">
        <v>13.21</v>
      </c>
      <c r="J27" s="84">
        <v>13.0</v>
      </c>
      <c r="K27" s="84">
        <v>14.0</v>
      </c>
      <c r="L27" s="85">
        <f t="shared" si="25"/>
        <v>63.82978723</v>
      </c>
      <c r="M27" s="84">
        <v>90.0</v>
      </c>
      <c r="N27" s="84" t="s">
        <v>161</v>
      </c>
      <c r="O27" s="84" t="s">
        <v>161</v>
      </c>
      <c r="P27" s="84" t="s">
        <v>161</v>
      </c>
      <c r="Q27" s="84" t="s">
        <v>161</v>
      </c>
      <c r="R27" s="84">
        <v>10.0</v>
      </c>
      <c r="S27" s="84" t="s">
        <v>161</v>
      </c>
      <c r="T27" s="84">
        <v>0.0</v>
      </c>
      <c r="U27" s="84" t="s">
        <v>161</v>
      </c>
      <c r="V27" s="84">
        <v>4.0</v>
      </c>
      <c r="W27" s="84">
        <v>1.0</v>
      </c>
      <c r="X27" s="84">
        <v>2.0</v>
      </c>
      <c r="Y27" s="86" t="s">
        <v>178</v>
      </c>
      <c r="Z27" s="86" t="s">
        <v>179</v>
      </c>
      <c r="AA27" s="86">
        <v>1.0</v>
      </c>
      <c r="AB27" s="86">
        <v>1.0</v>
      </c>
      <c r="AC27" s="87" t="s">
        <v>321</v>
      </c>
      <c r="AD27" s="88">
        <v>15.0</v>
      </c>
      <c r="AE27" s="88">
        <v>225.0</v>
      </c>
      <c r="AF27" s="88">
        <v>225.0</v>
      </c>
      <c r="AG27" s="88">
        <v>170.0</v>
      </c>
      <c r="AH27" s="88" t="s">
        <v>90</v>
      </c>
      <c r="AI27" s="88">
        <v>1.0</v>
      </c>
      <c r="AJ27" s="88">
        <v>2.0</v>
      </c>
      <c r="AK27" s="89">
        <v>1.0</v>
      </c>
      <c r="AL27" s="88">
        <v>2.0</v>
      </c>
      <c r="AM27" s="88">
        <v>1.0</v>
      </c>
      <c r="AN27" s="88">
        <v>2.0</v>
      </c>
      <c r="AO27" s="88">
        <v>1.0</v>
      </c>
      <c r="AP27" s="88">
        <v>2.0</v>
      </c>
      <c r="AQ27" s="88">
        <v>400.0</v>
      </c>
      <c r="AR27" s="88">
        <v>8.0</v>
      </c>
      <c r="AS27" s="88">
        <v>28.0</v>
      </c>
      <c r="AT27" s="56">
        <f t="shared" si="26"/>
        <v>75.55555556</v>
      </c>
      <c r="AU27" s="90" t="s">
        <v>312</v>
      </c>
      <c r="AV27" s="90">
        <v>199.0</v>
      </c>
      <c r="AW27" s="91">
        <v>0.2914</v>
      </c>
      <c r="AX27" s="91">
        <v>0.35054</v>
      </c>
      <c r="AY27" s="90">
        <v>171.0</v>
      </c>
      <c r="AZ27" s="91">
        <v>0.2553</v>
      </c>
      <c r="BA27" s="91">
        <v>0.38735</v>
      </c>
      <c r="BB27" s="90">
        <v>26.0</v>
      </c>
      <c r="BC27" s="90">
        <v>196.0</v>
      </c>
      <c r="BD27" s="91">
        <v>0.2975</v>
      </c>
      <c r="BE27" s="91">
        <v>0.41253</v>
      </c>
      <c r="BF27" s="90">
        <v>52.0</v>
      </c>
      <c r="BG27" s="90">
        <v>184.0</v>
      </c>
      <c r="BH27" s="91">
        <v>0.3197</v>
      </c>
      <c r="BI27" s="91">
        <v>0.43259</v>
      </c>
    </row>
    <row r="28">
      <c r="A28" s="82" t="s">
        <v>318</v>
      </c>
      <c r="C28" s="83">
        <v>2015.0</v>
      </c>
      <c r="D28" s="84">
        <v>1.0</v>
      </c>
      <c r="E28" s="84">
        <v>3.0</v>
      </c>
      <c r="F28" s="84">
        <v>1.0</v>
      </c>
      <c r="G28" s="84">
        <v>2.0</v>
      </c>
      <c r="H28" s="84">
        <v>2.0</v>
      </c>
      <c r="I28" s="84">
        <v>13.21</v>
      </c>
      <c r="J28" s="84">
        <v>13.0</v>
      </c>
      <c r="K28" s="84">
        <v>14.0</v>
      </c>
      <c r="L28" s="85">
        <f t="shared" si="25"/>
        <v>63.82978723</v>
      </c>
      <c r="M28" s="84">
        <v>90.0</v>
      </c>
      <c r="N28" s="84" t="s">
        <v>161</v>
      </c>
      <c r="O28" s="84" t="s">
        <v>161</v>
      </c>
      <c r="P28" s="84" t="s">
        <v>161</v>
      </c>
      <c r="Q28" s="84" t="s">
        <v>161</v>
      </c>
      <c r="R28" s="84">
        <v>10.0</v>
      </c>
      <c r="S28" s="84" t="s">
        <v>161</v>
      </c>
      <c r="T28" s="84">
        <v>0.0</v>
      </c>
      <c r="U28" s="84" t="s">
        <v>161</v>
      </c>
      <c r="V28" s="84">
        <v>4.0</v>
      </c>
      <c r="W28" s="84">
        <v>1.0</v>
      </c>
      <c r="X28" s="84">
        <v>2.0</v>
      </c>
      <c r="Y28" s="86" t="s">
        <v>178</v>
      </c>
      <c r="Z28" s="86" t="s">
        <v>179</v>
      </c>
      <c r="AA28" s="86">
        <v>1.0</v>
      </c>
      <c r="AB28" s="86">
        <v>1.0</v>
      </c>
      <c r="AC28" s="87" t="s">
        <v>170</v>
      </c>
      <c r="AD28" s="88">
        <v>34.0</v>
      </c>
      <c r="AE28" s="88">
        <v>473.0</v>
      </c>
      <c r="AF28" s="88" t="s">
        <v>90</v>
      </c>
      <c r="AG28" s="88" t="s">
        <v>90</v>
      </c>
      <c r="AH28" s="88">
        <v>1.0</v>
      </c>
      <c r="AI28" s="88" t="s">
        <v>90</v>
      </c>
      <c r="AJ28" s="88" t="s">
        <v>90</v>
      </c>
      <c r="AK28" s="88" t="s">
        <v>90</v>
      </c>
      <c r="AL28" s="88" t="s">
        <v>90</v>
      </c>
      <c r="AM28" s="88" t="s">
        <v>90</v>
      </c>
      <c r="AN28" s="88" t="s">
        <v>90</v>
      </c>
      <c r="AO28" s="88" t="s">
        <v>90</v>
      </c>
      <c r="AP28" s="88" t="s">
        <v>90</v>
      </c>
      <c r="AQ28" s="88" t="s">
        <v>90</v>
      </c>
      <c r="AR28" s="88" t="s">
        <v>90</v>
      </c>
      <c r="AS28" s="88" t="s">
        <v>90</v>
      </c>
      <c r="AT28" s="88" t="s">
        <v>90</v>
      </c>
      <c r="AU28" s="90" t="s">
        <v>312</v>
      </c>
      <c r="AV28" s="90">
        <v>410.0</v>
      </c>
      <c r="AW28" s="91">
        <v>0.2892</v>
      </c>
      <c r="AX28" s="91">
        <v>0.33161</v>
      </c>
      <c r="AY28" s="90">
        <v>368.0</v>
      </c>
      <c r="AZ28" s="91">
        <v>0.3008</v>
      </c>
      <c r="BA28" s="91">
        <v>0.3813</v>
      </c>
      <c r="BB28" s="90">
        <v>26.0</v>
      </c>
      <c r="BC28" s="90">
        <v>431.0</v>
      </c>
      <c r="BD28" s="91">
        <v>0.3188</v>
      </c>
      <c r="BE28" s="91">
        <v>0.39721</v>
      </c>
      <c r="BF28" s="90">
        <v>52.0</v>
      </c>
      <c r="BG28" s="90">
        <v>420.0</v>
      </c>
      <c r="BH28" s="91">
        <v>0.3892</v>
      </c>
      <c r="BI28" s="91">
        <v>0.45781</v>
      </c>
    </row>
    <row r="29">
      <c r="A29" s="21" t="s">
        <v>136</v>
      </c>
      <c r="B29" s="51"/>
      <c r="C29" s="25">
        <v>2016.0</v>
      </c>
      <c r="D29" s="47">
        <v>1.0</v>
      </c>
      <c r="E29" s="47">
        <v>3.0</v>
      </c>
      <c r="F29" s="47">
        <v>1.0</v>
      </c>
      <c r="G29" s="47">
        <v>1.0</v>
      </c>
      <c r="H29" s="47">
        <v>1.0</v>
      </c>
      <c r="I29" s="52">
        <f t="shared" ref="I29:I31" si="27">(12.99*80+12.98*81+13.03*74)/(80+81+74)</f>
        <v>12.99914894</v>
      </c>
      <c r="J29" s="47">
        <v>11.0</v>
      </c>
      <c r="K29" s="47">
        <v>14.0</v>
      </c>
      <c r="L29" s="47">
        <v>100.0</v>
      </c>
      <c r="M29" s="52">
        <f t="shared" ref="M29:M31" si="28">100*(73+72+66)/(80+81+74)</f>
        <v>89.78723404</v>
      </c>
      <c r="N29" s="47" t="s">
        <v>161</v>
      </c>
      <c r="O29" s="47" t="s">
        <v>161</v>
      </c>
      <c r="P29" s="47" t="s">
        <v>161</v>
      </c>
      <c r="Q29" s="47" t="s">
        <v>161</v>
      </c>
      <c r="R29" s="52">
        <f t="shared" ref="R29:R31" si="29">100-M29</f>
        <v>10.21276596</v>
      </c>
      <c r="S29" s="47" t="s">
        <v>161</v>
      </c>
      <c r="T29" s="47">
        <v>0.0</v>
      </c>
      <c r="U29" s="47" t="s">
        <v>161</v>
      </c>
      <c r="V29" s="47">
        <v>2.0</v>
      </c>
      <c r="W29" s="47">
        <v>3.0</v>
      </c>
      <c r="X29" s="47">
        <v>2.0</v>
      </c>
      <c r="Y29" s="26" t="s">
        <v>204</v>
      </c>
      <c r="Z29" s="26" t="s">
        <v>199</v>
      </c>
      <c r="AA29" s="26">
        <v>1.0</v>
      </c>
      <c r="AB29" s="26">
        <v>2.0</v>
      </c>
      <c r="AC29" s="27" t="s">
        <v>205</v>
      </c>
      <c r="AD29" s="48">
        <v>3.0</v>
      </c>
      <c r="AE29" s="48">
        <v>84.0</v>
      </c>
      <c r="AF29" s="48">
        <v>81.0</v>
      </c>
      <c r="AG29" s="48">
        <v>81.0</v>
      </c>
      <c r="AH29" s="48" t="s">
        <v>90</v>
      </c>
      <c r="AI29" s="48">
        <v>2.0</v>
      </c>
      <c r="AJ29" s="48">
        <v>1.0</v>
      </c>
      <c r="AK29" s="65">
        <v>1.0</v>
      </c>
      <c r="AL29" s="48">
        <v>1.0</v>
      </c>
      <c r="AM29" s="48" t="s">
        <v>90</v>
      </c>
      <c r="AN29" s="48" t="s">
        <v>90</v>
      </c>
      <c r="AO29" s="48" t="s">
        <v>90</v>
      </c>
      <c r="AP29" s="48" t="s">
        <v>90</v>
      </c>
      <c r="AQ29" s="48">
        <v>30.0</v>
      </c>
      <c r="AR29" s="48">
        <v>1.0</v>
      </c>
      <c r="AS29" s="48">
        <v>1.0</v>
      </c>
      <c r="AT29" s="48">
        <v>100.0</v>
      </c>
      <c r="AU29" s="50" t="s">
        <v>312</v>
      </c>
      <c r="AV29" s="50">
        <v>81.0</v>
      </c>
      <c r="AW29" s="50">
        <v>1.86</v>
      </c>
      <c r="AX29" s="50">
        <v>0.75</v>
      </c>
      <c r="AY29" s="50">
        <v>80.0</v>
      </c>
      <c r="AZ29" s="50">
        <v>1.84</v>
      </c>
      <c r="BA29" s="67">
        <f>0.09*SQRT(AY29)</f>
        <v>0.8049844719</v>
      </c>
      <c r="BB29" s="50">
        <v>6.0</v>
      </c>
      <c r="BC29" s="50">
        <v>80.0</v>
      </c>
      <c r="BD29" s="50">
        <v>1.71</v>
      </c>
      <c r="BE29" s="67">
        <f>0.08*SQRT(BC29)</f>
        <v>0.7155417528</v>
      </c>
      <c r="BF29" s="50">
        <v>52.0</v>
      </c>
      <c r="BG29" s="50">
        <v>53.0</v>
      </c>
      <c r="BH29" s="50">
        <v>2.13</v>
      </c>
      <c r="BI29" s="67">
        <f>0.1*SQRT(BG29)</f>
        <v>0.7280109889</v>
      </c>
    </row>
    <row r="30">
      <c r="A30" s="21" t="s">
        <v>136</v>
      </c>
      <c r="C30" s="25">
        <v>2016.0</v>
      </c>
      <c r="D30" s="47">
        <v>1.0</v>
      </c>
      <c r="E30" s="47">
        <v>3.0</v>
      </c>
      <c r="F30" s="47">
        <v>1.0</v>
      </c>
      <c r="G30" s="47">
        <v>1.0</v>
      </c>
      <c r="H30" s="47">
        <v>1.0</v>
      </c>
      <c r="I30" s="52">
        <f t="shared" si="27"/>
        <v>12.99914894</v>
      </c>
      <c r="J30" s="47">
        <v>11.0</v>
      </c>
      <c r="K30" s="47">
        <v>14.0</v>
      </c>
      <c r="L30" s="47">
        <v>100.0</v>
      </c>
      <c r="M30" s="52">
        <f t="shared" si="28"/>
        <v>89.78723404</v>
      </c>
      <c r="N30" s="47" t="s">
        <v>161</v>
      </c>
      <c r="O30" s="47" t="s">
        <v>161</v>
      </c>
      <c r="P30" s="47" t="s">
        <v>161</v>
      </c>
      <c r="Q30" s="47" t="s">
        <v>161</v>
      </c>
      <c r="R30" s="52">
        <f t="shared" si="29"/>
        <v>10.21276596</v>
      </c>
      <c r="S30" s="47" t="s">
        <v>161</v>
      </c>
      <c r="T30" s="47">
        <v>0.0</v>
      </c>
      <c r="U30" s="47" t="s">
        <v>161</v>
      </c>
      <c r="V30" s="47">
        <v>2.0</v>
      </c>
      <c r="W30" s="47">
        <v>3.0</v>
      </c>
      <c r="X30" s="47">
        <v>2.0</v>
      </c>
      <c r="Y30" s="26" t="s">
        <v>204</v>
      </c>
      <c r="Z30" s="26" t="s">
        <v>199</v>
      </c>
      <c r="AA30" s="26">
        <v>1.0</v>
      </c>
      <c r="AB30" s="26">
        <v>2.0</v>
      </c>
      <c r="AC30" s="27" t="s">
        <v>206</v>
      </c>
      <c r="AD30" s="48">
        <v>3.0</v>
      </c>
      <c r="AE30" s="48">
        <v>84.0</v>
      </c>
      <c r="AF30" s="48">
        <v>74.0</v>
      </c>
      <c r="AG30" s="48">
        <v>74.0</v>
      </c>
      <c r="AH30" s="48" t="s">
        <v>90</v>
      </c>
      <c r="AI30" s="48">
        <v>2.0</v>
      </c>
      <c r="AJ30" s="48">
        <v>1.0</v>
      </c>
      <c r="AK30" s="65">
        <v>1.0</v>
      </c>
      <c r="AL30" s="48">
        <v>1.0</v>
      </c>
      <c r="AM30" s="48" t="s">
        <v>90</v>
      </c>
      <c r="AN30" s="48" t="s">
        <v>90</v>
      </c>
      <c r="AO30" s="48" t="s">
        <v>90</v>
      </c>
      <c r="AP30" s="48" t="s">
        <v>90</v>
      </c>
      <c r="AQ30" s="48">
        <v>30.0</v>
      </c>
      <c r="AR30" s="48">
        <v>1.0</v>
      </c>
      <c r="AS30" s="48">
        <v>1.0</v>
      </c>
      <c r="AT30" s="48">
        <v>100.0</v>
      </c>
      <c r="AU30" s="50" t="s">
        <v>312</v>
      </c>
      <c r="AV30" s="50">
        <v>74.0</v>
      </c>
      <c r="AW30" s="50">
        <v>1.98</v>
      </c>
      <c r="AX30" s="50">
        <v>0.94</v>
      </c>
      <c r="AY30" s="50">
        <v>73.0</v>
      </c>
      <c r="AZ30" s="50">
        <v>1.82</v>
      </c>
      <c r="BA30" s="67">
        <f t="shared" ref="BA30:BA31" si="30">0.08*SQRT(AY30)</f>
        <v>0.6835202996</v>
      </c>
      <c r="BB30" s="50">
        <v>6.0</v>
      </c>
      <c r="BC30" s="50">
        <v>73.0</v>
      </c>
      <c r="BD30" s="50">
        <v>1.73</v>
      </c>
      <c r="BE30" s="67">
        <f>0.07*SQRT(BC30)</f>
        <v>0.5980802622</v>
      </c>
      <c r="BF30" s="50">
        <v>52.0</v>
      </c>
      <c r="BG30" s="50">
        <v>57.0</v>
      </c>
      <c r="BH30" s="50">
        <v>1.88</v>
      </c>
      <c r="BI30" s="67">
        <f>0.11*SQRT(BG30)</f>
        <v>0.8304817879</v>
      </c>
    </row>
    <row r="31">
      <c r="A31" s="21" t="s">
        <v>136</v>
      </c>
      <c r="C31" s="25">
        <v>2016.0</v>
      </c>
      <c r="D31" s="47">
        <v>1.0</v>
      </c>
      <c r="E31" s="47">
        <v>3.0</v>
      </c>
      <c r="F31" s="47">
        <v>1.0</v>
      </c>
      <c r="G31" s="47">
        <v>1.0</v>
      </c>
      <c r="H31" s="47">
        <v>1.0</v>
      </c>
      <c r="I31" s="52">
        <f t="shared" si="27"/>
        <v>12.99914894</v>
      </c>
      <c r="J31" s="47">
        <v>11.0</v>
      </c>
      <c r="K31" s="47">
        <v>14.0</v>
      </c>
      <c r="L31" s="47">
        <v>100.0</v>
      </c>
      <c r="M31" s="52">
        <f t="shared" si="28"/>
        <v>89.78723404</v>
      </c>
      <c r="N31" s="47" t="s">
        <v>161</v>
      </c>
      <c r="O31" s="47" t="s">
        <v>161</v>
      </c>
      <c r="P31" s="47" t="s">
        <v>161</v>
      </c>
      <c r="Q31" s="47" t="s">
        <v>161</v>
      </c>
      <c r="R31" s="52">
        <f t="shared" si="29"/>
        <v>10.21276596</v>
      </c>
      <c r="S31" s="47" t="s">
        <v>161</v>
      </c>
      <c r="T31" s="47">
        <v>0.0</v>
      </c>
      <c r="U31" s="47" t="s">
        <v>161</v>
      </c>
      <c r="V31" s="47">
        <v>2.0</v>
      </c>
      <c r="W31" s="47">
        <v>3.0</v>
      </c>
      <c r="X31" s="47">
        <v>2.0</v>
      </c>
      <c r="Y31" s="26" t="s">
        <v>204</v>
      </c>
      <c r="Z31" s="26" t="s">
        <v>199</v>
      </c>
      <c r="AA31" s="26">
        <v>1.0</v>
      </c>
      <c r="AB31" s="26">
        <v>2.0</v>
      </c>
      <c r="AC31" s="27" t="s">
        <v>170</v>
      </c>
      <c r="AD31" s="48">
        <v>3.0</v>
      </c>
      <c r="AE31" s="48">
        <v>84.0</v>
      </c>
      <c r="AF31" s="48" t="s">
        <v>90</v>
      </c>
      <c r="AG31" s="48" t="s">
        <v>90</v>
      </c>
      <c r="AH31" s="48">
        <v>1.0</v>
      </c>
      <c r="AI31" s="48" t="s">
        <v>90</v>
      </c>
      <c r="AJ31" s="48" t="s">
        <v>90</v>
      </c>
      <c r="AK31" s="48" t="s">
        <v>90</v>
      </c>
      <c r="AL31" s="48" t="s">
        <v>90</v>
      </c>
      <c r="AM31" s="48" t="s">
        <v>90</v>
      </c>
      <c r="AN31" s="48" t="s">
        <v>90</v>
      </c>
      <c r="AO31" s="48" t="s">
        <v>90</v>
      </c>
      <c r="AP31" s="48" t="s">
        <v>90</v>
      </c>
      <c r="AQ31" s="48" t="s">
        <v>90</v>
      </c>
      <c r="AR31" s="48" t="s">
        <v>90</v>
      </c>
      <c r="AS31" s="48" t="s">
        <v>90</v>
      </c>
      <c r="AT31" s="48" t="s">
        <v>90</v>
      </c>
      <c r="AU31" s="50" t="s">
        <v>312</v>
      </c>
      <c r="AV31" s="50">
        <v>80.0</v>
      </c>
      <c r="AW31" s="50">
        <v>1.84</v>
      </c>
      <c r="AX31" s="50">
        <v>0.86</v>
      </c>
      <c r="AY31" s="50">
        <v>79.0</v>
      </c>
      <c r="AZ31" s="50">
        <v>1.86</v>
      </c>
      <c r="BA31" s="67">
        <f t="shared" si="30"/>
        <v>0.7110555534</v>
      </c>
      <c r="BB31" s="50">
        <v>6.0</v>
      </c>
      <c r="BC31" s="50">
        <v>80.0</v>
      </c>
      <c r="BD31" s="50">
        <v>1.97</v>
      </c>
      <c r="BE31" s="67">
        <f>0.1*SQRT(BC31)</f>
        <v>0.894427191</v>
      </c>
      <c r="BF31" s="50">
        <v>52.0</v>
      </c>
      <c r="BG31" s="50">
        <v>48.0</v>
      </c>
      <c r="BH31" s="50">
        <v>2.13</v>
      </c>
      <c r="BI31" s="67">
        <f>0.13*SQRT(BG31)</f>
        <v>0.9006664199</v>
      </c>
    </row>
    <row r="32">
      <c r="A32" s="21" t="s">
        <v>140</v>
      </c>
      <c r="B32" s="46"/>
      <c r="C32" s="25">
        <v>2017.0</v>
      </c>
      <c r="D32" s="47">
        <v>1.0</v>
      </c>
      <c r="E32" s="47">
        <v>3.0</v>
      </c>
      <c r="F32" s="47">
        <v>1.0</v>
      </c>
      <c r="G32" s="47">
        <v>2.0</v>
      </c>
      <c r="H32" s="47">
        <v>2.0</v>
      </c>
      <c r="I32" s="52">
        <f t="shared" ref="I32:I33" si="31">(14.4*724+14.8*728)/(724+728)</f>
        <v>14.60055096</v>
      </c>
      <c r="J32" s="47">
        <v>14.0</v>
      </c>
      <c r="K32" s="47">
        <v>17.0</v>
      </c>
      <c r="L32" s="52">
        <f t="shared" ref="L32:L33" si="32">100*(393+415)/(724+728)</f>
        <v>55.64738292</v>
      </c>
      <c r="M32" s="47" t="s">
        <v>161</v>
      </c>
      <c r="N32" s="47" t="s">
        <v>161</v>
      </c>
      <c r="O32" s="47" t="s">
        <v>161</v>
      </c>
      <c r="P32" s="47" t="s">
        <v>161</v>
      </c>
      <c r="Q32" s="47" t="s">
        <v>161</v>
      </c>
      <c r="R32" s="47" t="s">
        <v>161</v>
      </c>
      <c r="S32" s="47" t="s">
        <v>161</v>
      </c>
      <c r="T32" s="47" t="s">
        <v>161</v>
      </c>
      <c r="U32" s="47" t="s">
        <v>161</v>
      </c>
      <c r="V32" s="47">
        <v>4.0</v>
      </c>
      <c r="W32" s="47">
        <v>1.0</v>
      </c>
      <c r="X32" s="47">
        <v>2.0</v>
      </c>
      <c r="Y32" s="26" t="s">
        <v>208</v>
      </c>
      <c r="Z32" s="26" t="s">
        <v>209</v>
      </c>
      <c r="AA32" s="26">
        <v>1.0</v>
      </c>
      <c r="AB32" s="26">
        <v>1.0</v>
      </c>
      <c r="AC32" s="27" t="s">
        <v>169</v>
      </c>
      <c r="AD32" s="48">
        <v>15.0</v>
      </c>
      <c r="AE32" s="48">
        <v>1187.0</v>
      </c>
      <c r="AF32" s="48" t="s">
        <v>161</v>
      </c>
      <c r="AG32" s="48" t="s">
        <v>161</v>
      </c>
      <c r="AH32" s="48" t="s">
        <v>90</v>
      </c>
      <c r="AI32" s="48">
        <v>1.0</v>
      </c>
      <c r="AJ32" s="48">
        <v>2.0</v>
      </c>
      <c r="AK32" s="65">
        <v>1.0</v>
      </c>
      <c r="AL32" s="48">
        <v>2.0</v>
      </c>
      <c r="AM32" s="48">
        <v>1.0</v>
      </c>
      <c r="AN32" s="48">
        <v>2.0</v>
      </c>
      <c r="AO32" s="48">
        <v>1.0</v>
      </c>
      <c r="AP32" s="48">
        <v>1.0</v>
      </c>
      <c r="AQ32" s="48">
        <v>270.0</v>
      </c>
      <c r="AR32" s="48">
        <v>3.0</v>
      </c>
      <c r="AS32" s="48">
        <v>14.0</v>
      </c>
      <c r="AT32" s="56" t="s">
        <v>161</v>
      </c>
      <c r="AU32" s="50" t="s">
        <v>312</v>
      </c>
      <c r="AV32" s="50">
        <v>1020.0</v>
      </c>
      <c r="AW32" s="50">
        <v>5.41</v>
      </c>
      <c r="AX32" s="50">
        <v>4.32</v>
      </c>
      <c r="AY32" s="50">
        <v>836.0</v>
      </c>
      <c r="AZ32" s="50">
        <v>5.16</v>
      </c>
      <c r="BA32" s="50">
        <v>4.61</v>
      </c>
      <c r="BB32" s="50">
        <v>26.0</v>
      </c>
      <c r="BC32" s="50">
        <v>724.0</v>
      </c>
      <c r="BD32" s="50">
        <v>5.28</v>
      </c>
      <c r="BE32" s="50">
        <v>4.37</v>
      </c>
      <c r="BF32" s="50" t="s">
        <v>90</v>
      </c>
      <c r="BG32" s="50" t="s">
        <v>90</v>
      </c>
      <c r="BH32" s="50" t="s">
        <v>90</v>
      </c>
      <c r="BI32" s="50" t="s">
        <v>90</v>
      </c>
    </row>
    <row r="33">
      <c r="A33" s="21" t="s">
        <v>140</v>
      </c>
      <c r="C33" s="25">
        <v>2017.0</v>
      </c>
      <c r="D33" s="47">
        <v>1.0</v>
      </c>
      <c r="E33" s="47">
        <v>3.0</v>
      </c>
      <c r="F33" s="47">
        <v>1.0</v>
      </c>
      <c r="G33" s="47">
        <v>2.0</v>
      </c>
      <c r="H33" s="47">
        <v>2.0</v>
      </c>
      <c r="I33" s="52">
        <f t="shared" si="31"/>
        <v>14.60055096</v>
      </c>
      <c r="J33" s="47">
        <v>14.0</v>
      </c>
      <c r="K33" s="47">
        <v>17.0</v>
      </c>
      <c r="L33" s="52">
        <f t="shared" si="32"/>
        <v>55.64738292</v>
      </c>
      <c r="M33" s="47" t="s">
        <v>161</v>
      </c>
      <c r="N33" s="47" t="s">
        <v>161</v>
      </c>
      <c r="O33" s="47" t="s">
        <v>161</v>
      </c>
      <c r="P33" s="47" t="s">
        <v>161</v>
      </c>
      <c r="Q33" s="47" t="s">
        <v>161</v>
      </c>
      <c r="R33" s="47" t="s">
        <v>161</v>
      </c>
      <c r="S33" s="47" t="s">
        <v>161</v>
      </c>
      <c r="T33" s="47" t="s">
        <v>161</v>
      </c>
      <c r="U33" s="47" t="s">
        <v>161</v>
      </c>
      <c r="V33" s="47">
        <v>4.0</v>
      </c>
      <c r="W33" s="47">
        <v>1.0</v>
      </c>
      <c r="X33" s="47">
        <v>2.0</v>
      </c>
      <c r="Y33" s="26" t="s">
        <v>208</v>
      </c>
      <c r="Z33" s="26" t="s">
        <v>209</v>
      </c>
      <c r="AA33" s="26">
        <v>1.0</v>
      </c>
      <c r="AB33" s="26">
        <v>1.0</v>
      </c>
      <c r="AC33" s="27" t="s">
        <v>170</v>
      </c>
      <c r="AD33" s="48">
        <v>8.0</v>
      </c>
      <c r="AE33" s="48">
        <v>1155.0</v>
      </c>
      <c r="AF33" s="48" t="s">
        <v>90</v>
      </c>
      <c r="AG33" s="48" t="s">
        <v>90</v>
      </c>
      <c r="AH33" s="48">
        <v>1.0</v>
      </c>
      <c r="AI33" s="48" t="s">
        <v>90</v>
      </c>
      <c r="AJ33" s="48" t="s">
        <v>90</v>
      </c>
      <c r="AK33" s="48" t="s">
        <v>90</v>
      </c>
      <c r="AL33" s="48" t="s">
        <v>90</v>
      </c>
      <c r="AM33" s="48" t="s">
        <v>90</v>
      </c>
      <c r="AN33" s="48" t="s">
        <v>90</v>
      </c>
      <c r="AO33" s="48" t="s">
        <v>90</v>
      </c>
      <c r="AP33" s="48" t="s">
        <v>90</v>
      </c>
      <c r="AQ33" s="48" t="s">
        <v>90</v>
      </c>
      <c r="AR33" s="48" t="s">
        <v>90</v>
      </c>
      <c r="AS33" s="48" t="s">
        <v>90</v>
      </c>
      <c r="AT33" s="48" t="s">
        <v>90</v>
      </c>
      <c r="AU33" s="50" t="s">
        <v>312</v>
      </c>
      <c r="AV33" s="50">
        <v>981.0</v>
      </c>
      <c r="AW33" s="50">
        <v>5.39</v>
      </c>
      <c r="AX33" s="50">
        <v>4.26</v>
      </c>
      <c r="AY33" s="50">
        <v>842.0</v>
      </c>
      <c r="AZ33" s="50">
        <v>5.2</v>
      </c>
      <c r="BA33" s="50">
        <v>3.94</v>
      </c>
      <c r="BB33" s="50">
        <v>26.0</v>
      </c>
      <c r="BC33" s="50">
        <v>728.0</v>
      </c>
      <c r="BD33" s="50">
        <v>5.34</v>
      </c>
      <c r="BE33" s="50">
        <v>4.07</v>
      </c>
      <c r="BF33" s="50" t="s">
        <v>90</v>
      </c>
      <c r="BG33" s="50" t="s">
        <v>90</v>
      </c>
      <c r="BH33" s="50" t="s">
        <v>90</v>
      </c>
      <c r="BI33" s="50" t="s">
        <v>90</v>
      </c>
    </row>
    <row r="34">
      <c r="A34" s="16" t="s">
        <v>122</v>
      </c>
      <c r="B34" s="68" t="s">
        <v>317</v>
      </c>
      <c r="C34" s="69">
        <v>2018.0</v>
      </c>
      <c r="D34" s="70">
        <v>1.0</v>
      </c>
      <c r="E34" s="70">
        <v>1.0</v>
      </c>
      <c r="F34" s="70">
        <v>1.0</v>
      </c>
      <c r="G34" s="70">
        <v>1.0</v>
      </c>
      <c r="H34" s="70">
        <v>2.0</v>
      </c>
      <c r="I34" s="70" t="s">
        <v>161</v>
      </c>
      <c r="J34" s="70">
        <v>14.0</v>
      </c>
      <c r="K34" s="70">
        <v>17.0</v>
      </c>
      <c r="L34" s="71">
        <f t="shared" ref="L34:L35" si="33">(92.6*36+60*12+89.5*23)/(36+12+23)</f>
        <v>86.08591549</v>
      </c>
      <c r="M34" s="70">
        <f t="shared" ref="M34:M35" si="34">(90+77)/2</f>
        <v>83.5</v>
      </c>
      <c r="N34" s="70" t="s">
        <v>161</v>
      </c>
      <c r="O34" s="70" t="s">
        <v>161</v>
      </c>
      <c r="P34" s="70" t="s">
        <v>161</v>
      </c>
      <c r="Q34" s="70" t="s">
        <v>161</v>
      </c>
      <c r="R34" s="70" t="s">
        <v>161</v>
      </c>
      <c r="S34" s="70" t="s">
        <v>161</v>
      </c>
      <c r="T34" s="70" t="s">
        <v>161</v>
      </c>
      <c r="U34" s="70" t="s">
        <v>161</v>
      </c>
      <c r="V34" s="70">
        <v>4.0</v>
      </c>
      <c r="W34" s="70">
        <v>1.0</v>
      </c>
      <c r="X34" s="70">
        <v>2.0</v>
      </c>
      <c r="Y34" s="72" t="s">
        <v>212</v>
      </c>
      <c r="Z34" s="72" t="s">
        <v>213</v>
      </c>
      <c r="AA34" s="72">
        <v>1.0</v>
      </c>
      <c r="AB34" s="72">
        <v>2.0</v>
      </c>
      <c r="AC34" s="74" t="s">
        <v>169</v>
      </c>
      <c r="AD34" s="75">
        <v>2.0</v>
      </c>
      <c r="AE34" s="75">
        <v>48.0</v>
      </c>
      <c r="AF34" s="75">
        <v>48.0</v>
      </c>
      <c r="AG34" s="75">
        <v>37.0</v>
      </c>
      <c r="AH34" s="75" t="s">
        <v>90</v>
      </c>
      <c r="AI34" s="75">
        <v>1.0</v>
      </c>
      <c r="AJ34" s="75">
        <v>2.0</v>
      </c>
      <c r="AK34" s="76">
        <v>1.0</v>
      </c>
      <c r="AL34" s="75">
        <v>3.0</v>
      </c>
      <c r="AM34" s="75">
        <v>1.0</v>
      </c>
      <c r="AN34" s="75">
        <v>2.0</v>
      </c>
      <c r="AO34" s="75">
        <v>1.0</v>
      </c>
      <c r="AP34" s="75">
        <v>1.0</v>
      </c>
      <c r="AQ34" s="75" t="s">
        <v>161</v>
      </c>
      <c r="AR34" s="75" t="s">
        <v>161</v>
      </c>
      <c r="AS34" s="75" t="s">
        <v>161</v>
      </c>
      <c r="AT34" s="79">
        <f>100*AG34/AF34</f>
        <v>77.08333333</v>
      </c>
      <c r="AU34" s="77" t="s">
        <v>312</v>
      </c>
      <c r="AV34" s="77">
        <v>48.0</v>
      </c>
      <c r="AW34" s="80">
        <f>(20.4*27+28.6*10)/37</f>
        <v>22.61621622</v>
      </c>
      <c r="AX34" s="80">
        <f>SQRT(((27-1)*7.78^2+(10-1)*10.7^2)/(27+10-2))</f>
        <v>8.625789239</v>
      </c>
      <c r="AY34" s="77">
        <v>37.0</v>
      </c>
      <c r="AZ34" s="80">
        <f>(20.44*27+27.8*10)/37</f>
        <v>22.42918919</v>
      </c>
      <c r="BA34" s="80">
        <f>SQRT(((27-1)*8.19^2+(10-1)*9.89^2)/(27+10-2))</f>
        <v>8.659078638</v>
      </c>
      <c r="BB34" s="50" t="s">
        <v>90</v>
      </c>
      <c r="BC34" s="50" t="s">
        <v>90</v>
      </c>
      <c r="BD34" s="50" t="s">
        <v>90</v>
      </c>
      <c r="BE34" s="50" t="s">
        <v>90</v>
      </c>
      <c r="BF34" s="50" t="s">
        <v>90</v>
      </c>
      <c r="BG34" s="50" t="s">
        <v>90</v>
      </c>
      <c r="BH34" s="50" t="s">
        <v>90</v>
      </c>
      <c r="BI34" s="50" t="s">
        <v>90</v>
      </c>
      <c r="BJ34" s="35"/>
      <c r="BK34" s="35"/>
      <c r="BL34" s="35"/>
      <c r="BM34" s="35"/>
      <c r="BN34" s="35"/>
      <c r="BO34" s="35"/>
      <c r="BP34" s="35"/>
      <c r="BQ34" s="35"/>
      <c r="BR34" s="35"/>
    </row>
    <row r="35">
      <c r="A35" s="16" t="s">
        <v>122</v>
      </c>
      <c r="C35" s="69">
        <v>2018.0</v>
      </c>
      <c r="D35" s="70">
        <v>1.0</v>
      </c>
      <c r="E35" s="70">
        <v>1.0</v>
      </c>
      <c r="F35" s="70">
        <v>1.0</v>
      </c>
      <c r="G35" s="70">
        <v>1.0</v>
      </c>
      <c r="H35" s="70">
        <v>2.0</v>
      </c>
      <c r="I35" s="70" t="s">
        <v>161</v>
      </c>
      <c r="J35" s="70">
        <v>14.0</v>
      </c>
      <c r="K35" s="70">
        <v>17.0</v>
      </c>
      <c r="L35" s="71">
        <f t="shared" si="33"/>
        <v>86.08591549</v>
      </c>
      <c r="M35" s="70">
        <f t="shared" si="34"/>
        <v>83.5</v>
      </c>
      <c r="N35" s="70" t="s">
        <v>161</v>
      </c>
      <c r="O35" s="70" t="s">
        <v>161</v>
      </c>
      <c r="P35" s="70" t="s">
        <v>161</v>
      </c>
      <c r="Q35" s="70" t="s">
        <v>161</v>
      </c>
      <c r="R35" s="70" t="s">
        <v>161</v>
      </c>
      <c r="S35" s="70" t="s">
        <v>161</v>
      </c>
      <c r="T35" s="70" t="s">
        <v>161</v>
      </c>
      <c r="U35" s="70" t="s">
        <v>161</v>
      </c>
      <c r="V35" s="70">
        <v>4.0</v>
      </c>
      <c r="W35" s="70">
        <v>1.0</v>
      </c>
      <c r="X35" s="70">
        <v>2.0</v>
      </c>
      <c r="Y35" s="72" t="s">
        <v>212</v>
      </c>
      <c r="Z35" s="72" t="s">
        <v>213</v>
      </c>
      <c r="AA35" s="72">
        <v>1.0</v>
      </c>
      <c r="AB35" s="72">
        <v>2.0</v>
      </c>
      <c r="AC35" s="74" t="s">
        <v>170</v>
      </c>
      <c r="AD35" s="75">
        <v>1.0</v>
      </c>
      <c r="AE35" s="75">
        <v>23.0</v>
      </c>
      <c r="AF35" s="75" t="s">
        <v>90</v>
      </c>
      <c r="AG35" s="75" t="s">
        <v>90</v>
      </c>
      <c r="AH35" s="75">
        <v>1.0</v>
      </c>
      <c r="AI35" s="75" t="s">
        <v>90</v>
      </c>
      <c r="AJ35" s="75" t="s">
        <v>90</v>
      </c>
      <c r="AK35" s="75" t="s">
        <v>90</v>
      </c>
      <c r="AL35" s="75" t="s">
        <v>90</v>
      </c>
      <c r="AM35" s="75" t="s">
        <v>90</v>
      </c>
      <c r="AN35" s="75" t="s">
        <v>90</v>
      </c>
      <c r="AO35" s="75" t="s">
        <v>90</v>
      </c>
      <c r="AP35" s="75" t="s">
        <v>90</v>
      </c>
      <c r="AQ35" s="75" t="s">
        <v>90</v>
      </c>
      <c r="AR35" s="75" t="s">
        <v>90</v>
      </c>
      <c r="AS35" s="75" t="s">
        <v>90</v>
      </c>
      <c r="AT35" s="75" t="s">
        <v>90</v>
      </c>
      <c r="AU35" s="77" t="s">
        <v>312</v>
      </c>
      <c r="AV35" s="77">
        <v>23.0</v>
      </c>
      <c r="AW35" s="77">
        <v>26.22</v>
      </c>
      <c r="AX35" s="77">
        <v>8.04</v>
      </c>
      <c r="AY35" s="77">
        <v>20.0</v>
      </c>
      <c r="AZ35" s="77">
        <v>31.5</v>
      </c>
      <c r="BA35" s="77">
        <v>8.33</v>
      </c>
      <c r="BB35" s="50" t="s">
        <v>90</v>
      </c>
      <c r="BC35" s="50" t="s">
        <v>90</v>
      </c>
      <c r="BD35" s="50" t="s">
        <v>90</v>
      </c>
      <c r="BE35" s="50" t="s">
        <v>90</v>
      </c>
      <c r="BF35" s="50" t="s">
        <v>90</v>
      </c>
      <c r="BG35" s="50" t="s">
        <v>90</v>
      </c>
      <c r="BH35" s="50" t="s">
        <v>90</v>
      </c>
      <c r="BI35" s="50" t="s">
        <v>90</v>
      </c>
      <c r="BJ35" s="35"/>
      <c r="BK35" s="35"/>
      <c r="BL35" s="35"/>
      <c r="BM35" s="35"/>
      <c r="BN35" s="35"/>
      <c r="BO35" s="35"/>
      <c r="BP35" s="35"/>
      <c r="BQ35" s="35"/>
      <c r="BR35" s="35"/>
    </row>
    <row r="36">
      <c r="A36" s="21" t="s">
        <v>145</v>
      </c>
      <c r="B36" s="46"/>
      <c r="C36" s="25">
        <v>2019.0</v>
      </c>
      <c r="D36" s="47">
        <v>1.0</v>
      </c>
      <c r="E36" s="47">
        <v>3.0</v>
      </c>
      <c r="F36" s="47">
        <v>1.0</v>
      </c>
      <c r="G36" s="47">
        <v>1.0</v>
      </c>
      <c r="H36" s="47">
        <v>2.0</v>
      </c>
      <c r="I36" s="47">
        <v>16.25</v>
      </c>
      <c r="J36" s="47">
        <v>14.0</v>
      </c>
      <c r="K36" s="47">
        <v>17.0</v>
      </c>
      <c r="L36" s="47">
        <v>100.0</v>
      </c>
      <c r="M36" s="47" t="s">
        <v>161</v>
      </c>
      <c r="N36" s="47" t="s">
        <v>161</v>
      </c>
      <c r="O36" s="65" t="s">
        <v>161</v>
      </c>
      <c r="P36" s="47" t="s">
        <v>161</v>
      </c>
      <c r="Q36" s="47" t="s">
        <v>161</v>
      </c>
      <c r="R36" s="47" t="s">
        <v>161</v>
      </c>
      <c r="S36" s="47" t="s">
        <v>161</v>
      </c>
      <c r="T36" s="47" t="s">
        <v>161</v>
      </c>
      <c r="U36" s="47" t="s">
        <v>161</v>
      </c>
      <c r="V36" s="47">
        <v>2.0</v>
      </c>
      <c r="W36" s="47">
        <v>3.0</v>
      </c>
      <c r="X36" s="47">
        <v>2.0</v>
      </c>
      <c r="Y36" s="26" t="s">
        <v>215</v>
      </c>
      <c r="Z36" s="26" t="s">
        <v>90</v>
      </c>
      <c r="AA36" s="26">
        <v>1.0</v>
      </c>
      <c r="AB36" s="26">
        <v>1.0</v>
      </c>
      <c r="AC36" s="27" t="s">
        <v>169</v>
      </c>
      <c r="AD36" s="48">
        <v>79.0</v>
      </c>
      <c r="AE36" s="48">
        <v>79.0</v>
      </c>
      <c r="AF36" s="48">
        <v>79.0</v>
      </c>
      <c r="AG36" s="48">
        <v>40.0</v>
      </c>
      <c r="AH36" s="48" t="s">
        <v>90</v>
      </c>
      <c r="AI36" s="48">
        <v>1.0</v>
      </c>
      <c r="AJ36" s="48">
        <v>2.0</v>
      </c>
      <c r="AK36" s="65">
        <v>1.0</v>
      </c>
      <c r="AL36" s="48">
        <v>2.0</v>
      </c>
      <c r="AM36" s="48">
        <v>1.0</v>
      </c>
      <c r="AN36" s="48">
        <v>1.0</v>
      </c>
      <c r="AO36" s="48">
        <v>1.0</v>
      </c>
      <c r="AP36" s="48">
        <v>2.0</v>
      </c>
      <c r="AQ36" s="48">
        <v>240.0</v>
      </c>
      <c r="AR36" s="48">
        <v>4.0</v>
      </c>
      <c r="AS36" s="48">
        <v>28.0</v>
      </c>
      <c r="AT36" s="56">
        <f>100*AG36/AF36</f>
        <v>50.63291139</v>
      </c>
      <c r="AU36" s="50" t="s">
        <v>312</v>
      </c>
      <c r="AV36" s="50">
        <v>79.0</v>
      </c>
      <c r="AW36" s="50">
        <v>9.7</v>
      </c>
      <c r="AX36" s="50">
        <v>7.97</v>
      </c>
      <c r="AY36" s="50">
        <v>40.0</v>
      </c>
      <c r="AZ36" s="50">
        <v>6.32</v>
      </c>
      <c r="BA36" s="50">
        <v>4.67</v>
      </c>
      <c r="BB36" s="50" t="s">
        <v>90</v>
      </c>
      <c r="BC36" s="50" t="s">
        <v>90</v>
      </c>
      <c r="BD36" s="50" t="s">
        <v>90</v>
      </c>
      <c r="BE36" s="50" t="s">
        <v>90</v>
      </c>
      <c r="BF36" s="50" t="s">
        <v>90</v>
      </c>
      <c r="BG36" s="50" t="s">
        <v>90</v>
      </c>
      <c r="BH36" s="50" t="s">
        <v>90</v>
      </c>
      <c r="BI36" s="50" t="s">
        <v>90</v>
      </c>
    </row>
    <row r="37">
      <c r="A37" s="21" t="s">
        <v>145</v>
      </c>
      <c r="C37" s="25">
        <v>2019.0</v>
      </c>
      <c r="D37" s="47">
        <v>1.0</v>
      </c>
      <c r="E37" s="47">
        <v>3.0</v>
      </c>
      <c r="F37" s="47">
        <v>1.0</v>
      </c>
      <c r="G37" s="47">
        <v>1.0</v>
      </c>
      <c r="H37" s="47">
        <v>2.0</v>
      </c>
      <c r="I37" s="47">
        <v>16.25</v>
      </c>
      <c r="J37" s="47">
        <v>14.0</v>
      </c>
      <c r="K37" s="47">
        <v>17.0</v>
      </c>
      <c r="L37" s="47">
        <v>100.0</v>
      </c>
      <c r="M37" s="47" t="s">
        <v>161</v>
      </c>
      <c r="N37" s="47" t="s">
        <v>161</v>
      </c>
      <c r="O37" s="65" t="s">
        <v>161</v>
      </c>
      <c r="P37" s="47" t="s">
        <v>161</v>
      </c>
      <c r="Q37" s="47" t="s">
        <v>161</v>
      </c>
      <c r="R37" s="47" t="s">
        <v>161</v>
      </c>
      <c r="S37" s="47" t="s">
        <v>161</v>
      </c>
      <c r="T37" s="47" t="s">
        <v>161</v>
      </c>
      <c r="U37" s="47" t="s">
        <v>161</v>
      </c>
      <c r="V37" s="47">
        <v>2.0</v>
      </c>
      <c r="W37" s="47">
        <v>3.0</v>
      </c>
      <c r="X37" s="47">
        <v>2.0</v>
      </c>
      <c r="Y37" s="26" t="s">
        <v>215</v>
      </c>
      <c r="Z37" s="26" t="s">
        <v>90</v>
      </c>
      <c r="AA37" s="26">
        <v>1.0</v>
      </c>
      <c r="AB37" s="26">
        <v>1.0</v>
      </c>
      <c r="AC37" s="27" t="s">
        <v>170</v>
      </c>
      <c r="AD37" s="48">
        <v>62.0</v>
      </c>
      <c r="AE37" s="48">
        <v>62.0</v>
      </c>
      <c r="AF37" s="48" t="s">
        <v>90</v>
      </c>
      <c r="AG37" s="48" t="s">
        <v>90</v>
      </c>
      <c r="AH37" s="48">
        <v>1.0</v>
      </c>
      <c r="AI37" s="48" t="s">
        <v>90</v>
      </c>
      <c r="AJ37" s="48" t="s">
        <v>90</v>
      </c>
      <c r="AK37" s="48" t="s">
        <v>90</v>
      </c>
      <c r="AL37" s="48" t="s">
        <v>90</v>
      </c>
      <c r="AM37" s="48" t="s">
        <v>90</v>
      </c>
      <c r="AN37" s="48" t="s">
        <v>90</v>
      </c>
      <c r="AO37" s="48" t="s">
        <v>90</v>
      </c>
      <c r="AP37" s="48" t="s">
        <v>90</v>
      </c>
      <c r="AQ37" s="48" t="s">
        <v>90</v>
      </c>
      <c r="AR37" s="48" t="s">
        <v>90</v>
      </c>
      <c r="AS37" s="48" t="s">
        <v>90</v>
      </c>
      <c r="AT37" s="48" t="s">
        <v>90</v>
      </c>
      <c r="AU37" s="50" t="s">
        <v>312</v>
      </c>
      <c r="AV37" s="50">
        <v>62.0</v>
      </c>
      <c r="AW37" s="50">
        <v>11.86</v>
      </c>
      <c r="AX37" s="50">
        <v>10.66</v>
      </c>
      <c r="AY37" s="50">
        <v>22.0</v>
      </c>
      <c r="AZ37" s="50">
        <v>13.44</v>
      </c>
      <c r="BA37" s="50">
        <v>15.09</v>
      </c>
      <c r="BB37" s="50" t="s">
        <v>90</v>
      </c>
      <c r="BC37" s="50" t="s">
        <v>90</v>
      </c>
      <c r="BD37" s="50" t="s">
        <v>90</v>
      </c>
      <c r="BE37" s="50" t="s">
        <v>90</v>
      </c>
      <c r="BF37" s="50" t="s">
        <v>90</v>
      </c>
      <c r="BG37" s="50" t="s">
        <v>90</v>
      </c>
      <c r="BH37" s="50" t="s">
        <v>90</v>
      </c>
      <c r="BI37" s="50" t="s">
        <v>90</v>
      </c>
    </row>
    <row r="38">
      <c r="A38" s="21" t="s">
        <v>145</v>
      </c>
      <c r="C38" s="25">
        <v>2019.0</v>
      </c>
      <c r="D38" s="47">
        <v>1.0</v>
      </c>
      <c r="E38" s="47">
        <v>3.0</v>
      </c>
      <c r="F38" s="47">
        <v>1.0</v>
      </c>
      <c r="G38" s="47">
        <v>1.0</v>
      </c>
      <c r="H38" s="47">
        <v>2.0</v>
      </c>
      <c r="I38" s="47">
        <v>16.25</v>
      </c>
      <c r="J38" s="47">
        <v>14.0</v>
      </c>
      <c r="K38" s="47">
        <v>17.0</v>
      </c>
      <c r="L38" s="47">
        <v>100.0</v>
      </c>
      <c r="M38" s="47" t="s">
        <v>161</v>
      </c>
      <c r="N38" s="47" t="s">
        <v>161</v>
      </c>
      <c r="O38" s="65" t="s">
        <v>161</v>
      </c>
      <c r="P38" s="47" t="s">
        <v>161</v>
      </c>
      <c r="Q38" s="47" t="s">
        <v>161</v>
      </c>
      <c r="R38" s="47" t="s">
        <v>161</v>
      </c>
      <c r="S38" s="47" t="s">
        <v>161</v>
      </c>
      <c r="T38" s="47" t="s">
        <v>161</v>
      </c>
      <c r="U38" s="47" t="s">
        <v>161</v>
      </c>
      <c r="V38" s="47">
        <v>2.0</v>
      </c>
      <c r="W38" s="47">
        <v>3.0</v>
      </c>
      <c r="X38" s="47">
        <v>2.0</v>
      </c>
      <c r="Y38" s="26" t="s">
        <v>212</v>
      </c>
      <c r="Z38" s="26" t="s">
        <v>216</v>
      </c>
      <c r="AA38" s="26">
        <v>1.0</v>
      </c>
      <c r="AB38" s="26">
        <v>2.0</v>
      </c>
      <c r="AC38" s="27" t="s">
        <v>169</v>
      </c>
      <c r="AD38" s="48">
        <v>79.0</v>
      </c>
      <c r="AE38" s="48">
        <v>79.0</v>
      </c>
      <c r="AF38" s="48">
        <v>79.0</v>
      </c>
      <c r="AG38" s="48">
        <v>40.0</v>
      </c>
      <c r="AH38" s="48" t="s">
        <v>90</v>
      </c>
      <c r="AI38" s="48">
        <v>1.0</v>
      </c>
      <c r="AJ38" s="48">
        <v>2.0</v>
      </c>
      <c r="AK38" s="65">
        <v>1.0</v>
      </c>
      <c r="AL38" s="48">
        <v>2.0</v>
      </c>
      <c r="AM38" s="48">
        <v>1.0</v>
      </c>
      <c r="AN38" s="48">
        <v>1.0</v>
      </c>
      <c r="AO38" s="48">
        <v>1.0</v>
      </c>
      <c r="AP38" s="48">
        <v>2.0</v>
      </c>
      <c r="AQ38" s="48">
        <v>240.0</v>
      </c>
      <c r="AR38" s="48">
        <v>4.0</v>
      </c>
      <c r="AS38" s="48">
        <v>28.0</v>
      </c>
      <c r="AT38" s="56">
        <f>100*AG38/AF38</f>
        <v>50.63291139</v>
      </c>
      <c r="AU38" s="50" t="s">
        <v>312</v>
      </c>
      <c r="AV38" s="50">
        <v>79.0</v>
      </c>
      <c r="AW38" s="50">
        <v>2.45</v>
      </c>
      <c r="AX38" s="50">
        <v>1.26</v>
      </c>
      <c r="AY38" s="50">
        <v>40.0</v>
      </c>
      <c r="AZ38" s="50">
        <v>1.81</v>
      </c>
      <c r="BA38" s="50">
        <v>0.66</v>
      </c>
      <c r="BB38" s="50" t="s">
        <v>90</v>
      </c>
      <c r="BC38" s="50" t="s">
        <v>90</v>
      </c>
      <c r="BD38" s="50" t="s">
        <v>90</v>
      </c>
      <c r="BE38" s="50" t="s">
        <v>90</v>
      </c>
      <c r="BF38" s="50" t="s">
        <v>90</v>
      </c>
      <c r="BG38" s="50" t="s">
        <v>90</v>
      </c>
      <c r="BH38" s="50" t="s">
        <v>90</v>
      </c>
      <c r="BI38" s="50" t="s">
        <v>90</v>
      </c>
    </row>
    <row r="39">
      <c r="A39" s="21" t="s">
        <v>145</v>
      </c>
      <c r="C39" s="25">
        <v>2019.0</v>
      </c>
      <c r="D39" s="47">
        <v>1.0</v>
      </c>
      <c r="E39" s="47">
        <v>3.0</v>
      </c>
      <c r="F39" s="47">
        <v>1.0</v>
      </c>
      <c r="G39" s="47">
        <v>1.0</v>
      </c>
      <c r="H39" s="47">
        <v>2.0</v>
      </c>
      <c r="I39" s="47">
        <v>16.25</v>
      </c>
      <c r="J39" s="47">
        <v>14.0</v>
      </c>
      <c r="K39" s="47">
        <v>17.0</v>
      </c>
      <c r="L39" s="47">
        <v>100.0</v>
      </c>
      <c r="M39" s="47" t="s">
        <v>161</v>
      </c>
      <c r="N39" s="47" t="s">
        <v>161</v>
      </c>
      <c r="O39" s="65" t="s">
        <v>161</v>
      </c>
      <c r="P39" s="47" t="s">
        <v>161</v>
      </c>
      <c r="Q39" s="47" t="s">
        <v>161</v>
      </c>
      <c r="R39" s="47" t="s">
        <v>161</v>
      </c>
      <c r="S39" s="47" t="s">
        <v>161</v>
      </c>
      <c r="T39" s="47" t="s">
        <v>161</v>
      </c>
      <c r="U39" s="47" t="s">
        <v>161</v>
      </c>
      <c r="V39" s="47">
        <v>2.0</v>
      </c>
      <c r="W39" s="47">
        <v>3.0</v>
      </c>
      <c r="X39" s="47">
        <v>2.0</v>
      </c>
      <c r="Y39" s="26" t="s">
        <v>212</v>
      </c>
      <c r="Z39" s="26" t="s">
        <v>216</v>
      </c>
      <c r="AA39" s="26">
        <v>1.0</v>
      </c>
      <c r="AB39" s="26">
        <v>2.0</v>
      </c>
      <c r="AC39" s="27" t="s">
        <v>170</v>
      </c>
      <c r="AD39" s="48">
        <v>62.0</v>
      </c>
      <c r="AE39" s="48">
        <v>62.0</v>
      </c>
      <c r="AF39" s="48" t="s">
        <v>90</v>
      </c>
      <c r="AG39" s="48" t="s">
        <v>90</v>
      </c>
      <c r="AH39" s="48">
        <v>1.0</v>
      </c>
      <c r="AI39" s="48" t="s">
        <v>90</v>
      </c>
      <c r="AJ39" s="48" t="s">
        <v>90</v>
      </c>
      <c r="AK39" s="48" t="s">
        <v>90</v>
      </c>
      <c r="AL39" s="48" t="s">
        <v>90</v>
      </c>
      <c r="AM39" s="48" t="s">
        <v>90</v>
      </c>
      <c r="AN39" s="48" t="s">
        <v>90</v>
      </c>
      <c r="AO39" s="48" t="s">
        <v>90</v>
      </c>
      <c r="AP39" s="48" t="s">
        <v>90</v>
      </c>
      <c r="AQ39" s="48" t="s">
        <v>90</v>
      </c>
      <c r="AR39" s="48" t="s">
        <v>90</v>
      </c>
      <c r="AS39" s="48" t="s">
        <v>90</v>
      </c>
      <c r="AT39" s="48" t="s">
        <v>90</v>
      </c>
      <c r="AU39" s="50" t="s">
        <v>312</v>
      </c>
      <c r="AV39" s="50">
        <v>62.0</v>
      </c>
      <c r="AW39" s="50">
        <v>2.23</v>
      </c>
      <c r="AX39" s="50">
        <v>0.84</v>
      </c>
      <c r="AY39" s="50">
        <v>22.0</v>
      </c>
      <c r="AZ39" s="50">
        <v>2.34</v>
      </c>
      <c r="BA39" s="50">
        <v>1.51</v>
      </c>
      <c r="BB39" s="50" t="s">
        <v>90</v>
      </c>
      <c r="BC39" s="50" t="s">
        <v>90</v>
      </c>
      <c r="BD39" s="50" t="s">
        <v>90</v>
      </c>
      <c r="BE39" s="50" t="s">
        <v>90</v>
      </c>
      <c r="BF39" s="50" t="s">
        <v>90</v>
      </c>
      <c r="BG39" s="50" t="s">
        <v>90</v>
      </c>
      <c r="BH39" s="50" t="s">
        <v>90</v>
      </c>
      <c r="BI39" s="50" t="s">
        <v>90</v>
      </c>
    </row>
    <row r="40">
      <c r="A40" s="16" t="s">
        <v>125</v>
      </c>
      <c r="B40" s="68" t="s">
        <v>314</v>
      </c>
      <c r="C40" s="69">
        <v>2020.0</v>
      </c>
      <c r="D40" s="70">
        <v>1.0</v>
      </c>
      <c r="E40" s="70">
        <v>3.0</v>
      </c>
      <c r="F40" s="70">
        <v>1.0</v>
      </c>
      <c r="G40" s="70">
        <v>2.0</v>
      </c>
      <c r="H40" s="70">
        <v>1.0</v>
      </c>
      <c r="I40" s="71">
        <f t="shared" ref="I40:I41" si="35">(11.69*647+11.55*756)/(647+756)</f>
        <v>11.61456165</v>
      </c>
      <c r="J40" s="70">
        <v>11.0</v>
      </c>
      <c r="K40" s="70">
        <v>13.0</v>
      </c>
      <c r="L40" s="71">
        <f t="shared" ref="L40:L41" si="36">100*(307+328)/(647+756)</f>
        <v>45.26015681</v>
      </c>
      <c r="M40" s="71">
        <f t="shared" ref="M40:M41" si="37">100*(544+624)/(647+756)</f>
        <v>83.25017819</v>
      </c>
      <c r="N40" s="71">
        <f t="shared" ref="N40:N41" si="38">100*(11+20)/(647+756)</f>
        <v>2.209550962</v>
      </c>
      <c r="O40" s="71" t="s">
        <v>161</v>
      </c>
      <c r="P40" s="71">
        <f t="shared" ref="P40:P41" si="39">100*(14+13)/(647+756)</f>
        <v>1.924447612</v>
      </c>
      <c r="Q40" s="71" t="s">
        <v>161</v>
      </c>
      <c r="R40" s="71" t="s">
        <v>161</v>
      </c>
      <c r="S40" s="71">
        <f t="shared" ref="S40:S41" si="40">100*(22+22)/(647+756)</f>
        <v>3.13613685</v>
      </c>
      <c r="T40" s="71">
        <f t="shared" ref="T40:T41" si="41">100-M40-N40-P40-S40</f>
        <v>9.479686386</v>
      </c>
      <c r="U40" s="70" t="s">
        <v>161</v>
      </c>
      <c r="V40" s="70">
        <v>4.0</v>
      </c>
      <c r="W40" s="70">
        <v>1.0</v>
      </c>
      <c r="X40" s="70">
        <v>2.0</v>
      </c>
      <c r="Y40" s="72" t="s">
        <v>198</v>
      </c>
      <c r="Z40" s="72" t="s">
        <v>199</v>
      </c>
      <c r="AA40" s="72">
        <v>1.0</v>
      </c>
      <c r="AB40" s="72">
        <v>2.0</v>
      </c>
      <c r="AC40" s="74" t="s">
        <v>169</v>
      </c>
      <c r="AD40" s="75">
        <v>4.0</v>
      </c>
      <c r="AE40" s="75">
        <v>647.0</v>
      </c>
      <c r="AF40" s="75" t="s">
        <v>161</v>
      </c>
      <c r="AG40" s="75" t="s">
        <v>161</v>
      </c>
      <c r="AH40" s="75" t="s">
        <v>90</v>
      </c>
      <c r="AI40" s="75">
        <v>1.0</v>
      </c>
      <c r="AJ40" s="75">
        <v>2.0</v>
      </c>
      <c r="AK40" s="75">
        <v>1.0</v>
      </c>
      <c r="AL40" s="75">
        <v>3.0</v>
      </c>
      <c r="AM40" s="75">
        <v>1.0</v>
      </c>
      <c r="AN40" s="75">
        <v>1.0</v>
      </c>
      <c r="AO40" s="75">
        <v>1.0</v>
      </c>
      <c r="AP40" s="75">
        <v>1.0</v>
      </c>
      <c r="AQ40" s="75">
        <v>225.0</v>
      </c>
      <c r="AR40" s="75">
        <v>5.0</v>
      </c>
      <c r="AS40" s="75">
        <v>35.0</v>
      </c>
      <c r="AT40" s="75" t="s">
        <v>90</v>
      </c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35"/>
      <c r="BK40" s="35"/>
      <c r="BL40" s="35"/>
      <c r="BM40" s="35"/>
      <c r="BN40" s="35"/>
      <c r="BO40" s="35"/>
      <c r="BP40" s="35"/>
      <c r="BQ40" s="35"/>
      <c r="BR40" s="35"/>
    </row>
    <row r="41">
      <c r="A41" s="16" t="s">
        <v>125</v>
      </c>
      <c r="C41" s="69">
        <v>2020.0</v>
      </c>
      <c r="D41" s="70">
        <v>1.0</v>
      </c>
      <c r="E41" s="70">
        <v>3.0</v>
      </c>
      <c r="F41" s="70">
        <v>1.0</v>
      </c>
      <c r="G41" s="70">
        <v>2.0</v>
      </c>
      <c r="H41" s="70">
        <v>1.0</v>
      </c>
      <c r="I41" s="71">
        <f t="shared" si="35"/>
        <v>11.61456165</v>
      </c>
      <c r="J41" s="70">
        <v>11.0</v>
      </c>
      <c r="K41" s="70">
        <v>13.0</v>
      </c>
      <c r="L41" s="71">
        <f t="shared" si="36"/>
        <v>45.26015681</v>
      </c>
      <c r="M41" s="71">
        <f t="shared" si="37"/>
        <v>83.25017819</v>
      </c>
      <c r="N41" s="71">
        <f t="shared" si="38"/>
        <v>2.209550962</v>
      </c>
      <c r="O41" s="71" t="s">
        <v>161</v>
      </c>
      <c r="P41" s="71">
        <f t="shared" si="39"/>
        <v>1.924447612</v>
      </c>
      <c r="Q41" s="71" t="s">
        <v>161</v>
      </c>
      <c r="R41" s="71" t="s">
        <v>161</v>
      </c>
      <c r="S41" s="71">
        <f t="shared" si="40"/>
        <v>3.13613685</v>
      </c>
      <c r="T41" s="71">
        <f t="shared" si="41"/>
        <v>9.479686386</v>
      </c>
      <c r="U41" s="70" t="s">
        <v>161</v>
      </c>
      <c r="V41" s="70">
        <v>4.0</v>
      </c>
      <c r="W41" s="70">
        <v>1.0</v>
      </c>
      <c r="X41" s="70">
        <v>2.0</v>
      </c>
      <c r="Y41" s="72" t="s">
        <v>198</v>
      </c>
      <c r="Z41" s="72" t="s">
        <v>199</v>
      </c>
      <c r="AA41" s="72">
        <v>1.0</v>
      </c>
      <c r="AB41" s="72">
        <v>2.0</v>
      </c>
      <c r="AC41" s="74" t="s">
        <v>170</v>
      </c>
      <c r="AD41" s="75">
        <v>2.0</v>
      </c>
      <c r="AE41" s="75">
        <v>848.0</v>
      </c>
      <c r="AF41" s="75" t="s">
        <v>90</v>
      </c>
      <c r="AG41" s="75" t="s">
        <v>90</v>
      </c>
      <c r="AH41" s="75">
        <v>1.0</v>
      </c>
      <c r="AI41" s="75" t="s">
        <v>90</v>
      </c>
      <c r="AJ41" s="75" t="s">
        <v>90</v>
      </c>
      <c r="AK41" s="75" t="s">
        <v>90</v>
      </c>
      <c r="AL41" s="75" t="s">
        <v>90</v>
      </c>
      <c r="AM41" s="75" t="s">
        <v>90</v>
      </c>
      <c r="AN41" s="75" t="s">
        <v>90</v>
      </c>
      <c r="AO41" s="75" t="s">
        <v>90</v>
      </c>
      <c r="AP41" s="75" t="s">
        <v>90</v>
      </c>
      <c r="AQ41" s="75" t="s">
        <v>90</v>
      </c>
      <c r="AR41" s="75" t="s">
        <v>90</v>
      </c>
      <c r="AS41" s="75" t="s">
        <v>90</v>
      </c>
      <c r="AT41" s="75" t="s">
        <v>90</v>
      </c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35"/>
      <c r="BK41" s="35"/>
      <c r="BL41" s="35"/>
      <c r="BM41" s="35"/>
      <c r="BN41" s="35"/>
      <c r="BO41" s="35"/>
      <c r="BP41" s="35"/>
      <c r="BQ41" s="35"/>
      <c r="BR41" s="35"/>
    </row>
  </sheetData>
  <mergeCells count="25">
    <mergeCell ref="AY2:BA2"/>
    <mergeCell ref="BB2:BE2"/>
    <mergeCell ref="A1:A2"/>
    <mergeCell ref="C1:X2"/>
    <mergeCell ref="Y1:AB2"/>
    <mergeCell ref="AC1:AT2"/>
    <mergeCell ref="AV1:BI1"/>
    <mergeCell ref="AV2:AX2"/>
    <mergeCell ref="BF2:BI2"/>
    <mergeCell ref="B1:B2"/>
    <mergeCell ref="B4:B7"/>
    <mergeCell ref="B8:B9"/>
    <mergeCell ref="B10:B11"/>
    <mergeCell ref="B12:B13"/>
    <mergeCell ref="B14:B15"/>
    <mergeCell ref="B16:B17"/>
    <mergeCell ref="B36:B39"/>
    <mergeCell ref="B40:B41"/>
    <mergeCell ref="B18:B20"/>
    <mergeCell ref="B21:B23"/>
    <mergeCell ref="B24:B25"/>
    <mergeCell ref="B26:B28"/>
    <mergeCell ref="B29:B31"/>
    <mergeCell ref="B32:B33"/>
    <mergeCell ref="B34:B35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170</v>
      </c>
      <c r="J1" s="33" t="s">
        <v>322</v>
      </c>
      <c r="R1" s="33" t="s">
        <v>323</v>
      </c>
    </row>
    <row r="2">
      <c r="A2" s="33"/>
      <c r="B2" s="33" t="s">
        <v>324</v>
      </c>
      <c r="F2" s="33" t="s">
        <v>325</v>
      </c>
      <c r="J2" s="33" t="s">
        <v>324</v>
      </c>
      <c r="N2" s="33" t="s">
        <v>325</v>
      </c>
      <c r="R2" s="33" t="s">
        <v>324</v>
      </c>
      <c r="V2" s="33" t="s">
        <v>325</v>
      </c>
    </row>
    <row r="3">
      <c r="B3" s="33" t="s">
        <v>85</v>
      </c>
      <c r="C3" s="33" t="s">
        <v>326</v>
      </c>
      <c r="D3" s="33" t="s">
        <v>327</v>
      </c>
      <c r="E3" s="33" t="s">
        <v>328</v>
      </c>
      <c r="F3" s="33" t="s">
        <v>85</v>
      </c>
      <c r="G3" s="33" t="s">
        <v>326</v>
      </c>
      <c r="H3" s="33" t="s">
        <v>327</v>
      </c>
      <c r="I3" s="33" t="s">
        <v>328</v>
      </c>
      <c r="J3" s="33" t="s">
        <v>85</v>
      </c>
      <c r="K3" s="33" t="s">
        <v>326</v>
      </c>
      <c r="L3" s="33" t="s">
        <v>327</v>
      </c>
      <c r="M3" s="33" t="s">
        <v>328</v>
      </c>
      <c r="N3" s="33" t="s">
        <v>85</v>
      </c>
      <c r="O3" s="33" t="s">
        <v>326</v>
      </c>
      <c r="P3" s="33" t="s">
        <v>327</v>
      </c>
      <c r="Q3" s="33" t="s">
        <v>328</v>
      </c>
      <c r="R3" s="33" t="s">
        <v>85</v>
      </c>
      <c r="S3" s="33" t="s">
        <v>326</v>
      </c>
      <c r="T3" s="33" t="s">
        <v>327</v>
      </c>
      <c r="U3" s="33" t="s">
        <v>328</v>
      </c>
      <c r="V3" s="33" t="s">
        <v>85</v>
      </c>
      <c r="W3" s="33" t="s">
        <v>326</v>
      </c>
      <c r="X3" s="33" t="s">
        <v>327</v>
      </c>
      <c r="Y3" s="33" t="s">
        <v>328</v>
      </c>
    </row>
    <row r="4">
      <c r="A4" s="33" t="s">
        <v>329</v>
      </c>
      <c r="B4" s="33">
        <v>1.59</v>
      </c>
      <c r="C4" s="33">
        <v>0.05</v>
      </c>
      <c r="D4" s="42">
        <f>$B$21*(847/(847+860))</f>
        <v>211.874048</v>
      </c>
      <c r="E4" s="33">
        <f t="shared" ref="E4:E6" si="1">C4*sqrt(D4)</f>
        <v>0.7277946964</v>
      </c>
      <c r="F4" s="33">
        <v>1.95</v>
      </c>
      <c r="G4" s="33">
        <v>0.05</v>
      </c>
      <c r="H4" s="42">
        <f>$B$21*(860/(847+860))</f>
        <v>215.125952</v>
      </c>
      <c r="I4" s="33">
        <f t="shared" ref="I4:I6" si="2">G4*sqrt(H4)</f>
        <v>0.7333586298</v>
      </c>
      <c r="J4" s="33">
        <v>1.58</v>
      </c>
      <c r="K4" s="33">
        <v>0.03</v>
      </c>
      <c r="L4" s="42">
        <f>$B$20*(847/(847+860))</f>
        <v>361.7240773</v>
      </c>
      <c r="M4" s="33">
        <f t="shared" ref="M4:M6" si="3">K4*sqrt(L4)</f>
        <v>0.5705713536</v>
      </c>
      <c r="N4" s="33">
        <v>2.04</v>
      </c>
      <c r="O4" s="33">
        <v>0.04</v>
      </c>
      <c r="P4" s="42">
        <f>$B$20*(860/(847+860))</f>
        <v>367.2759227</v>
      </c>
      <c r="Q4" s="33">
        <f t="shared" ref="Q4:Q6" si="4">O4*sqrt(P4)</f>
        <v>0.7665777692</v>
      </c>
      <c r="R4" s="33">
        <v>1.56</v>
      </c>
      <c r="S4" s="33">
        <v>0.03</v>
      </c>
      <c r="T4" s="42">
        <f>$B$19*(847/(847+860))</f>
        <v>273.4018746</v>
      </c>
      <c r="U4" s="33">
        <f t="shared" ref="U4:U6" si="5">S4*sqrt(T4)</f>
        <v>0.4960460535</v>
      </c>
      <c r="V4" s="33">
        <v>1.99</v>
      </c>
      <c r="W4" s="33">
        <v>0.04</v>
      </c>
      <c r="X4" s="42">
        <f>$B$19*(860/(847+860))</f>
        <v>277.5981254</v>
      </c>
      <c r="Y4" s="33">
        <f t="shared" ref="Y4:Y6" si="6">W4*sqrt(X4)</f>
        <v>0.6664510489</v>
      </c>
    </row>
    <row r="5">
      <c r="A5" s="33" t="s">
        <v>330</v>
      </c>
      <c r="B5" s="33">
        <v>1.64</v>
      </c>
      <c r="C5" s="33">
        <v>0.08</v>
      </c>
      <c r="D5" s="42">
        <f>$E$21*(847/(847+860))</f>
        <v>171.1862917</v>
      </c>
      <c r="E5" s="33">
        <f t="shared" si="1"/>
        <v>1.046705435</v>
      </c>
      <c r="F5" s="33">
        <v>1.97</v>
      </c>
      <c r="G5" s="33">
        <v>0.07</v>
      </c>
      <c r="H5" s="42">
        <f>$E$21*(860/(847+860))</f>
        <v>173.8137083</v>
      </c>
      <c r="I5" s="33">
        <f t="shared" si="2"/>
        <v>0.9228689888</v>
      </c>
      <c r="J5" s="33">
        <v>1.53</v>
      </c>
      <c r="K5" s="33">
        <v>0.04</v>
      </c>
      <c r="L5" s="42">
        <f>$E$20*(847/(847+860))</f>
        <v>338.8992384</v>
      </c>
      <c r="M5" s="33">
        <f t="shared" si="3"/>
        <v>0.7363686451</v>
      </c>
      <c r="N5" s="33">
        <v>1.85</v>
      </c>
      <c r="O5" s="33">
        <v>0.05</v>
      </c>
      <c r="P5" s="42">
        <f>$E$20*(860/(847+860))</f>
        <v>344.1007616</v>
      </c>
      <c r="Q5" s="33">
        <f t="shared" si="4"/>
        <v>0.9274976571</v>
      </c>
      <c r="R5" s="33">
        <v>1.53</v>
      </c>
      <c r="S5" s="33">
        <v>0.05</v>
      </c>
      <c r="T5" s="42">
        <f>$E$19*(847/(847+860))</f>
        <v>245.6151142</v>
      </c>
      <c r="U5" s="33">
        <f t="shared" si="5"/>
        <v>0.7836056314</v>
      </c>
      <c r="V5" s="33">
        <v>1.85</v>
      </c>
      <c r="W5" s="33">
        <v>0.06</v>
      </c>
      <c r="X5" s="42">
        <f>$E$19*(860/(847+860))</f>
        <v>249.3848858</v>
      </c>
      <c r="Y5" s="33">
        <f t="shared" si="6"/>
        <v>0.9475154821</v>
      </c>
    </row>
    <row r="6">
      <c r="A6" s="33" t="s">
        <v>131</v>
      </c>
      <c r="B6" s="33">
        <v>1.59</v>
      </c>
      <c r="C6" s="33">
        <v>0.08</v>
      </c>
      <c r="D6" s="42">
        <f>$I$21*(847/(847+860))</f>
        <v>151.8347979</v>
      </c>
      <c r="E6" s="33">
        <f t="shared" si="1"/>
        <v>0.9857701083</v>
      </c>
      <c r="F6" s="33">
        <v>1.96</v>
      </c>
      <c r="G6" s="33">
        <v>0.08</v>
      </c>
      <c r="H6" s="42">
        <f>$I$21*(860/(847+860))</f>
        <v>154.1652021</v>
      </c>
      <c r="I6" s="33">
        <f t="shared" si="2"/>
        <v>0.9933062436</v>
      </c>
      <c r="J6" s="33">
        <v>1.68</v>
      </c>
      <c r="K6" s="33">
        <v>0.05</v>
      </c>
      <c r="L6" s="42">
        <f>$I$20*(847/(847+860))</f>
        <v>297.2190978</v>
      </c>
      <c r="M6" s="33">
        <f t="shared" si="3"/>
        <v>0.862002172</v>
      </c>
      <c r="N6" s="33">
        <v>2.06</v>
      </c>
      <c r="O6" s="33">
        <v>0.06</v>
      </c>
      <c r="P6" s="42">
        <f>$I$20*(860/(847+860))</f>
        <v>301.7809022</v>
      </c>
      <c r="Q6" s="33">
        <f t="shared" si="4"/>
        <v>1.042310533</v>
      </c>
      <c r="R6" s="33">
        <v>1.5</v>
      </c>
      <c r="S6" s="33">
        <v>0.05</v>
      </c>
      <c r="T6" s="42">
        <f>$I$19*(847/(847+860))</f>
        <v>246.1113064</v>
      </c>
      <c r="U6" s="33">
        <f t="shared" si="5"/>
        <v>0.7843967529</v>
      </c>
      <c r="V6" s="33">
        <v>1.92</v>
      </c>
      <c r="W6" s="33">
        <v>0.06</v>
      </c>
      <c r="X6" s="42">
        <f>$I$19*(860/(847+860))</f>
        <v>249.8886936</v>
      </c>
      <c r="Y6" s="33">
        <f t="shared" si="6"/>
        <v>0.9484720855</v>
      </c>
    </row>
    <row r="17">
      <c r="B17" s="14" t="s">
        <v>329</v>
      </c>
      <c r="C17" s="13"/>
      <c r="D17" s="13"/>
      <c r="E17" s="14" t="s">
        <v>330</v>
      </c>
      <c r="F17" s="13"/>
      <c r="G17" s="13"/>
      <c r="H17" s="14" t="s">
        <v>131</v>
      </c>
      <c r="I17" s="13"/>
      <c r="J17" s="13"/>
      <c r="K17" s="13"/>
    </row>
    <row r="18">
      <c r="B18" s="18" t="s">
        <v>301</v>
      </c>
      <c r="C18" s="18" t="s">
        <v>302</v>
      </c>
      <c r="D18" s="18" t="s">
        <v>303</v>
      </c>
      <c r="E18" s="18" t="s">
        <v>305</v>
      </c>
      <c r="F18" s="18" t="s">
        <v>306</v>
      </c>
      <c r="G18" s="18" t="s">
        <v>307</v>
      </c>
      <c r="H18" s="18" t="s">
        <v>308</v>
      </c>
      <c r="I18" s="18" t="s">
        <v>309</v>
      </c>
      <c r="J18" s="18" t="s">
        <v>310</v>
      </c>
      <c r="K18" s="18" t="s">
        <v>311</v>
      </c>
    </row>
    <row r="19">
      <c r="A19" s="92" t="s">
        <v>200</v>
      </c>
      <c r="B19" s="92">
        <v>551.0</v>
      </c>
      <c r="C19" s="92">
        <f>(R4*T4+V4*X4)/(T4+X4)</f>
        <v>1.776637376</v>
      </c>
      <c r="D19" s="42">
        <f>SQRT(((T4-1)*U4^2+(X4-1)*Y4^2)/(T4+X4-2))</f>
        <v>0.5881040802</v>
      </c>
      <c r="E19" s="92">
        <v>495.0</v>
      </c>
      <c r="F19" s="92">
        <f>(R5*T5+V5*X5)/(T5+X5)</f>
        <v>1.691218512</v>
      </c>
      <c r="G19" s="92">
        <f>SQRT(((T5-1)*U5^2+(X5-1)*Y5^2)/(T5+X5-2))</f>
        <v>0.8700554807</v>
      </c>
      <c r="H19" s="33">
        <v>7.0</v>
      </c>
      <c r="I19" s="92">
        <v>496.0</v>
      </c>
      <c r="J19" s="42">
        <f>(R6*T6+V6*X6)/(T6+X6)</f>
        <v>1.711599297</v>
      </c>
      <c r="K19" s="42">
        <f>SQRT(((T6-1)*U6^2+(X6-1)*Y6^2)/(T6+X6-2))</f>
        <v>0.8709338761</v>
      </c>
    </row>
    <row r="20">
      <c r="A20" s="92" t="s">
        <v>201</v>
      </c>
      <c r="B20" s="92">
        <v>729.0</v>
      </c>
      <c r="C20" s="42">
        <f>(J4*L4+N4*P4)/(L4+P4)</f>
        <v>1.811751611</v>
      </c>
      <c r="D20" s="92">
        <f>SQRT(((L4-1)*M4^2+(P4-1)*Q4^2)/(L4+P4-2))</f>
        <v>0.676459398</v>
      </c>
      <c r="E20" s="92">
        <v>683.0</v>
      </c>
      <c r="F20" s="92">
        <f>(J5*L5+N5*P5)/(L5+P5)</f>
        <v>1.691218512</v>
      </c>
      <c r="G20" s="92">
        <f>SQRT(((L5-1)*M5^2+(P5-1)*Q5^2)/(L5+P5-2))</f>
        <v>0.8381287761</v>
      </c>
      <c r="H20" s="33">
        <v>7.0</v>
      </c>
      <c r="I20" s="92">
        <v>599.0</v>
      </c>
      <c r="J20" s="42">
        <f>(J6*L6+N6*P6)/(L6+P6)</f>
        <v>1.871446983</v>
      </c>
      <c r="K20" s="42">
        <f>SQRT(((L6-1)*M6^2+(P6-1)*Q6^2)/(L6+P6-2))</f>
        <v>0.9571004927</v>
      </c>
    </row>
    <row r="21">
      <c r="A21" s="92" t="s">
        <v>170</v>
      </c>
      <c r="B21" s="92">
        <v>427.0</v>
      </c>
      <c r="C21" s="42">
        <f>(B4*D4+F4*H4)/(D4+H4)</f>
        <v>1.771370826</v>
      </c>
      <c r="D21" s="92">
        <f>SQRT(((D4-1)*E4^2+(H4-1)*I4^2)/(D4+H4-2))</f>
        <v>0.7306032457</v>
      </c>
      <c r="E21" s="92">
        <v>345.0</v>
      </c>
      <c r="F21" s="92">
        <f>(B5*D5+F5*H5)/(D5+H5)</f>
        <v>1.806256591</v>
      </c>
      <c r="G21" s="92">
        <f>SQRT(((D5-1)*E5^2+(H5-1)*I5^2)/(D5+H5-2))</f>
        <v>0.9862583583</v>
      </c>
      <c r="H21" s="33">
        <v>7.0</v>
      </c>
      <c r="I21" s="92">
        <v>306.0</v>
      </c>
      <c r="J21" s="42">
        <f>(B6*D6+F6*H6)/(D6+H6)</f>
        <v>1.776408905</v>
      </c>
      <c r="K21" s="42">
        <f>SQRT(((D6-1)*E6^2+(H6-1)*I6^2)/(D6+H6-2))</f>
        <v>0.9895742348</v>
      </c>
    </row>
  </sheetData>
  <mergeCells count="12">
    <mergeCell ref="R2:U2"/>
    <mergeCell ref="V2:Y2"/>
    <mergeCell ref="B17:D17"/>
    <mergeCell ref="E17:G17"/>
    <mergeCell ref="H17:K17"/>
    <mergeCell ref="B1:I1"/>
    <mergeCell ref="J1:Q1"/>
    <mergeCell ref="R1:Y1"/>
    <mergeCell ref="B2:E2"/>
    <mergeCell ref="F2:I2"/>
    <mergeCell ref="J2:M2"/>
    <mergeCell ref="N2:Q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331</v>
      </c>
      <c r="C1" s="33"/>
      <c r="D1" s="33"/>
      <c r="E1" s="33"/>
      <c r="F1" s="33"/>
      <c r="G1" s="33"/>
      <c r="H1" s="33"/>
      <c r="I1" s="33"/>
      <c r="J1" s="33" t="s">
        <v>332</v>
      </c>
      <c r="R1" s="33" t="s">
        <v>333</v>
      </c>
    </row>
    <row r="2">
      <c r="A2" s="33"/>
      <c r="B2" s="33" t="s">
        <v>334</v>
      </c>
      <c r="F2" s="33" t="s">
        <v>335</v>
      </c>
      <c r="J2" s="33" t="s">
        <v>334</v>
      </c>
      <c r="N2" s="33" t="s">
        <v>335</v>
      </c>
      <c r="R2" s="33" t="s">
        <v>334</v>
      </c>
      <c r="V2" s="33" t="s">
        <v>335</v>
      </c>
    </row>
    <row r="3">
      <c r="B3" s="33" t="s">
        <v>85</v>
      </c>
      <c r="C3" s="33" t="s">
        <v>326</v>
      </c>
      <c r="D3" s="33" t="s">
        <v>327</v>
      </c>
      <c r="E3" s="33" t="s">
        <v>328</v>
      </c>
      <c r="F3" s="33" t="s">
        <v>85</v>
      </c>
      <c r="G3" s="33" t="s">
        <v>326</v>
      </c>
      <c r="H3" s="33" t="s">
        <v>327</v>
      </c>
      <c r="I3" s="33" t="s">
        <v>328</v>
      </c>
      <c r="J3" s="33" t="s">
        <v>85</v>
      </c>
      <c r="K3" s="33" t="s">
        <v>326</v>
      </c>
      <c r="L3" s="33" t="s">
        <v>327</v>
      </c>
      <c r="M3" s="33" t="s">
        <v>328</v>
      </c>
      <c r="N3" s="33" t="s">
        <v>85</v>
      </c>
      <c r="O3" s="33" t="s">
        <v>326</v>
      </c>
      <c r="P3" s="33" t="s">
        <v>327</v>
      </c>
      <c r="Q3" s="33" t="s">
        <v>328</v>
      </c>
      <c r="R3" s="33" t="s">
        <v>85</v>
      </c>
      <c r="S3" s="33" t="s">
        <v>326</v>
      </c>
      <c r="T3" s="33" t="s">
        <v>327</v>
      </c>
      <c r="U3" s="33" t="s">
        <v>328</v>
      </c>
      <c r="V3" s="33" t="s">
        <v>85</v>
      </c>
      <c r="W3" s="33" t="s">
        <v>326</v>
      </c>
      <c r="X3" s="33" t="s">
        <v>327</v>
      </c>
      <c r="Y3" s="33" t="s">
        <v>328</v>
      </c>
    </row>
    <row r="4">
      <c r="A4" s="33" t="s">
        <v>336</v>
      </c>
      <c r="B4" s="33">
        <v>0.34</v>
      </c>
      <c r="C4" s="33">
        <v>0.02</v>
      </c>
      <c r="D4" s="42">
        <f t="shared" ref="D4:D6" si="1">$B19*(242/345)</f>
        <v>84.87536232</v>
      </c>
      <c r="E4" s="33">
        <f t="shared" ref="E4:E6" si="2">C4*sqrt(D4)</f>
        <v>0.184255651</v>
      </c>
      <c r="F4" s="33">
        <v>0.3</v>
      </c>
      <c r="G4" s="33">
        <v>0.03</v>
      </c>
      <c r="H4" s="42">
        <f t="shared" ref="H4:H6" si="3">$B19*(103/345)</f>
        <v>36.12463768</v>
      </c>
      <c r="I4" s="33">
        <f t="shared" ref="I4:I6" si="4">G4*sqrt(H4)</f>
        <v>0.180311325</v>
      </c>
      <c r="J4" s="33">
        <v>0.29</v>
      </c>
      <c r="K4" s="33">
        <v>0.02</v>
      </c>
      <c r="L4" s="42">
        <f t="shared" ref="L4:L6" si="5">$F19*(242/345)</f>
        <v>86.97971014</v>
      </c>
      <c r="M4" s="33">
        <f t="shared" ref="M4:M6" si="6">K4*sqrt(L4)</f>
        <v>0.1865258268</v>
      </c>
      <c r="N4" s="33">
        <v>0.3</v>
      </c>
      <c r="O4" s="33">
        <v>0.03</v>
      </c>
      <c r="P4" s="42">
        <f t="shared" ref="P4:P6" si="7">$F19*(103/345)</f>
        <v>37.02028986</v>
      </c>
      <c r="Q4" s="33">
        <f t="shared" ref="Q4:Q6" si="8">O4*sqrt(P4)</f>
        <v>0.1825329035</v>
      </c>
      <c r="R4" s="33">
        <v>0.31</v>
      </c>
      <c r="S4" s="33">
        <v>0.02</v>
      </c>
      <c r="T4" s="42">
        <f t="shared" ref="T4:T6" si="9">$J19*(242/345)</f>
        <v>75.05507246</v>
      </c>
      <c r="U4" s="33">
        <f t="shared" ref="U4:U6" si="10">S4*sqrt(T4)</f>
        <v>0.1732686613</v>
      </c>
      <c r="V4" s="33">
        <v>0.31</v>
      </c>
      <c r="W4" s="33">
        <v>0.03</v>
      </c>
      <c r="X4" s="42">
        <f t="shared" ref="X4:X6" si="11">$J19*(103/345)</f>
        <v>31.94492754</v>
      </c>
      <c r="Y4" s="33">
        <f t="shared" ref="Y4:Y6" si="12">W4*sqrt(X4)</f>
        <v>0.1695595317</v>
      </c>
    </row>
    <row r="5">
      <c r="A5" s="33" t="s">
        <v>337</v>
      </c>
      <c r="B5" s="33">
        <v>0.3</v>
      </c>
      <c r="C5" s="33">
        <v>0.02</v>
      </c>
      <c r="D5" s="42">
        <f t="shared" si="1"/>
        <v>67.33913043</v>
      </c>
      <c r="E5" s="33">
        <f t="shared" si="2"/>
        <v>0.1641208463</v>
      </c>
      <c r="F5" s="33">
        <v>0.31</v>
      </c>
      <c r="G5" s="33">
        <v>0.03</v>
      </c>
      <c r="H5" s="42">
        <f t="shared" si="3"/>
        <v>28.66086957</v>
      </c>
      <c r="I5" s="33">
        <f t="shared" si="4"/>
        <v>0.1606075422</v>
      </c>
      <c r="J5" s="33">
        <v>0.26</v>
      </c>
      <c r="K5" s="33">
        <v>0.02</v>
      </c>
      <c r="L5" s="42">
        <f t="shared" si="5"/>
        <v>67.33913043</v>
      </c>
      <c r="M5" s="33">
        <f t="shared" si="6"/>
        <v>0.1641208463</v>
      </c>
      <c r="N5" s="33">
        <v>0.33</v>
      </c>
      <c r="O5" s="33">
        <v>0.03</v>
      </c>
      <c r="P5" s="42">
        <f t="shared" si="7"/>
        <v>28.66086957</v>
      </c>
      <c r="Q5" s="33">
        <f t="shared" si="8"/>
        <v>0.1606075422</v>
      </c>
      <c r="R5" s="33">
        <v>0.31</v>
      </c>
      <c r="S5" s="33">
        <v>0.02</v>
      </c>
      <c r="T5" s="42">
        <f t="shared" si="9"/>
        <v>67.33913043</v>
      </c>
      <c r="U5" s="33">
        <f t="shared" si="10"/>
        <v>0.1641208463</v>
      </c>
      <c r="V5" s="33">
        <v>0.33</v>
      </c>
      <c r="W5" s="33">
        <v>0.03</v>
      </c>
      <c r="X5" s="42">
        <f t="shared" si="11"/>
        <v>28.66086957</v>
      </c>
      <c r="Y5" s="33">
        <f t="shared" si="12"/>
        <v>0.1606075422</v>
      </c>
    </row>
    <row r="6">
      <c r="A6" s="33" t="s">
        <v>338</v>
      </c>
      <c r="B6" s="33">
        <v>0.28</v>
      </c>
      <c r="C6" s="33">
        <v>0.02</v>
      </c>
      <c r="D6" s="42">
        <f t="shared" si="1"/>
        <v>58.22028986</v>
      </c>
      <c r="E6" s="33">
        <f t="shared" si="2"/>
        <v>0.1526044427</v>
      </c>
      <c r="F6" s="33">
        <v>0.36</v>
      </c>
      <c r="G6" s="33">
        <v>0.03</v>
      </c>
      <c r="H6" s="42">
        <f t="shared" si="3"/>
        <v>24.77971014</v>
      </c>
      <c r="I6" s="33">
        <f t="shared" si="4"/>
        <v>0.1493376682</v>
      </c>
      <c r="J6" s="33">
        <v>0.26</v>
      </c>
      <c r="K6" s="33">
        <v>0.02</v>
      </c>
      <c r="L6" s="42">
        <f t="shared" si="5"/>
        <v>63.83188406</v>
      </c>
      <c r="M6" s="33">
        <f t="shared" si="6"/>
        <v>0.1597897169</v>
      </c>
      <c r="N6" s="33">
        <v>0.32</v>
      </c>
      <c r="O6" s="33">
        <v>0.03</v>
      </c>
      <c r="P6" s="42">
        <f t="shared" si="7"/>
        <v>27.16811594</v>
      </c>
      <c r="Q6" s="33">
        <f t="shared" si="8"/>
        <v>0.1563691285</v>
      </c>
      <c r="R6" s="33">
        <v>0.26</v>
      </c>
      <c r="S6" s="33">
        <v>0.02</v>
      </c>
      <c r="T6" s="42">
        <f t="shared" si="9"/>
        <v>56.8173913</v>
      </c>
      <c r="U6" s="33">
        <f t="shared" si="10"/>
        <v>0.1507546236</v>
      </c>
      <c r="V6" s="33">
        <v>0.36</v>
      </c>
      <c r="W6" s="33">
        <v>0.03</v>
      </c>
      <c r="X6" s="42">
        <f t="shared" si="11"/>
        <v>24.1826087</v>
      </c>
      <c r="Y6" s="33">
        <f t="shared" si="12"/>
        <v>0.1475274477</v>
      </c>
    </row>
    <row r="17">
      <c r="B17" s="14" t="s">
        <v>37</v>
      </c>
      <c r="C17" s="13"/>
      <c r="D17" s="13"/>
      <c r="E17" s="14" t="s">
        <v>38</v>
      </c>
      <c r="F17" s="13"/>
      <c r="G17" s="13"/>
      <c r="H17" s="13"/>
      <c r="I17" s="14" t="s">
        <v>39</v>
      </c>
      <c r="J17" s="13"/>
      <c r="K17" s="13"/>
      <c r="L17" s="13"/>
    </row>
    <row r="18">
      <c r="B18" s="18" t="s">
        <v>301</v>
      </c>
      <c r="C18" s="18" t="s">
        <v>302</v>
      </c>
      <c r="D18" s="18" t="s">
        <v>303</v>
      </c>
      <c r="E18" s="18" t="s">
        <v>304</v>
      </c>
      <c r="F18" s="18" t="s">
        <v>305</v>
      </c>
      <c r="G18" s="18" t="s">
        <v>306</v>
      </c>
      <c r="H18" s="18" t="s">
        <v>307</v>
      </c>
      <c r="I18" s="18" t="s">
        <v>308</v>
      </c>
      <c r="J18" s="18" t="s">
        <v>309</v>
      </c>
      <c r="K18" s="18" t="s">
        <v>310</v>
      </c>
      <c r="L18" s="18" t="s">
        <v>311</v>
      </c>
    </row>
    <row r="19">
      <c r="A19" s="92" t="s">
        <v>194</v>
      </c>
      <c r="B19" s="33">
        <v>121.0</v>
      </c>
      <c r="C19" s="42">
        <f t="shared" ref="C19:C20" si="13">(B5*D5+F5*H5)/(D5+H5)</f>
        <v>0.3029855072</v>
      </c>
      <c r="D19" s="42">
        <f t="shared" ref="D19:D21" si="14">SQRT(((D4-1)*E4^2+(H4-1)*I4^2)/(D4+H4-2))</f>
        <v>0.1831002626</v>
      </c>
      <c r="E19" s="33">
        <v>4.0</v>
      </c>
      <c r="F19" s="33">
        <v>124.0</v>
      </c>
      <c r="G19" s="42">
        <f t="shared" ref="G19:G21" si="15">(J4*L4+N4*P4)/(L4+P4)</f>
        <v>0.2929855072</v>
      </c>
      <c r="H19" s="42">
        <f t="shared" ref="H19:H21" si="16">SQRT(((L4-1)*M4^2+(P4-1)*Q4^2)/(L4+P4-2))</f>
        <v>0.1853558722</v>
      </c>
      <c r="I19" s="33">
        <v>26.0</v>
      </c>
      <c r="J19" s="33">
        <v>107.0</v>
      </c>
      <c r="K19" s="42">
        <f t="shared" ref="K19:K21" si="17">(R4*T4+V4*X4)/(T4+X4)</f>
        <v>0.31</v>
      </c>
      <c r="L19" s="42">
        <f t="shared" ref="L19:L21" si="18">SQRT(((T4-1)*U4^2+(X4-1)*Y4^2)/(T4+X4-2))</f>
        <v>0.1721838346</v>
      </c>
    </row>
    <row r="20">
      <c r="A20" s="92" t="s">
        <v>195</v>
      </c>
      <c r="B20" s="33">
        <v>96.0</v>
      </c>
      <c r="C20" s="42">
        <f t="shared" si="13"/>
        <v>0.303884058</v>
      </c>
      <c r="D20" s="42">
        <f t="shared" si="14"/>
        <v>0.1630948641</v>
      </c>
      <c r="E20" s="33">
        <v>4.0</v>
      </c>
      <c r="F20" s="33">
        <v>96.0</v>
      </c>
      <c r="G20" s="42">
        <f t="shared" si="15"/>
        <v>0.2808985507</v>
      </c>
      <c r="H20" s="42">
        <f t="shared" si="16"/>
        <v>0.1630948641</v>
      </c>
      <c r="I20" s="33">
        <v>26.0</v>
      </c>
      <c r="J20" s="33">
        <v>96.0</v>
      </c>
      <c r="K20" s="42">
        <f t="shared" si="17"/>
        <v>0.3159710145</v>
      </c>
      <c r="L20" s="42">
        <f t="shared" si="18"/>
        <v>0.1630948641</v>
      </c>
    </row>
    <row r="21">
      <c r="A21" s="92" t="s">
        <v>170</v>
      </c>
      <c r="B21" s="33">
        <v>83.0</v>
      </c>
      <c r="C21" s="42">
        <f>(B4*D4+F4*H4)/(D4+H4)</f>
        <v>0.328057971</v>
      </c>
      <c r="D21" s="42">
        <f t="shared" si="14"/>
        <v>0.1516526911</v>
      </c>
      <c r="E21" s="33">
        <v>4.0</v>
      </c>
      <c r="F21" s="33">
        <v>91.0</v>
      </c>
      <c r="G21" s="42">
        <f t="shared" si="15"/>
        <v>0.2779130435</v>
      </c>
      <c r="H21" s="42">
        <f t="shared" si="16"/>
        <v>0.1587916302</v>
      </c>
      <c r="I21" s="33">
        <v>26.0</v>
      </c>
      <c r="J21" s="33">
        <v>81.0</v>
      </c>
      <c r="K21" s="42">
        <f t="shared" si="17"/>
        <v>0.2898550725</v>
      </c>
      <c r="L21" s="42">
        <f t="shared" si="18"/>
        <v>0.1498148133</v>
      </c>
    </row>
  </sheetData>
  <mergeCells count="11">
    <mergeCell ref="B2:E2"/>
    <mergeCell ref="B17:D17"/>
    <mergeCell ref="E17:H17"/>
    <mergeCell ref="I17:L17"/>
    <mergeCell ref="J1:Q1"/>
    <mergeCell ref="R1:Y1"/>
    <mergeCell ref="F2:I2"/>
    <mergeCell ref="J2:M2"/>
    <mergeCell ref="N2:Q2"/>
    <mergeCell ref="R2:U2"/>
    <mergeCell ref="V2:Y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331</v>
      </c>
      <c r="J1" s="33" t="s">
        <v>339</v>
      </c>
      <c r="R1" s="33" t="s">
        <v>340</v>
      </c>
    </row>
    <row r="2">
      <c r="A2" s="33"/>
      <c r="B2" s="33" t="s">
        <v>169</v>
      </c>
      <c r="F2" s="33" t="s">
        <v>170</v>
      </c>
      <c r="J2" s="33" t="s">
        <v>169</v>
      </c>
      <c r="N2" s="33" t="s">
        <v>170</v>
      </c>
      <c r="R2" s="33" t="s">
        <v>169</v>
      </c>
      <c r="V2" s="33" t="s">
        <v>170</v>
      </c>
    </row>
    <row r="3">
      <c r="B3" s="33" t="s">
        <v>85</v>
      </c>
      <c r="C3" s="33" t="s">
        <v>326</v>
      </c>
      <c r="D3" s="33" t="s">
        <v>327</v>
      </c>
      <c r="E3" s="33" t="s">
        <v>328</v>
      </c>
      <c r="F3" s="33" t="s">
        <v>85</v>
      </c>
      <c r="G3" s="33" t="s">
        <v>326</v>
      </c>
      <c r="H3" s="33" t="s">
        <v>327</v>
      </c>
      <c r="I3" s="33" t="s">
        <v>328</v>
      </c>
      <c r="J3" s="33" t="s">
        <v>85</v>
      </c>
      <c r="K3" s="33" t="s">
        <v>326</v>
      </c>
      <c r="L3" s="33" t="s">
        <v>327</v>
      </c>
      <c r="M3" s="33" t="s">
        <v>328</v>
      </c>
      <c r="N3" s="33" t="s">
        <v>85</v>
      </c>
      <c r="O3" s="33" t="s">
        <v>326</v>
      </c>
      <c r="P3" s="33" t="s">
        <v>327</v>
      </c>
      <c r="Q3" s="33" t="s">
        <v>328</v>
      </c>
      <c r="R3" s="33" t="s">
        <v>85</v>
      </c>
      <c r="S3" s="33" t="s">
        <v>326</v>
      </c>
      <c r="T3" s="33" t="s">
        <v>327</v>
      </c>
      <c r="U3" s="33" t="s">
        <v>328</v>
      </c>
      <c r="V3" s="33" t="s">
        <v>85</v>
      </c>
      <c r="W3" s="33" t="s">
        <v>326</v>
      </c>
      <c r="X3" s="33" t="s">
        <v>327</v>
      </c>
      <c r="Y3" s="33" t="s">
        <v>328</v>
      </c>
    </row>
    <row r="4">
      <c r="A4" s="33" t="s">
        <v>325</v>
      </c>
      <c r="B4" s="33">
        <v>0.44</v>
      </c>
      <c r="C4" s="33">
        <v>0.03</v>
      </c>
      <c r="D4" s="33">
        <v>109.0</v>
      </c>
      <c r="E4" s="33">
        <f t="shared" ref="E4:E5" si="1">C4*sqrt(D4)</f>
        <v>0.3132091953</v>
      </c>
      <c r="F4" s="33">
        <v>0.51</v>
      </c>
      <c r="G4" s="33">
        <v>0.03</v>
      </c>
      <c r="H4" s="33">
        <v>113.0</v>
      </c>
      <c r="I4" s="33">
        <f t="shared" ref="I4:I5" si="2">G4*sqrt(H4)</f>
        <v>0.3189043744</v>
      </c>
      <c r="J4" s="33">
        <v>0.45</v>
      </c>
      <c r="K4" s="33">
        <v>0.03</v>
      </c>
      <c r="L4" s="33">
        <v>108.0</v>
      </c>
      <c r="M4" s="33">
        <f t="shared" ref="M4:M5" si="3">K4*sqrt(L4)</f>
        <v>0.3117691454</v>
      </c>
      <c r="N4" s="33">
        <v>0.5</v>
      </c>
      <c r="O4" s="33">
        <v>0.03</v>
      </c>
      <c r="P4" s="33">
        <v>117.0</v>
      </c>
      <c r="Q4" s="33">
        <f t="shared" ref="Q4:Q5" si="4">O4*sqrt(P4)</f>
        <v>0.3244996148</v>
      </c>
      <c r="R4" s="33">
        <v>0.45</v>
      </c>
      <c r="S4" s="33">
        <v>0.04</v>
      </c>
      <c r="T4" s="33">
        <v>68.0</v>
      </c>
      <c r="U4" s="33">
        <f t="shared" ref="U4:U5" si="5">S4*sqrt(T4)</f>
        <v>0.32984845</v>
      </c>
      <c r="V4" s="33">
        <v>0.52</v>
      </c>
      <c r="W4" s="33">
        <v>0.04</v>
      </c>
      <c r="X4" s="33">
        <v>78.0</v>
      </c>
      <c r="Y4" s="33">
        <f t="shared" ref="Y4:Y5" si="6">W4*sqrt(X4)</f>
        <v>0.3532704347</v>
      </c>
    </row>
    <row r="5">
      <c r="A5" s="33" t="s">
        <v>324</v>
      </c>
      <c r="B5" s="33">
        <v>0.38</v>
      </c>
      <c r="C5" s="33">
        <v>0.03</v>
      </c>
      <c r="D5" s="33">
        <v>100.0</v>
      </c>
      <c r="E5" s="33">
        <f t="shared" si="1"/>
        <v>0.3</v>
      </c>
      <c r="F5" s="33">
        <v>0.43</v>
      </c>
      <c r="G5" s="33">
        <v>0.03</v>
      </c>
      <c r="H5" s="33">
        <v>109.0</v>
      </c>
      <c r="I5" s="33">
        <f t="shared" si="2"/>
        <v>0.3132091953</v>
      </c>
      <c r="J5" s="33">
        <v>0.39</v>
      </c>
      <c r="K5" s="33">
        <v>0.04</v>
      </c>
      <c r="L5" s="33">
        <v>92.0</v>
      </c>
      <c r="M5" s="33">
        <f t="shared" si="3"/>
        <v>0.3836665219</v>
      </c>
      <c r="N5" s="33">
        <v>0.39</v>
      </c>
      <c r="O5" s="33">
        <v>0.03</v>
      </c>
      <c r="P5" s="33">
        <v>126.0</v>
      </c>
      <c r="Q5" s="33">
        <f t="shared" si="4"/>
        <v>0.3367491648</v>
      </c>
      <c r="R5" s="33">
        <v>0.33</v>
      </c>
      <c r="S5" s="33">
        <v>0.05</v>
      </c>
      <c r="T5" s="33">
        <v>58.0</v>
      </c>
      <c r="U5" s="33">
        <f t="shared" si="5"/>
        <v>0.3807886553</v>
      </c>
      <c r="V5" s="33">
        <v>0.4</v>
      </c>
      <c r="W5" s="33">
        <v>0.05</v>
      </c>
      <c r="X5" s="33">
        <v>84.0</v>
      </c>
      <c r="Y5" s="33">
        <f t="shared" si="6"/>
        <v>0.4582575695</v>
      </c>
    </row>
    <row r="7">
      <c r="B7" s="14" t="s">
        <v>37</v>
      </c>
      <c r="C7" s="13"/>
      <c r="D7" s="13"/>
      <c r="E7" s="14" t="s">
        <v>38</v>
      </c>
      <c r="F7" s="13"/>
      <c r="G7" s="13"/>
      <c r="H7" s="13"/>
      <c r="I7" s="14" t="s">
        <v>39</v>
      </c>
      <c r="J7" s="13"/>
      <c r="K7" s="13"/>
      <c r="L7" s="13"/>
    </row>
    <row r="8">
      <c r="B8" s="18" t="s">
        <v>301</v>
      </c>
      <c r="C8" s="18" t="s">
        <v>302</v>
      </c>
      <c r="D8" s="18" t="s">
        <v>303</v>
      </c>
      <c r="E8" s="18" t="s">
        <v>304</v>
      </c>
      <c r="F8" s="18" t="s">
        <v>305</v>
      </c>
      <c r="G8" s="18" t="s">
        <v>306</v>
      </c>
      <c r="H8" s="18" t="s">
        <v>307</v>
      </c>
      <c r="I8" s="18" t="s">
        <v>308</v>
      </c>
      <c r="J8" s="18" t="s">
        <v>309</v>
      </c>
      <c r="K8" s="18" t="s">
        <v>310</v>
      </c>
      <c r="L8" s="18" t="s">
        <v>311</v>
      </c>
    </row>
    <row r="9">
      <c r="A9" s="33" t="s">
        <v>169</v>
      </c>
      <c r="B9" s="42">
        <f>D4+D5</f>
        <v>209</v>
      </c>
      <c r="C9" s="42">
        <f>(B4*D4+B5*D5)/B9</f>
        <v>0.411291866</v>
      </c>
      <c r="D9" s="42">
        <f>sqrt((E$4^2+E$5^2)/2)</f>
        <v>0.3066757245</v>
      </c>
      <c r="E9" s="33">
        <v>26.0</v>
      </c>
      <c r="F9" s="42">
        <f>L4+L5</f>
        <v>200</v>
      </c>
      <c r="G9" s="42">
        <f>(J4*L4+J5*L5)/F9</f>
        <v>0.4224</v>
      </c>
      <c r="H9" s="42">
        <f>sqrt((M$4^2+M$5^2)/2)</f>
        <v>0.3495711659</v>
      </c>
      <c r="I9" s="33">
        <v>130.0</v>
      </c>
      <c r="J9" s="42">
        <f>T4+T5</f>
        <v>126</v>
      </c>
      <c r="K9" s="42">
        <f>(R4*T4+R5*T5)/J9</f>
        <v>0.3947619048</v>
      </c>
      <c r="L9" s="42">
        <f>sqrt((U$4^2+U$5^2)/2)</f>
        <v>0.3562302626</v>
      </c>
    </row>
    <row r="10">
      <c r="A10" s="33" t="s">
        <v>170</v>
      </c>
      <c r="B10" s="42">
        <f>H4+H5</f>
        <v>222</v>
      </c>
      <c r="C10" s="42">
        <f>(F4*H4+F5*H5)/B10</f>
        <v>0.4707207207</v>
      </c>
      <c r="D10" s="42">
        <f>sqrt((I$4^2+I$5^2)/2)</f>
        <v>0.3160696126</v>
      </c>
      <c r="E10" s="33">
        <v>26.0</v>
      </c>
      <c r="F10" s="42">
        <f>P4+P5</f>
        <v>243</v>
      </c>
      <c r="G10" s="42">
        <f>(N4*P4+N5*P5)/F10</f>
        <v>0.442962963</v>
      </c>
      <c r="H10" s="42">
        <f>sqrt((Q$4^2+Q$5^2)/2)</f>
        <v>0.3306811153</v>
      </c>
      <c r="I10" s="33">
        <v>130.0</v>
      </c>
      <c r="J10" s="42">
        <f>X4+X5</f>
        <v>162</v>
      </c>
      <c r="K10" s="42">
        <f>(V4*X4+V5*X5)/J10</f>
        <v>0.4577777778</v>
      </c>
      <c r="L10" s="42">
        <f>sqrt((Y$4^2+Y$5^2)/2)</f>
        <v>0.4091454509</v>
      </c>
    </row>
  </sheetData>
  <mergeCells count="12">
    <mergeCell ref="R2:U2"/>
    <mergeCell ref="V2:Y2"/>
    <mergeCell ref="B7:D7"/>
    <mergeCell ref="E7:H7"/>
    <mergeCell ref="I7:L7"/>
    <mergeCell ref="B1:I1"/>
    <mergeCell ref="J1:Q1"/>
    <mergeCell ref="R1:Y1"/>
    <mergeCell ref="B2:E2"/>
    <mergeCell ref="F2:I2"/>
    <mergeCell ref="J2:M2"/>
    <mergeCell ref="N2:Q2"/>
  </mergeCells>
  <drawing r:id="rId1"/>
</worksheet>
</file>