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7935" activeTab="3"/>
  </bookViews>
  <sheets>
    <sheet name="Introduction" sheetId="5" r:id="rId1"/>
    <sheet name="Accounts descriiption" sheetId="2" r:id="rId2"/>
    <sheet name="Accounts" sheetId="1" r:id="rId3"/>
    <sheet name="TRIAL BALANCE" sheetId="3" r:id="rId4"/>
    <sheet name="SHARE PRICES" sheetId="4" r:id="rId5"/>
  </sheets>
  <calcPr calcId="145621" concurrentCalc="0"/>
</workbook>
</file>

<file path=xl/calcChain.xml><?xml version="1.0" encoding="utf-8"?>
<calcChain xmlns="http://schemas.openxmlformats.org/spreadsheetml/2006/main">
  <c r="H47" i="1" l="1"/>
  <c r="H38" i="1"/>
  <c r="H48" i="1"/>
  <c r="H84" i="1"/>
  <c r="H49" i="1"/>
  <c r="H50" i="1"/>
  <c r="H51" i="1"/>
  <c r="H53" i="1"/>
  <c r="H54" i="1"/>
  <c r="H108" i="1"/>
  <c r="H79" i="1"/>
  <c r="H116" i="1"/>
  <c r="H110" i="1"/>
  <c r="H65" i="1"/>
  <c r="H112" i="1"/>
  <c r="H66" i="1"/>
  <c r="H113" i="1"/>
  <c r="H78" i="1"/>
  <c r="H114" i="1"/>
  <c r="H80" i="1"/>
  <c r="H115" i="1"/>
  <c r="H118" i="1"/>
  <c r="H106" i="1"/>
  <c r="H120" i="1"/>
  <c r="H123" i="1"/>
  <c r="H126" i="1"/>
  <c r="I106" i="1"/>
  <c r="I38" i="1"/>
  <c r="I47" i="1"/>
  <c r="I48" i="1"/>
  <c r="H87" i="1"/>
  <c r="I84" i="1"/>
  <c r="I49" i="1"/>
  <c r="I50" i="1"/>
  <c r="H68" i="1"/>
  <c r="H70" i="1"/>
  <c r="I51" i="1"/>
  <c r="I53" i="1"/>
  <c r="I79" i="1"/>
  <c r="I116" i="1"/>
  <c r="I54" i="1"/>
  <c r="I108" i="1"/>
  <c r="I110" i="1"/>
  <c r="I65" i="1"/>
  <c r="I112" i="1"/>
  <c r="I66" i="1"/>
  <c r="I113" i="1"/>
  <c r="I78" i="1"/>
  <c r="I114" i="1"/>
  <c r="I80" i="1"/>
  <c r="I115" i="1"/>
  <c r="I118" i="1"/>
  <c r="I120" i="1"/>
  <c r="I123" i="1"/>
  <c r="I124" i="1"/>
  <c r="I126" i="1"/>
  <c r="J106" i="1"/>
  <c r="J38" i="1"/>
  <c r="J47" i="1"/>
  <c r="J48" i="1"/>
  <c r="I87" i="1"/>
  <c r="J84" i="1"/>
  <c r="J49" i="1"/>
  <c r="J50" i="1"/>
  <c r="I68" i="1"/>
  <c r="I70" i="1"/>
  <c r="J51" i="1"/>
  <c r="J53" i="1"/>
  <c r="J79" i="1"/>
  <c r="J116" i="1"/>
  <c r="J54" i="1"/>
  <c r="J108" i="1"/>
  <c r="J110" i="1"/>
  <c r="J65" i="1"/>
  <c r="J112" i="1"/>
  <c r="J66" i="1"/>
  <c r="J113" i="1"/>
  <c r="J78" i="1"/>
  <c r="J114" i="1"/>
  <c r="J80" i="1"/>
  <c r="J115" i="1"/>
  <c r="J118" i="1"/>
  <c r="J120" i="1"/>
  <c r="J123" i="1"/>
  <c r="J124" i="1"/>
  <c r="J126" i="1"/>
  <c r="K106" i="1"/>
  <c r="K47" i="1"/>
  <c r="K29" i="1"/>
  <c r="K31" i="1"/>
  <c r="K37" i="1"/>
  <c r="K38" i="1"/>
  <c r="K48" i="1"/>
  <c r="J87" i="1"/>
  <c r="K84" i="1"/>
  <c r="K49" i="1"/>
  <c r="K50" i="1"/>
  <c r="J68" i="1"/>
  <c r="J70" i="1"/>
  <c r="K51" i="1"/>
  <c r="K53" i="1"/>
  <c r="K79" i="1"/>
  <c r="K116" i="1"/>
  <c r="K54" i="1"/>
  <c r="K108" i="1"/>
  <c r="K110" i="1"/>
  <c r="K65" i="1"/>
  <c r="K112" i="1"/>
  <c r="K66" i="1"/>
  <c r="K113" i="1"/>
  <c r="K78" i="1"/>
  <c r="K114" i="1"/>
  <c r="K80" i="1"/>
  <c r="K115" i="1"/>
  <c r="K118" i="1"/>
  <c r="K120" i="1"/>
  <c r="K123" i="1"/>
  <c r="K124" i="1"/>
  <c r="K126" i="1"/>
  <c r="L106" i="1"/>
  <c r="L29" i="1"/>
  <c r="L31" i="1"/>
  <c r="L32" i="1"/>
  <c r="L33" i="1"/>
  <c r="L37" i="1"/>
  <c r="L38" i="1"/>
  <c r="L47" i="1"/>
  <c r="L48" i="1"/>
  <c r="K87" i="1"/>
  <c r="L84" i="1"/>
  <c r="L49" i="1"/>
  <c r="L50" i="1"/>
  <c r="K68" i="1"/>
  <c r="K70" i="1"/>
  <c r="L51" i="1"/>
  <c r="L53" i="1"/>
  <c r="L79" i="1"/>
  <c r="L116" i="1"/>
  <c r="L54" i="1"/>
  <c r="L108" i="1"/>
  <c r="L110" i="1"/>
  <c r="L65" i="1"/>
  <c r="L112" i="1"/>
  <c r="L66" i="1"/>
  <c r="L113" i="1"/>
  <c r="L78" i="1"/>
  <c r="L114" i="1"/>
  <c r="L80" i="1"/>
  <c r="L115" i="1"/>
  <c r="L118" i="1"/>
  <c r="L120" i="1"/>
  <c r="L123" i="1"/>
  <c r="L126" i="1"/>
  <c r="M106" i="1"/>
  <c r="M29" i="1"/>
  <c r="M31" i="1"/>
  <c r="M32" i="1"/>
  <c r="M33" i="1"/>
  <c r="M34" i="1"/>
  <c r="M35" i="1"/>
  <c r="M37" i="1"/>
  <c r="M38" i="1"/>
  <c r="M47" i="1"/>
  <c r="M48" i="1"/>
  <c r="L87" i="1"/>
  <c r="M84" i="1"/>
  <c r="M49" i="1"/>
  <c r="M50" i="1"/>
  <c r="L68" i="1"/>
  <c r="L70" i="1"/>
  <c r="M51" i="1"/>
  <c r="M53" i="1"/>
  <c r="M79" i="1"/>
  <c r="M116" i="1"/>
  <c r="M54" i="1"/>
  <c r="M108" i="1"/>
  <c r="M110" i="1"/>
  <c r="M65" i="1"/>
  <c r="M112" i="1"/>
  <c r="M66" i="1"/>
  <c r="M113" i="1"/>
  <c r="M78" i="1"/>
  <c r="M114" i="1"/>
  <c r="M80" i="1"/>
  <c r="M115" i="1"/>
  <c r="M118" i="1"/>
  <c r="M120" i="1"/>
  <c r="M123" i="1"/>
  <c r="M126" i="1"/>
  <c r="N106" i="1"/>
  <c r="N29" i="1"/>
  <c r="N31" i="1"/>
  <c r="N32" i="1"/>
  <c r="N33" i="1"/>
  <c r="N34" i="1"/>
  <c r="N35" i="1"/>
  <c r="N37" i="1"/>
  <c r="N38" i="1"/>
  <c r="N47" i="1"/>
  <c r="N48" i="1"/>
  <c r="M87" i="1"/>
  <c r="N84" i="1"/>
  <c r="N49" i="1"/>
  <c r="N50" i="1"/>
  <c r="M68" i="1"/>
  <c r="M70" i="1"/>
  <c r="N51" i="1"/>
  <c r="N53" i="1"/>
  <c r="N79" i="1"/>
  <c r="N116" i="1"/>
  <c r="N54" i="1"/>
  <c r="N108" i="1"/>
  <c r="N110" i="1"/>
  <c r="N65" i="1"/>
  <c r="N112" i="1"/>
  <c r="N66" i="1"/>
  <c r="N113" i="1"/>
  <c r="N78" i="1"/>
  <c r="N114" i="1"/>
  <c r="N80" i="1"/>
  <c r="N115" i="1"/>
  <c r="N118" i="1"/>
  <c r="N120" i="1"/>
  <c r="N123" i="1"/>
  <c r="N124" i="1"/>
  <c r="N126" i="1"/>
  <c r="O106" i="1"/>
  <c r="O29" i="1"/>
  <c r="O31" i="1"/>
  <c r="O32" i="1"/>
  <c r="O33" i="1"/>
  <c r="O34" i="1"/>
  <c r="O35" i="1"/>
  <c r="O37" i="1"/>
  <c r="O38" i="1"/>
  <c r="O47" i="1"/>
  <c r="O48" i="1"/>
  <c r="N87" i="1"/>
  <c r="O84" i="1"/>
  <c r="O49" i="1"/>
  <c r="O50" i="1"/>
  <c r="N68" i="1"/>
  <c r="N70" i="1"/>
  <c r="O51" i="1"/>
  <c r="O53" i="1"/>
  <c r="O79" i="1"/>
  <c r="O116" i="1"/>
  <c r="O54" i="1"/>
  <c r="O108" i="1"/>
  <c r="O110" i="1"/>
  <c r="O65" i="1"/>
  <c r="O112" i="1"/>
  <c r="O66" i="1"/>
  <c r="O113" i="1"/>
  <c r="O78" i="1"/>
  <c r="O114" i="1"/>
  <c r="O80" i="1"/>
  <c r="O115" i="1"/>
  <c r="O118" i="1"/>
  <c r="O120" i="1"/>
  <c r="O123" i="1"/>
  <c r="O124" i="1"/>
  <c r="O126" i="1"/>
  <c r="P126" i="1"/>
  <c r="P127" i="1"/>
  <c r="Q126" i="1"/>
  <c r="Q127" i="1"/>
  <c r="R126" i="1"/>
  <c r="R127" i="1"/>
  <c r="S126" i="1"/>
  <c r="S127" i="1"/>
  <c r="T126" i="1"/>
  <c r="T127" i="1"/>
  <c r="O137" i="1"/>
  <c r="O127" i="1"/>
  <c r="N138" i="1"/>
  <c r="N127" i="1"/>
  <c r="M138" i="1"/>
  <c r="M127" i="1"/>
  <c r="L138" i="1"/>
  <c r="L127" i="1"/>
  <c r="K138" i="1"/>
  <c r="K127" i="1"/>
  <c r="J138" i="1"/>
  <c r="J127" i="1"/>
  <c r="I138" i="1"/>
  <c r="I127" i="1"/>
  <c r="H138" i="1"/>
  <c r="O138" i="1"/>
  <c r="N137" i="1"/>
  <c r="L137" i="1"/>
  <c r="K137" i="1"/>
  <c r="J137" i="1"/>
  <c r="I137" i="1"/>
  <c r="H137" i="1"/>
  <c r="M137" i="1"/>
  <c r="O129" i="1"/>
  <c r="O64" i="1"/>
  <c r="O67" i="1"/>
  <c r="O68" i="1"/>
  <c r="O70" i="1"/>
  <c r="I71" i="1"/>
  <c r="J71" i="1"/>
  <c r="K71" i="1"/>
  <c r="L71" i="1"/>
  <c r="M71" i="1"/>
  <c r="N71" i="1"/>
  <c r="O71" i="1"/>
  <c r="O72" i="1"/>
  <c r="O75" i="1"/>
  <c r="O81" i="1"/>
  <c r="O87" i="1"/>
  <c r="H90" i="1"/>
  <c r="I90" i="1"/>
  <c r="J90" i="1"/>
  <c r="K90" i="1"/>
  <c r="L90" i="1"/>
  <c r="M90" i="1"/>
  <c r="N90" i="1"/>
  <c r="O90" i="1"/>
  <c r="H92" i="1"/>
  <c r="I92" i="1"/>
  <c r="J92" i="1"/>
  <c r="K92" i="1"/>
  <c r="L92" i="1"/>
  <c r="M92" i="1"/>
  <c r="N92" i="1"/>
  <c r="O92" i="1"/>
  <c r="O93" i="1"/>
  <c r="O95" i="1"/>
  <c r="O96" i="1"/>
  <c r="N64" i="1"/>
  <c r="N67" i="1"/>
  <c r="N72" i="1"/>
  <c r="N75" i="1"/>
  <c r="N81" i="1"/>
  <c r="N93" i="1"/>
  <c r="N95" i="1"/>
  <c r="N96" i="1"/>
  <c r="O97" i="1"/>
  <c r="O52" i="1"/>
  <c r="J29" i="1"/>
  <c r="H29" i="1"/>
  <c r="I29" i="1"/>
  <c r="G87" i="1"/>
  <c r="H129" i="1"/>
  <c r="G93" i="1"/>
  <c r="S88" i="1"/>
  <c r="G72" i="1"/>
  <c r="G67" i="1"/>
  <c r="G75" i="1"/>
  <c r="G95" i="1"/>
  <c r="H37" i="1"/>
  <c r="J37" i="1"/>
  <c r="I37" i="1"/>
  <c r="H71" i="1"/>
  <c r="H72" i="1"/>
  <c r="H52" i="1"/>
  <c r="I72" i="1"/>
  <c r="H81" i="1"/>
  <c r="I52" i="1"/>
  <c r="H93" i="1"/>
  <c r="H95" i="1"/>
  <c r="J72" i="1"/>
  <c r="J52" i="1"/>
  <c r="K52" i="1"/>
  <c r="K72" i="1"/>
  <c r="I93" i="1"/>
  <c r="J81" i="1"/>
  <c r="I81" i="1"/>
  <c r="I95" i="1"/>
  <c r="J93" i="1"/>
  <c r="L72" i="1"/>
  <c r="K81" i="1"/>
  <c r="L52" i="1"/>
  <c r="M72" i="1"/>
  <c r="J95" i="1"/>
  <c r="H64" i="1"/>
  <c r="H67" i="1"/>
  <c r="H75" i="1"/>
  <c r="H96" i="1"/>
  <c r="H97" i="1"/>
  <c r="M52" i="1"/>
  <c r="K93" i="1"/>
  <c r="K95" i="1"/>
  <c r="L93" i="1"/>
  <c r="I129" i="1"/>
  <c r="M81" i="1"/>
  <c r="L81" i="1"/>
  <c r="L95" i="1"/>
  <c r="I64" i="1"/>
  <c r="I67" i="1"/>
  <c r="I75" i="1"/>
  <c r="N52" i="1"/>
  <c r="M93" i="1"/>
  <c r="M95" i="1"/>
  <c r="J129" i="1"/>
  <c r="J64" i="1"/>
  <c r="J67" i="1"/>
  <c r="J75" i="1"/>
  <c r="I96" i="1"/>
  <c r="I97" i="1"/>
  <c r="K129" i="1"/>
  <c r="K64" i="1"/>
  <c r="K67" i="1"/>
  <c r="K75" i="1"/>
  <c r="J96" i="1"/>
  <c r="J97" i="1"/>
  <c r="L129" i="1"/>
  <c r="K96" i="1"/>
  <c r="K97" i="1"/>
  <c r="L64" i="1"/>
  <c r="L67" i="1"/>
  <c r="L75" i="1"/>
  <c r="M129" i="1"/>
  <c r="M64" i="1"/>
  <c r="M67" i="1"/>
  <c r="M75" i="1"/>
  <c r="M96" i="1"/>
  <c r="L96" i="1"/>
  <c r="L97" i="1"/>
  <c r="N129" i="1"/>
  <c r="M97" i="1"/>
  <c r="N97" i="1"/>
</calcChain>
</file>

<file path=xl/sharedStrings.xml><?xml version="1.0" encoding="utf-8"?>
<sst xmlns="http://schemas.openxmlformats.org/spreadsheetml/2006/main" count="418" uniqueCount="345">
  <si>
    <t>Profit &amp; Loss Account</t>
  </si>
  <si>
    <t>Period</t>
  </si>
  <si>
    <t>Revenue</t>
  </si>
  <si>
    <t>Total Revenue</t>
  </si>
  <si>
    <t>Cost of Sales</t>
  </si>
  <si>
    <t>Total Cost of Sales</t>
  </si>
  <si>
    <t>Total Gross Margin</t>
  </si>
  <si>
    <t>Marketing &amp; Sales</t>
  </si>
  <si>
    <t>Digital Marketing</t>
  </si>
  <si>
    <t>Issue</t>
  </si>
  <si>
    <t>Offering Suppport</t>
  </si>
  <si>
    <t>Product development</t>
  </si>
  <si>
    <t>Logistics &amp; IT</t>
  </si>
  <si>
    <t>Contingent  costs</t>
  </si>
  <si>
    <t>includes acquisition integration costs</t>
  </si>
  <si>
    <t>Adminstration</t>
  </si>
  <si>
    <t>Correct the formula</t>
  </si>
  <si>
    <t>Total Overhead Costs</t>
  </si>
  <si>
    <t>Net Margin before Interest, depn &amp; Tax</t>
  </si>
  <si>
    <t>Interest Charges</t>
  </si>
  <si>
    <t>Net Margin before depreciation &amp; tax</t>
  </si>
  <si>
    <t>Depreciation</t>
  </si>
  <si>
    <t>Taxable income</t>
  </si>
  <si>
    <t>Taxation</t>
  </si>
  <si>
    <t>Net income after depreciation and taxes</t>
  </si>
  <si>
    <t>Balance Sheet</t>
  </si>
  <si>
    <t xml:space="preserve">At the end of </t>
  </si>
  <si>
    <t xml:space="preserve">Period </t>
  </si>
  <si>
    <t>Starting</t>
  </si>
  <si>
    <t>Investment</t>
  </si>
  <si>
    <t>the balance sheet shows</t>
  </si>
  <si>
    <t>Current Assets</t>
  </si>
  <si>
    <t>Cash on hand</t>
  </si>
  <si>
    <t>Total Current Assets</t>
  </si>
  <si>
    <t>Fixed Assets</t>
  </si>
  <si>
    <t>Purchases of fixed assets(+goodwill)</t>
  </si>
  <si>
    <t xml:space="preserve">Gross fixed assets </t>
  </si>
  <si>
    <t>Accumulated Depreciation</t>
  </si>
  <si>
    <t>Net Fixed Assets</t>
  </si>
  <si>
    <t>Total Assets</t>
  </si>
  <si>
    <t>Current Liabilities</t>
  </si>
  <si>
    <t>Taxes Payable</t>
  </si>
  <si>
    <t>Dividends payable</t>
  </si>
  <si>
    <t>Total Current Liabilities</t>
  </si>
  <si>
    <t>cash component</t>
  </si>
  <si>
    <t># shares</t>
  </si>
  <si>
    <t>Value of share</t>
  </si>
  <si>
    <t>offer</t>
  </si>
  <si>
    <t>Equity</t>
  </si>
  <si>
    <t>Shareholder Equity</t>
  </si>
  <si>
    <t>Retained Earnings</t>
  </si>
  <si>
    <t>Total Equity</t>
  </si>
  <si>
    <t>Total Liabilities</t>
  </si>
  <si>
    <t>Balance</t>
  </si>
  <si>
    <t>Note: dividends are a % of the prior year's net profits</t>
  </si>
  <si>
    <t>They are paid in the next period and deducted from cash in that period.</t>
  </si>
  <si>
    <t>Cash Flow</t>
  </si>
  <si>
    <t>They are rcorded but not counted in the cashfow</t>
  </si>
  <si>
    <t xml:space="preserve">During </t>
  </si>
  <si>
    <t>Then everything balances</t>
  </si>
  <si>
    <t>I now need to fix the 'finance' button the allow for the cash going out and I need to allow them to fix the percent of prior year's sales to calculate it</t>
  </si>
  <si>
    <t>This will be a difficulty but I don't quite know Why</t>
  </si>
  <si>
    <t>Cash from Operations</t>
  </si>
  <si>
    <t>Add back:</t>
  </si>
  <si>
    <t>Change in tax payable</t>
  </si>
  <si>
    <t>Net cash flow from operations</t>
  </si>
  <si>
    <t>Purchases or sales of fixed assets</t>
  </si>
  <si>
    <t>Financing</t>
  </si>
  <si>
    <t>Extra Debt raised</t>
  </si>
  <si>
    <t xml:space="preserve">New Internal investments </t>
  </si>
  <si>
    <t>Closing cash position after internal investments</t>
  </si>
  <si>
    <t>Trial balance =</t>
  </si>
  <si>
    <t>INCOME SUMMARY</t>
  </si>
  <si>
    <t>Overheads</t>
  </si>
  <si>
    <t>Net Income from Operations</t>
  </si>
  <si>
    <t>Add: Long Tail Income</t>
  </si>
  <si>
    <t>CASH SUMMARY</t>
  </si>
  <si>
    <t>Opening cash</t>
  </si>
  <si>
    <t>Net Cash generated by operations</t>
  </si>
  <si>
    <t>Cash Profit after interest &amp; taxes</t>
  </si>
  <si>
    <t>Cash released/absorbed by Working Capital</t>
  </si>
  <si>
    <t>Fixed asset purchases and sales</t>
  </si>
  <si>
    <t>Additional financing</t>
  </si>
  <si>
    <t>Closing Cash</t>
  </si>
  <si>
    <t>Net Cash generated by Legacy Co. in period</t>
  </si>
  <si>
    <t>Investments in Group Companies</t>
  </si>
  <si>
    <t>Dividends Paid to Shareholders</t>
  </si>
  <si>
    <t>Trial Balance Available this Period</t>
  </si>
  <si>
    <t>Current Share Price</t>
  </si>
  <si>
    <t>Financial Ratios</t>
  </si>
  <si>
    <t>Return on Equity</t>
  </si>
  <si>
    <t>Return on Assets</t>
  </si>
  <si>
    <t>Working Capital Ratio</t>
  </si>
  <si>
    <t>Gross Margin %</t>
  </si>
  <si>
    <t>RoSales%</t>
  </si>
  <si>
    <t>Return on Net Assets</t>
  </si>
  <si>
    <t>Asset Turnover</t>
  </si>
  <si>
    <t>Sales revenue in dollars from each of 'n' markets = f(available market, market share calculator)</t>
  </si>
  <si>
    <t>the cost of creating the offering by product-market. In this game it is simplified as a percentage of the</t>
  </si>
  <si>
    <t xml:space="preserve">% cost of sales. </t>
  </si>
  <si>
    <t xml:space="preserve">adminstrator. Additionally, various ACTIONS selected and taken by the players may apply 'in game' increases or decreases to the </t>
  </si>
  <si>
    <t>= sum of cost of sales from all markets/procducts</t>
  </si>
  <si>
    <t>= Total Revenue minus total cost of sales</t>
  </si>
  <si>
    <t>= Total gross margin plus net long tail revenue</t>
  </si>
  <si>
    <t>Expenditure (Heading)</t>
  </si>
  <si>
    <t>the dollars in each of these lines are derived from the functions. Players budget expenditure to drive the business.</t>
  </si>
  <si>
    <t xml:space="preserve">In addition, there may be other costs defined withi the game that are dropped into these expense lines (e.g., costs of </t>
  </si>
  <si>
    <t xml:space="preserve">The 'functions are: </t>
  </si>
  <si>
    <t>integrating another company after it has been acquired)</t>
  </si>
  <si>
    <t>Additionally, all wages and salaries are captured by function and are accumulated in these lines in the accounts</t>
  </si>
  <si>
    <t>a grab-bag set up to capture any other costs in the game that do not fall under any specific function such as</t>
  </si>
  <si>
    <t>the costs of integrating a company acquisition</t>
  </si>
  <si>
    <t>= the sum of the above cost lines</t>
  </si>
  <si>
    <t>= grand total margin minus the total overhead costs</t>
  </si>
  <si>
    <t xml:space="preserve">the interest paid on debt. For this game the interest rate is arbitrariy fixed by and can be changed by the game  administrator. </t>
  </si>
  <si>
    <t>=net margin befor interest etc. minus the interest line</t>
  </si>
  <si>
    <t>the Adminstrator can change the rate</t>
  </si>
  <si>
    <t xml:space="preserve">=Net margin before depreciation and tax line) minus the depreciation line. </t>
  </si>
  <si>
    <t>=Taxable income minus tax</t>
  </si>
  <si>
    <t>THE PROFIT AND LOSS STATEMENT (ALSO CALLED THE INCOME STATEMENT)</t>
  </si>
  <si>
    <t>THE BALANCE SHEET</t>
  </si>
  <si>
    <t>The amount of money sitting in cash</t>
  </si>
  <si>
    <t xml:space="preserve">Accounts receivable </t>
  </si>
  <si>
    <t xml:space="preserve">Inventory </t>
  </si>
  <si>
    <t xml:space="preserve">this line records the purchases of fixed assets (land, equipment etc..) IN THE PERIOD. </t>
  </si>
  <si>
    <t>of the underlying assets. The numbers will be derived from the databases accompanying acquisitions inside the game</t>
  </si>
  <si>
    <t>= sum of purchases in the period and goodwill</t>
  </si>
  <si>
    <t>Additions to Goodwill</t>
  </si>
  <si>
    <t xml:space="preserve">= Gross fixed assets times the depreciation rate. The rate is fixed by the adminstrator and can be adjusted. The amount of </t>
  </si>
  <si>
    <t>depreciation in any period is subtracted from the gross fixed assets to get the net fixed asets. The amount is taken to the depreciation line in the profit and oss account.</t>
  </si>
  <si>
    <t>= gross fixed assets minus the depreciation</t>
  </si>
  <si>
    <t>=sum of cash on hand, accounts receivable, and inventory</t>
  </si>
  <si>
    <t>Net fixed assets</t>
  </si>
  <si>
    <t>=sum of total current assets and total fixed assets</t>
  </si>
  <si>
    <t>ASSETS</t>
  </si>
  <si>
    <t>LIABILITIES</t>
  </si>
  <si>
    <t>the amount owed by the company to suppliers. In this game it is simplified as a percentage of cost of sales The percent</t>
  </si>
  <si>
    <t>is fixed by the administrator and can be adjusted. This is a grand total for all markets</t>
  </si>
  <si>
    <t>is fixed by the administrator and can be adjusted. A grand toal is needed for all markets</t>
  </si>
  <si>
    <t xml:space="preserve">Supplier accounts payable </t>
  </si>
  <si>
    <t>Record of the taxes payable. In this game the firm may choose to delay paying their taxes for up to two periods (we will eventually need a bit of code to do that)</t>
  </si>
  <si>
    <t>This line will record the tax liability until it is paid. Delaying taxes effectively creates capital to grow the business.</t>
  </si>
  <si>
    <t>Customer Advance Payments</t>
  </si>
  <si>
    <t>Another way to get capital is to get the customer to pay in advance of delivery or even before the product is built.</t>
  </si>
  <si>
    <t xml:space="preserve">the amount of dollars is set as a percentage of sales. The percentage is set by the adminstrator and can be adjusted. </t>
  </si>
  <si>
    <t xml:space="preserve">In this game no dividends are paid as the business is wholly owned. However, I would like to create the line for future game versions. </t>
  </si>
  <si>
    <t>Dividends would be a percentage of the net income after taxes and depreciation. The firm would be able to delay payment each period so the dividend liability would accumulate here. The players would be able to select the percentage from a set of choices</t>
  </si>
  <si>
    <t>note: the dividend approach would affect the share price - to be defined later.</t>
  </si>
  <si>
    <t>Total current liabilities</t>
  </si>
  <si>
    <t>=sum of supplier accounts payable, taxes payable, customer advance payments, and dividends payable</t>
  </si>
  <si>
    <t xml:space="preserve">the interest rate will be fixed by the administrator and can be changed. </t>
  </si>
  <si>
    <t>the dollar interst is sent to the profit and loss account. Players would also be able to pay down the debt. This will lower the debt and the cash on hand.</t>
  </si>
  <si>
    <t>Treasury share transaction</t>
  </si>
  <si>
    <t>the original cash injection</t>
  </si>
  <si>
    <t>money raised by selling additional shares. This is important for acquisitions using shares</t>
  </si>
  <si>
    <t>the net income after taxes ad depreciation from the period and accumulated from period to period</t>
  </si>
  <si>
    <t>=sum of total current liabilities, long term debt, and shareholder equity</t>
  </si>
  <si>
    <t>NOTE: TOAL ASSETS AND TOTAL LIABILITIES MUST BE THE SAME - THEY MUST BALANCE. THIS IS A GREAT TEST THAT YOU HAVE BUILD THE ACCOUNTS CORRECTLY</t>
  </si>
  <si>
    <t>CASH FLOW</t>
  </si>
  <si>
    <t>CASH FLOW RECORDS HOW MONEY MOVED AROUND DURING THE PERIOD</t>
  </si>
  <si>
    <t>from the P&amp;L</t>
  </si>
  <si>
    <t>calculated by subtracting the accounts receivable at the start of the period from that at the end of the period</t>
  </si>
  <si>
    <t xml:space="preserve">Change in inventory </t>
  </si>
  <si>
    <t xml:space="preserve">Change in accounts receivable </t>
  </si>
  <si>
    <t>Change in Accounts Payable</t>
  </si>
  <si>
    <t>calculated by subtracting the inventoryat the start of the period from that at the end of the period</t>
  </si>
  <si>
    <t>calculated by subtracting the accounts payable at the start of the period from that at the end of the period</t>
  </si>
  <si>
    <t>calculated by subtracting the advance pyments at the start of the period from that at the end of the period</t>
  </si>
  <si>
    <t>calculated by subtracting the taxes owe  at the start of the period from that at the end of the period</t>
  </si>
  <si>
    <t>derived from changes in long term debt in the period</t>
  </si>
  <si>
    <t>deived from the change total shareholder equity in the period</t>
  </si>
  <si>
    <t>Niche 1</t>
  </si>
  <si>
    <t>Niche 2</t>
  </si>
  <si>
    <t>Niche 3</t>
  </si>
  <si>
    <t>Niche 4</t>
  </si>
  <si>
    <t>Niche 5</t>
  </si>
  <si>
    <t>REVENUE</t>
  </si>
  <si>
    <t xml:space="preserve">EXPENSES </t>
  </si>
  <si>
    <t>buy company?</t>
  </si>
  <si>
    <t>Change in total accounts receivable</t>
  </si>
  <si>
    <t>Customer total Advance Payments</t>
  </si>
  <si>
    <t xml:space="preserve">Change in total inventory </t>
  </si>
  <si>
    <t xml:space="preserve">Total supplier accounts payable </t>
  </si>
  <si>
    <t>Total Customer Advance Payments</t>
  </si>
  <si>
    <t>Internal long term debt</t>
  </si>
  <si>
    <t>IntraCompany Loans</t>
  </si>
  <si>
    <t>Total IntraCompany Long term Debt</t>
  </si>
  <si>
    <t>includes wages</t>
  </si>
  <si>
    <t>interest free internal debt</t>
  </si>
  <si>
    <t>Extra  internal Debt raised/repaid</t>
  </si>
  <si>
    <t xml:space="preserve">Change in total Supplier Accounts Payable </t>
  </si>
  <si>
    <t>Change in balance</t>
  </si>
  <si>
    <t>taxes dealt with at corporate level but allowed or charged here</t>
  </si>
  <si>
    <t>from functions and wages</t>
  </si>
  <si>
    <t>The following shifts in cash position happened DURING THE PERIOD</t>
  </si>
  <si>
    <t>Note: taxation is included though it would be dealt with a the corporate level</t>
  </si>
  <si>
    <t>No dividends as it is a wholly owned subsidiary</t>
  </si>
  <si>
    <t>depreciation is included</t>
  </si>
  <si>
    <t>No interest on intracompany loans</t>
  </si>
  <si>
    <t>ALL NUMBERS ARE EXAMPLES ONLY</t>
  </si>
  <si>
    <t>Income from Operations in:</t>
  </si>
  <si>
    <t>Note:</t>
  </si>
  <si>
    <t>Niches are sub-parts of the whole market</t>
  </si>
  <si>
    <t>NOTES</t>
  </si>
  <si>
    <t>Starting cash position</t>
  </si>
  <si>
    <t>Both these lines MUST BE AT ZERO</t>
  </si>
  <si>
    <t>2 period delay in paying taxation</t>
  </si>
  <si>
    <t>Note: the NewCo is consolidated into the main corporate accounts in Period 7 and disappears as an independent entity</t>
  </si>
  <si>
    <t xml:space="preserve">See the rules for 'secular growth' </t>
  </si>
  <si>
    <t>ADDITIONALLY, CAN BE CHANGED BY ACTIONS ETC.</t>
  </si>
  <si>
    <t>EBITDA: Earnings before Interest, taxation, depreciation and amortization</t>
  </si>
  <si>
    <t>Nominal Interest Charges on Intracompany debt</t>
  </si>
  <si>
    <t>EBDT: Earnings before depreciation &amp; tax</t>
  </si>
  <si>
    <t>Nominal Taxation</t>
  </si>
  <si>
    <t xml:space="preserve">Net income </t>
  </si>
  <si>
    <t>50,000 treasury shares @ $100 per share</t>
  </si>
  <si>
    <t>Treasury Share additions</t>
  </si>
  <si>
    <t>Extra intracompany debt raised/repaid in period</t>
  </si>
  <si>
    <t>%s FROM TABLE CAN DIFFER BY PERIOD</t>
  </si>
  <si>
    <t>This example illustrates the 'bowling ball' approach</t>
  </si>
  <si>
    <t>TEST</t>
  </si>
  <si>
    <t>The Accounts as described here are FOR THE NewCo GAME</t>
  </si>
  <si>
    <t xml:space="preserve">In this game the 'markets' will be segments of one large market. All the segments will be needed in periods 4, 5and 6. </t>
  </si>
  <si>
    <t>In period 6 a further amount of market is available depending on how successful you have been up to that date - TB discussed later</t>
  </si>
  <si>
    <t>= sum of revenue from all markets/niches</t>
  </si>
  <si>
    <t xml:space="preserve">revenue by market. E.g., cost of sales is 30% of the revenue.  The % is held in a database and can be changed by the </t>
  </si>
  <si>
    <t xml:space="preserve">Grand Total margin. </t>
  </si>
  <si>
    <t>money budgeted by players for traditional advertizing and sales promotion. Plus wages in the function</t>
  </si>
  <si>
    <t>money spent on social media and digital advertising. Plus wages in the function</t>
  </si>
  <si>
    <t>money spent on support services. Plus wages in the function</t>
  </si>
  <si>
    <t>money spent on running the product development depatment Plus wages in the function</t>
  </si>
  <si>
    <t>money spent on organizing the supply chain and managing the information technology of the whole company. Plus wages in the function</t>
  </si>
  <si>
    <t>money spent on administration, including the costs of hiring talent, and top management salaries. Plus wages in the function</t>
  </si>
  <si>
    <t>the depreciation paid on fixed assets. This number is derived from the total fixed assets (see below) at a rate fixed by the adminstrator.</t>
  </si>
  <si>
    <t>= Taxable income times the tax rate. The tax rate in this game is fixed by the administrator who can also change it.</t>
  </si>
  <si>
    <t>the amount owed to the company by customers. In this game it is simplified as a percentage of sales. The percent</t>
  </si>
  <si>
    <t>the amount of inventory on hand. In this game this is simplified as a percentage of the cost of sales. The percent</t>
  </si>
  <si>
    <t>this line is included in the fixed asets line and records the goodwill purchased in any acquisition. Goodwill is the difference between the purchase price and the value</t>
  </si>
  <si>
    <t>The amount of money the player borrows from the company as an intracompany loan to build the business. This amount is negotiated and is a core part of the game.</t>
  </si>
  <si>
    <t xml:space="preserve">Intracompany Debt </t>
  </si>
  <si>
    <t>Shareholder original equity investment</t>
  </si>
  <si>
    <t>Total shareholder equity</t>
  </si>
  <si>
    <t>NOTE: IN THIS GAME THERE ARE NO DIVIDENDS PAID</t>
  </si>
  <si>
    <t>=sum of the above items</t>
  </si>
  <si>
    <t>derived from the purchases of fixed assets line in the balance sheet</t>
  </si>
  <si>
    <t xml:space="preserve">money derived from sales or use of treasury shares. </t>
  </si>
  <si>
    <t>This page contains the ACCOUNTS layout for this game. It is similar to that done by Yusuf for the other game. But it is not the same. It is a little simpler</t>
  </si>
  <si>
    <t>The accouts below contain the algorithms for creating a proper set of accounts. The numbers are strictly for example and testing purposes</t>
  </si>
  <si>
    <t>this is initial and continuing income</t>
  </si>
  <si>
    <t>Net income after tax</t>
  </si>
  <si>
    <t>insert formula - if tax calcuation is negative it bcomes 0</t>
  </si>
  <si>
    <t>if negative then tax is zero</t>
  </si>
  <si>
    <t>if the tax is less than zero set it to zero. Only show a positive amount when thee is a profit on which to pay taxes.</t>
  </si>
  <si>
    <t xml:space="preserve">NOTE: THE ACCOUNTS NEED A STARTING POINT. IN THE GAME THE NewCo HAS TO RAISE MONEY IN PERIOD 1. THIS IS EFFECTIVELY THE STARTING MONEY AND </t>
  </si>
  <si>
    <t>WILL BE PUT INTO THE ACCOUNTS AS AN INTERNAL LOAN FROM LegacyCo. THE MONEY GOES INTO THE BALANCE SHEET AT THE END OF PERIOD 1</t>
  </si>
  <si>
    <t>IT IS RECORDED AS A LIABILITY IN INTERNAL LOANS AND AS AN ASSET IN CASH ON HAND</t>
  </si>
  <si>
    <t>FROM A 'TRIAL BALANCE' PERSPECTIVE (CASH ON HAND PLUS % OF PRIOR PERIOD GROSS MARGIN) THIS INTERNAL LOAN IS ALL THE MONEY AVAILABLE</t>
  </si>
  <si>
    <t>ISAAC</t>
  </si>
  <si>
    <t>THE TRIAL BALANCE IS A WAY OF:</t>
  </si>
  <si>
    <t>2. TELLING PLAYERS HOW MUCH MONEY THEY HAVE TO SPEND IN A PERIOD</t>
  </si>
  <si>
    <t>THE TRIAL BALANCE WILL SHOW ON EVERY PAGE</t>
  </si>
  <si>
    <t>THE TRIAL BALANCE IS AUTOMATICALLY REDUCED EVERY TIME THE PLAYERS 'COMMIT' TO AN EXPENSE</t>
  </si>
  <si>
    <t xml:space="preserve">E.G., FUNCTIONAL BUDGETS, ACTIONS, ETC.. </t>
  </si>
  <si>
    <t>THE BALANCE GOES DOWN EACH TIME THEY INSERT AN AMOUNT OR CLICK ON AN ACTION</t>
  </si>
  <si>
    <t>THE ABOVE CONTINUES UNTIL THE PLAYERS SUBMIT AT END OF THE PERIOD WHEN A NEW TRIAL BALANCE IS STRUCK FOR THE NEXT PERIOD</t>
  </si>
  <si>
    <t>THE TRIAL BALANCE CANNOT GO BELOW ZERO. IF IT REACHES ZERO THE PLAYER MUST REMOVE A PROPOSED COST IF THEY WISH TO DO SOMETHING ELSE</t>
  </si>
  <si>
    <t>CERTAIN COSTS SUCH AS WAGES ETC. WILL ALWAYS BE DEDUCTED FIRST FROM THE TRIAL BALANCE</t>
  </si>
  <si>
    <t>BEFORE ANY COSTS THAT ARE AVOIDABLE SUCH AS ACTIONS OR BUDGETED EXPENDITURES</t>
  </si>
  <si>
    <t>TRIAL BALANCE CALCULATION</t>
  </si>
  <si>
    <t>THE 0.5 IS A NOMINAL FIGURE. I WOULD LIKE A DATABASE THAT ALLOWS ME TO CHANGE IT</t>
  </si>
  <si>
    <t>NOTE</t>
  </si>
  <si>
    <t xml:space="preserve">TERRY HAD A TABLE UNDER THE 'FINANCE' BUTTON THAT PURPORTED TO CAPTURE ALL OF THE TRIAL BALANCE </t>
  </si>
  <si>
    <t>COSTS AS THEY WERE INCURRED OR INTENDED IN A PERIOD SO THAT YOU COULD SEE AN ANALYSIS BEFORE COMMITTING</t>
  </si>
  <si>
    <t>THIS TABLE IS IN THE 'NICE TO HAVE' CATEGORY</t>
  </si>
  <si>
    <t>Isaac</t>
  </si>
  <si>
    <t>This workbook focuses on the financial side of the NewCo game.</t>
  </si>
  <si>
    <t>Note whatever you create for NewCo in Finances is virtually the same as you will do for LegacyCo</t>
  </si>
  <si>
    <t>In this document are:</t>
  </si>
  <si>
    <t>a description of the accounts</t>
  </si>
  <si>
    <t>a set of accounts with test data</t>
  </si>
  <si>
    <t>given your background this should be straightforward</t>
  </si>
  <si>
    <t>A description of how the Trial balance is created.</t>
  </si>
  <si>
    <t>a description of how the share price will be created for the NewCo.</t>
  </si>
  <si>
    <t>1. STOPPING PLAYERS FROM RUNNING UP DEBT AND SO MAKING A MOCKERY OF THE GAME BY UNCONTROLLED SPENDING</t>
  </si>
  <si>
    <t>IF THEY UNCLICK AN ACTION OR CHANGE A NUMBER THE TRIAL BALANCE CHANGES IN REAL TIME</t>
  </si>
  <si>
    <t>(PRIOR PERIOD TOTAL GROSS MARGIN TIMES 0.5) PLUS CASH ON HAND AT START OF PERIOD from balance sheet</t>
  </si>
  <si>
    <t xml:space="preserve">please do not recreate this table, it is currently a waste of time. </t>
  </si>
  <si>
    <t>if I had known he was creating it I would have stopped it!!</t>
  </si>
  <si>
    <t>5% of wage bill but slow to go down</t>
  </si>
  <si>
    <t>SHARE PRICE</t>
  </si>
  <si>
    <t>Net Cash Generated</t>
  </si>
  <si>
    <t>NPV</t>
  </si>
  <si>
    <t>the growth rate used below is derived from the</t>
  </si>
  <si>
    <t xml:space="preserve">revenue share percentage. This is calculated by adding </t>
  </si>
  <si>
    <t>all the competitor total revenue numbers then</t>
  </si>
  <si>
    <t xml:space="preserve">finding the share of each, </t>
  </si>
  <si>
    <t>if a player has 25% of the share at the end of period 7</t>
  </si>
  <si>
    <t>then the growth rate used below is 1+..25=1.25</t>
  </si>
  <si>
    <t>COST OF SALES PERCENTAGE IS 25% IN THIS EXAMPLE</t>
  </si>
  <si>
    <t xml:space="preserve">THE NUMBER OF SHARES IS </t>
  </si>
  <si>
    <t>AUTHORIZED: 1,000,000</t>
  </si>
  <si>
    <t>OUTSTANDING AT START OF GAME: 100,000</t>
  </si>
  <si>
    <t>SHARES IN TREASURY AT START OF GAME: 900,000</t>
  </si>
  <si>
    <t>THESE SHARES ARE FOR THE WHOLE COMPANY BOTH LEGACY AND NewCo.</t>
  </si>
  <si>
    <t>THE SHARE PRICE IS CALCULATED AS THE NET PRESENT VALUE OF THE FREE CASH GENERATED IN THE CURRENT AND NEXT 4 PERIODS</t>
  </si>
  <si>
    <t xml:space="preserve">DIVIDED BY THE NUMBER OF SHARES ISSUED </t>
  </si>
  <si>
    <t xml:space="preserve">WHEN A BUSINESS IS ACQUIRED FOR SHARES THE COMPUTER PICKS UP THE CURRENT SHAREPRICE </t>
  </si>
  <si>
    <t>THE OFFER IS THE NUMBER OF SHARES TIMES THE PRICE. SO A SHARE IS VALUED AT $100 IT REQUIRES 500,000 TREASURY SHARES TO BID 50,000,000 .</t>
  </si>
  <si>
    <t>IF THE BID IS SUCCESSFUL THE TREASURY SHARE LINE ON THE ACCOUNTS BALANCE SHEET IS INCRESED BY 50M. IF UNSUCCESSFUL THE BID IS VOIDED AND NOTHING HAPPENS</t>
  </si>
  <si>
    <t>IF TREASURY SHARES ARE USED THE VALUE OF A SHARE WILL DROP. THIS IS BECAUSE THE NUMBER OF ISSUED SHARES RISES. THIS IS ALLED 'DILUTION'</t>
  </si>
  <si>
    <t>IN THEORY FIRMS SHOULD ALLOW FOR DILUTION WHEN THEY VALUE THE SHARE PRICE IN THE BID, WE HAVE CHOSEN TO IGNORE THIS WRINKLE.</t>
  </si>
  <si>
    <t>TO CALCULATE THE SHARE PRICE YU NEED A FORMULA FOR NET PRESENT VALUE</t>
  </si>
  <si>
    <t>I KNOW THE EXCEL FORMULA BUT YOU WILL NEED TO FIND ONCE IN PYTHON</t>
  </si>
  <si>
    <t>THE LAST FEW PERIODS REQUIRE A PROJECTED CASH FLOW BEYOND THE END OF THE GAME TO MAKE THE FORMULA WORK</t>
  </si>
  <si>
    <t>REMEMBER TO GET THE RIGHT NUMBER OD SHARES OUTSTANDING</t>
  </si>
  <si>
    <t>note  on price earnings ratios</t>
  </si>
  <si>
    <t>A variant on the share price method is to multiply the NPV by the p/e ratio</t>
  </si>
  <si>
    <t>this carries the market opinion on the potential of the firm and the industry</t>
  </si>
  <si>
    <t>I have opted not to do this and used revenue share as the substitute. This way I differentiate and reward the winners much as the market does</t>
  </si>
  <si>
    <t>the reason is that I would need to invent a p/e and it would have to be the same forall or I would have to invent someway of differentiating</t>
  </si>
  <si>
    <t>thus it adds nothing to the simple NPV using the differentited growth rates</t>
  </si>
  <si>
    <t>as a matter of interest, p/e ratios vary significantly across hi-tech depending on th business model</t>
  </si>
  <si>
    <t xml:space="preserve">Hi-Tech </t>
  </si>
  <si>
    <t>P/E ratios</t>
  </si>
  <si>
    <t>Amazon</t>
  </si>
  <si>
    <t>Almost no earnings</t>
  </si>
  <si>
    <t>Pure otions that one day they will nasively monetize it</t>
  </si>
  <si>
    <t>LinkedIn</t>
  </si>
  <si>
    <t>Same here</t>
  </si>
  <si>
    <t>Facebook</t>
  </si>
  <si>
    <t>PriceLine</t>
  </si>
  <si>
    <t>Ebay</t>
  </si>
  <si>
    <t>Google</t>
  </si>
  <si>
    <t>Apple</t>
  </si>
  <si>
    <t>Cisco</t>
  </si>
  <si>
    <t>IBM</t>
  </si>
  <si>
    <t>AT&amp;T</t>
  </si>
  <si>
    <t>Yahoo</t>
  </si>
  <si>
    <t>Start here? As low asset component</t>
  </si>
  <si>
    <t>notes</t>
  </si>
  <si>
    <t>shares price - npv of next 5 periods set againt the current period and using a 10 discount divide by number of shares and multiply byindustry pe ratio</t>
  </si>
  <si>
    <t>but the extension is a market assumption. We should let the recovery be slow - so that</t>
  </si>
  <si>
    <t>so at the end it is the current period times a growth potental five periods out</t>
  </si>
  <si>
    <t>in the worked example under the ACCOUNTS tab we use treasury shares (50,000) to buy a company. The result is a reduction in share price - dilution</t>
  </si>
  <si>
    <t>THESE DATA COME FROM THE WORKFORCE AND DISCRETIONARY EXPENSES PLUS OCCASSIONAL OTHERS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</si>
</sst>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sz val="11"/>
      <name val="Calibri"/>
      <family val="2"/>
      <scheme val="minor"/>
    </font>
    <font>
      <u/>
      <sz val="11"/>
      <color theme="10"/>
      <name val="Calibri"/>
      <family val="2"/>
      <scheme val="minor"/>
    </font>
    <font>
      <b/>
      <sz val="11"/>
      <name val="Calibri"/>
      <family val="2"/>
      <scheme val="minor"/>
    </font>
    <font>
      <b/>
      <sz val="18"/>
      <color rgb="FFFF0000"/>
      <name val="Calibri"/>
      <family val="2"/>
      <scheme val="minor"/>
    </font>
    <font>
      <b/>
      <sz val="11"/>
      <color rgb="FFC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ck">
        <color auto="1"/>
      </left>
      <right style="thick">
        <color auto="1"/>
      </right>
      <top style="thick">
        <color auto="1"/>
      </top>
      <bottom style="thick">
        <color auto="1"/>
      </bottom>
      <diagonal/>
    </border>
  </borders>
  <cellStyleXfs count="2">
    <xf numFmtId="0" fontId="0" fillId="0" borderId="0"/>
    <xf numFmtId="0" fontId="5" fillId="0" borderId="0" applyNumberFormat="0" applyFill="0" applyBorder="0" applyAlignment="0" applyProtection="0"/>
  </cellStyleXfs>
  <cellXfs count="36">
    <xf numFmtId="0" fontId="0" fillId="0" borderId="0" xfId="0"/>
    <xf numFmtId="0" fontId="3" fillId="0" borderId="0" xfId="0" applyFont="1" applyFill="1"/>
    <xf numFmtId="0" fontId="0" fillId="0" borderId="0" xfId="0" applyFill="1"/>
    <xf numFmtId="3" fontId="0" fillId="0" borderId="0" xfId="0" applyNumberFormat="1" applyFill="1"/>
    <xf numFmtId="3" fontId="2" fillId="0" borderId="0" xfId="0" applyNumberFormat="1" applyFont="1" applyFill="1"/>
    <xf numFmtId="0" fontId="0" fillId="0" borderId="0" xfId="0" applyFont="1" applyFill="1"/>
    <xf numFmtId="3" fontId="0" fillId="0" borderId="0" xfId="0" applyNumberFormat="1" applyFont="1" applyFill="1"/>
    <xf numFmtId="0" fontId="2" fillId="0" borderId="0" xfId="0" applyFont="1" applyFill="1"/>
    <xf numFmtId="3" fontId="1" fillId="0" borderId="0" xfId="0" applyNumberFormat="1" applyFont="1" applyFill="1"/>
    <xf numFmtId="3" fontId="3" fillId="0" borderId="0" xfId="0" applyNumberFormat="1" applyFont="1" applyFill="1"/>
    <xf numFmtId="0" fontId="4" fillId="0" borderId="0" xfId="0" applyFont="1" applyFill="1"/>
    <xf numFmtId="3" fontId="4" fillId="0" borderId="0" xfId="0" applyNumberFormat="1" applyFont="1" applyFill="1"/>
    <xf numFmtId="3" fontId="2" fillId="0" borderId="0" xfId="0" applyNumberFormat="1" applyFont="1" applyFill="1" applyAlignment="1">
      <alignment horizontal="center"/>
    </xf>
    <xf numFmtId="49" fontId="0" fillId="0" borderId="0" xfId="0" applyNumberFormat="1"/>
    <xf numFmtId="3" fontId="6" fillId="0" borderId="0" xfId="0" applyNumberFormat="1" applyFont="1" applyFill="1"/>
    <xf numFmtId="49" fontId="2" fillId="0" borderId="0" xfId="0" applyNumberFormat="1" applyFont="1"/>
    <xf numFmtId="0" fontId="5" fillId="0" borderId="0" xfId="1" applyFill="1"/>
    <xf numFmtId="0" fontId="1" fillId="0" borderId="0" xfId="0" applyFont="1" applyFill="1"/>
    <xf numFmtId="3" fontId="0" fillId="2" borderId="0" xfId="0" applyNumberFormat="1" applyFill="1"/>
    <xf numFmtId="3" fontId="0" fillId="2" borderId="0" xfId="0" applyNumberFormat="1" applyFont="1" applyFill="1"/>
    <xf numFmtId="0" fontId="2" fillId="0" borderId="0" xfId="0" applyFont="1"/>
    <xf numFmtId="0" fontId="1" fillId="0" borderId="0" xfId="0" applyFont="1"/>
    <xf numFmtId="0" fontId="3" fillId="2" borderId="0" xfId="0" applyFont="1" applyFill="1"/>
    <xf numFmtId="0" fontId="0" fillId="2" borderId="0" xfId="0" applyFill="1"/>
    <xf numFmtId="0" fontId="6" fillId="2" borderId="0" xfId="0" applyFont="1" applyFill="1"/>
    <xf numFmtId="0" fontId="4" fillId="2" borderId="0" xfId="0" applyFont="1" applyFill="1"/>
    <xf numFmtId="3" fontId="6" fillId="2" borderId="0" xfId="0" applyNumberFormat="1" applyFont="1" applyFill="1"/>
    <xf numFmtId="3" fontId="4" fillId="2" borderId="0" xfId="0" applyNumberFormat="1" applyFont="1" applyFill="1"/>
    <xf numFmtId="0" fontId="0" fillId="0" borderId="1" xfId="0" applyFill="1" applyBorder="1"/>
    <xf numFmtId="0" fontId="8" fillId="2" borderId="0" xfId="0" applyFont="1" applyFill="1"/>
    <xf numFmtId="49" fontId="0" fillId="0" borderId="0" xfId="0" applyNumberFormat="1" applyAlignment="1">
      <alignment horizontal="left" wrapText="1"/>
    </xf>
    <xf numFmtId="3" fontId="3" fillId="0" borderId="0" xfId="0" applyNumberFormat="1" applyFont="1" applyFill="1" applyAlignment="1">
      <alignment horizontal="center" vertical="center"/>
    </xf>
    <xf numFmtId="3" fontId="0" fillId="0" borderId="0" xfId="0" applyNumberFormat="1" applyFill="1" applyAlignment="1">
      <alignment horizontal="center" wrapText="1"/>
    </xf>
    <xf numFmtId="0" fontId="7" fillId="0" borderId="0" xfId="0" applyFont="1" applyFill="1" applyAlignment="1">
      <alignment horizontal="center"/>
    </xf>
    <xf numFmtId="0" fontId="0" fillId="0" borderId="0" xfId="0" applyFont="1" applyFill="1" applyAlignment="1">
      <alignment horizontal="center" vertical="center"/>
    </xf>
    <xf numFmtId="3" fontId="2" fillId="0" borderId="0" xfId="0" applyNumberFormat="1"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4:L16"/>
  <sheetViews>
    <sheetView topLeftCell="A10" workbookViewId="0">
      <selection activeCell="G21" sqref="G21"/>
    </sheetView>
  </sheetViews>
  <sheetFormatPr defaultRowHeight="15" x14ac:dyDescent="0.25"/>
  <sheetData>
    <row r="4" spans="6:12" x14ac:dyDescent="0.25">
      <c r="F4" t="s">
        <v>274</v>
      </c>
    </row>
    <row r="5" spans="6:12" x14ac:dyDescent="0.25">
      <c r="F5" t="s">
        <v>275</v>
      </c>
    </row>
    <row r="7" spans="6:12" x14ac:dyDescent="0.25">
      <c r="F7" t="s">
        <v>276</v>
      </c>
    </row>
    <row r="10" spans="6:12" x14ac:dyDescent="0.25">
      <c r="F10" t="s">
        <v>277</v>
      </c>
    </row>
    <row r="11" spans="6:12" x14ac:dyDescent="0.25">
      <c r="F11">
        <v>1</v>
      </c>
      <c r="G11" t="s">
        <v>278</v>
      </c>
      <c r="L11" t="s">
        <v>280</v>
      </c>
    </row>
    <row r="12" spans="6:12" x14ac:dyDescent="0.25">
      <c r="F12">
        <v>2</v>
      </c>
      <c r="G12" t="s">
        <v>279</v>
      </c>
    </row>
    <row r="14" spans="6:12" x14ac:dyDescent="0.25">
      <c r="F14">
        <v>3</v>
      </c>
      <c r="G14" t="s">
        <v>281</v>
      </c>
    </row>
    <row r="16" spans="6:12" x14ac:dyDescent="0.25">
      <c r="F16">
        <v>4</v>
      </c>
      <c r="G16" t="s">
        <v>282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204"/>
  <sheetViews>
    <sheetView topLeftCell="A82" workbookViewId="0">
      <selection activeCell="I55" sqref="I55"/>
    </sheetView>
  </sheetViews>
  <sheetFormatPr defaultRowHeight="15" x14ac:dyDescent="0.25"/>
  <cols>
    <col min="1" max="16384" width="9.140625" style="13"/>
  </cols>
  <sheetData>
    <row r="2" spans="3:9" x14ac:dyDescent="0.25">
      <c r="I2" s="13" t="s">
        <v>221</v>
      </c>
    </row>
    <row r="7" spans="3:9" x14ac:dyDescent="0.25">
      <c r="I7" s="13" t="s">
        <v>119</v>
      </c>
    </row>
    <row r="10" spans="3:9" x14ac:dyDescent="0.25">
      <c r="C10" s="13" t="s">
        <v>2</v>
      </c>
      <c r="I10" s="13" t="s">
        <v>97</v>
      </c>
    </row>
    <row r="11" spans="3:9" x14ac:dyDescent="0.25">
      <c r="I11" s="13" t="s">
        <v>222</v>
      </c>
    </row>
    <row r="12" spans="3:9" x14ac:dyDescent="0.25">
      <c r="I12" s="13" t="s">
        <v>223</v>
      </c>
    </row>
    <row r="15" spans="3:9" x14ac:dyDescent="0.25">
      <c r="C15" s="13" t="s">
        <v>3</v>
      </c>
      <c r="I15" s="13" t="s">
        <v>224</v>
      </c>
    </row>
    <row r="17" spans="2:9" x14ac:dyDescent="0.25">
      <c r="C17" s="13" t="s">
        <v>4</v>
      </c>
      <c r="I17" s="13" t="s">
        <v>98</v>
      </c>
    </row>
    <row r="18" spans="2:9" x14ac:dyDescent="0.25">
      <c r="I18" s="13" t="s">
        <v>225</v>
      </c>
    </row>
    <row r="19" spans="2:9" x14ac:dyDescent="0.25">
      <c r="I19" s="13" t="s">
        <v>100</v>
      </c>
    </row>
    <row r="20" spans="2:9" x14ac:dyDescent="0.25">
      <c r="I20" s="13" t="s">
        <v>99</v>
      </c>
    </row>
    <row r="22" spans="2:9" x14ac:dyDescent="0.25">
      <c r="C22" s="13" t="s">
        <v>5</v>
      </c>
      <c r="I22" s="13" t="s">
        <v>101</v>
      </c>
    </row>
    <row r="24" spans="2:9" x14ac:dyDescent="0.25">
      <c r="C24" s="13" t="s">
        <v>6</v>
      </c>
      <c r="I24" s="13" t="s">
        <v>102</v>
      </c>
    </row>
    <row r="27" spans="2:9" x14ac:dyDescent="0.25">
      <c r="C27" s="13" t="s">
        <v>226</v>
      </c>
      <c r="I27" s="13" t="s">
        <v>103</v>
      </c>
    </row>
    <row r="31" spans="2:9" x14ac:dyDescent="0.25">
      <c r="B31" s="13" t="s">
        <v>104</v>
      </c>
      <c r="I31" s="13" t="s">
        <v>105</v>
      </c>
    </row>
    <row r="32" spans="2:9" x14ac:dyDescent="0.25">
      <c r="I32" s="13" t="s">
        <v>106</v>
      </c>
    </row>
    <row r="33" spans="2:9" x14ac:dyDescent="0.25">
      <c r="I33" s="13" t="s">
        <v>108</v>
      </c>
    </row>
    <row r="34" spans="2:9" x14ac:dyDescent="0.25">
      <c r="I34" s="13" t="s">
        <v>109</v>
      </c>
    </row>
    <row r="35" spans="2:9" x14ac:dyDescent="0.25">
      <c r="B35" s="13" t="s">
        <v>107</v>
      </c>
    </row>
    <row r="37" spans="2:9" x14ac:dyDescent="0.25">
      <c r="C37" s="13" t="s">
        <v>7</v>
      </c>
      <c r="I37" s="13" t="s">
        <v>227</v>
      </c>
    </row>
    <row r="38" spans="2:9" x14ac:dyDescent="0.25">
      <c r="C38" s="13" t="s">
        <v>8</v>
      </c>
      <c r="I38" s="13" t="s">
        <v>228</v>
      </c>
    </row>
    <row r="39" spans="2:9" x14ac:dyDescent="0.25">
      <c r="C39" s="13" t="s">
        <v>10</v>
      </c>
      <c r="I39" s="13" t="s">
        <v>229</v>
      </c>
    </row>
    <row r="40" spans="2:9" x14ac:dyDescent="0.25">
      <c r="C40" s="13" t="s">
        <v>11</v>
      </c>
      <c r="I40" s="13" t="s">
        <v>230</v>
      </c>
    </row>
    <row r="41" spans="2:9" x14ac:dyDescent="0.25">
      <c r="C41" s="13" t="s">
        <v>12</v>
      </c>
      <c r="I41" s="13" t="s">
        <v>231</v>
      </c>
    </row>
    <row r="42" spans="2:9" x14ac:dyDescent="0.25">
      <c r="C42" s="13" t="s">
        <v>15</v>
      </c>
      <c r="I42" s="13" t="s">
        <v>232</v>
      </c>
    </row>
    <row r="43" spans="2:9" x14ac:dyDescent="0.25">
      <c r="C43" s="13" t="s">
        <v>13</v>
      </c>
      <c r="I43" s="13" t="s">
        <v>110</v>
      </c>
    </row>
    <row r="44" spans="2:9" x14ac:dyDescent="0.25">
      <c r="I44" s="13" t="s">
        <v>111</v>
      </c>
    </row>
    <row r="46" spans="2:9" x14ac:dyDescent="0.25">
      <c r="C46" s="13" t="s">
        <v>17</v>
      </c>
      <c r="I46" s="13" t="s">
        <v>112</v>
      </c>
    </row>
    <row r="48" spans="2:9" x14ac:dyDescent="0.25">
      <c r="C48" s="13" t="s">
        <v>18</v>
      </c>
      <c r="I48" s="13" t="s">
        <v>113</v>
      </c>
    </row>
    <row r="49" spans="2:9" x14ac:dyDescent="0.25">
      <c r="C49" s="13" t="s">
        <v>19</v>
      </c>
      <c r="I49" s="13" t="s">
        <v>114</v>
      </c>
    </row>
    <row r="50" spans="2:9" x14ac:dyDescent="0.25">
      <c r="C50" s="13" t="s">
        <v>20</v>
      </c>
      <c r="I50" s="13" t="s">
        <v>115</v>
      </c>
    </row>
    <row r="51" spans="2:9" x14ac:dyDescent="0.25">
      <c r="C51" s="13" t="s">
        <v>21</v>
      </c>
      <c r="I51" s="13" t="s">
        <v>233</v>
      </c>
    </row>
    <row r="52" spans="2:9" x14ac:dyDescent="0.25">
      <c r="I52" s="13" t="s">
        <v>116</v>
      </c>
    </row>
    <row r="53" spans="2:9" x14ac:dyDescent="0.25">
      <c r="C53" s="13" t="s">
        <v>22</v>
      </c>
      <c r="I53" s="13" t="s">
        <v>117</v>
      </c>
    </row>
    <row r="54" spans="2:9" x14ac:dyDescent="0.25">
      <c r="C54" s="13" t="s">
        <v>23</v>
      </c>
      <c r="I54" s="13" t="s">
        <v>234</v>
      </c>
    </row>
    <row r="55" spans="2:9" x14ac:dyDescent="0.25">
      <c r="I55" s="13" t="s">
        <v>252</v>
      </c>
    </row>
    <row r="57" spans="2:9" x14ac:dyDescent="0.25">
      <c r="C57" s="13" t="s">
        <v>214</v>
      </c>
      <c r="I57" s="13" t="s">
        <v>118</v>
      </c>
    </row>
    <row r="61" spans="2:9" x14ac:dyDescent="0.25">
      <c r="I61" s="13" t="s">
        <v>120</v>
      </c>
    </row>
    <row r="62" spans="2:9" x14ac:dyDescent="0.25">
      <c r="B62" s="13" t="s">
        <v>134</v>
      </c>
    </row>
    <row r="63" spans="2:9" x14ac:dyDescent="0.25">
      <c r="C63" s="13" t="s">
        <v>32</v>
      </c>
      <c r="I63" s="13" t="s">
        <v>121</v>
      </c>
    </row>
    <row r="65" spans="3:9" x14ac:dyDescent="0.25">
      <c r="C65" s="13" t="s">
        <v>122</v>
      </c>
      <c r="I65" s="13" t="s">
        <v>235</v>
      </c>
    </row>
    <row r="66" spans="3:9" x14ac:dyDescent="0.25">
      <c r="I66" s="13" t="s">
        <v>137</v>
      </c>
    </row>
    <row r="68" spans="3:9" x14ac:dyDescent="0.25">
      <c r="C68" s="13" t="s">
        <v>123</v>
      </c>
      <c r="I68" s="13" t="s">
        <v>236</v>
      </c>
    </row>
    <row r="69" spans="3:9" x14ac:dyDescent="0.25">
      <c r="I69" s="13" t="s">
        <v>138</v>
      </c>
    </row>
    <row r="70" spans="3:9" x14ac:dyDescent="0.25">
      <c r="C70" s="13" t="s">
        <v>33</v>
      </c>
      <c r="I70" s="13" t="s">
        <v>131</v>
      </c>
    </row>
    <row r="72" spans="3:9" x14ac:dyDescent="0.25">
      <c r="C72" s="13" t="s">
        <v>35</v>
      </c>
      <c r="I72" s="13" t="s">
        <v>124</v>
      </c>
    </row>
    <row r="73" spans="3:9" x14ac:dyDescent="0.25">
      <c r="C73" s="13" t="s">
        <v>127</v>
      </c>
      <c r="I73" s="13" t="s">
        <v>237</v>
      </c>
    </row>
    <row r="74" spans="3:9" x14ac:dyDescent="0.25">
      <c r="I74" s="13" t="s">
        <v>125</v>
      </c>
    </row>
    <row r="76" spans="3:9" x14ac:dyDescent="0.25">
      <c r="C76" s="13" t="s">
        <v>36</v>
      </c>
      <c r="I76" s="13" t="s">
        <v>126</v>
      </c>
    </row>
    <row r="77" spans="3:9" x14ac:dyDescent="0.25">
      <c r="C77" s="13" t="s">
        <v>37</v>
      </c>
      <c r="I77" s="13" t="s">
        <v>128</v>
      </c>
    </row>
    <row r="78" spans="3:9" x14ac:dyDescent="0.25">
      <c r="I78" s="13" t="s">
        <v>129</v>
      </c>
    </row>
    <row r="79" spans="3:9" x14ac:dyDescent="0.25">
      <c r="C79" s="13" t="s">
        <v>132</v>
      </c>
      <c r="I79" s="13" t="s">
        <v>130</v>
      </c>
    </row>
    <row r="82" spans="2:9" s="15" customFormat="1" x14ac:dyDescent="0.25">
      <c r="C82" s="15" t="s">
        <v>39</v>
      </c>
      <c r="I82" s="15" t="s">
        <v>133</v>
      </c>
    </row>
    <row r="85" spans="2:9" x14ac:dyDescent="0.25">
      <c r="B85" s="13" t="s">
        <v>135</v>
      </c>
    </row>
    <row r="86" spans="2:9" x14ac:dyDescent="0.25">
      <c r="C86" s="13" t="s">
        <v>139</v>
      </c>
      <c r="I86" s="13" t="s">
        <v>136</v>
      </c>
    </row>
    <row r="87" spans="2:9" x14ac:dyDescent="0.25">
      <c r="I87" s="13" t="s">
        <v>137</v>
      </c>
    </row>
    <row r="89" spans="2:9" x14ac:dyDescent="0.25">
      <c r="C89" s="13" t="s">
        <v>41</v>
      </c>
      <c r="I89" s="13" t="s">
        <v>140</v>
      </c>
    </row>
    <row r="90" spans="2:9" x14ac:dyDescent="0.25">
      <c r="I90" s="13" t="s">
        <v>141</v>
      </c>
    </row>
    <row r="92" spans="2:9" x14ac:dyDescent="0.25">
      <c r="C92" s="13" t="s">
        <v>142</v>
      </c>
      <c r="I92" s="13" t="s">
        <v>143</v>
      </c>
    </row>
    <row r="93" spans="2:9" x14ac:dyDescent="0.25">
      <c r="I93" s="13" t="s">
        <v>144</v>
      </c>
    </row>
    <row r="95" spans="2:9" x14ac:dyDescent="0.25">
      <c r="C95" s="13" t="s">
        <v>42</v>
      </c>
      <c r="I95" s="13" t="s">
        <v>145</v>
      </c>
    </row>
    <row r="96" spans="2:9" x14ac:dyDescent="0.25">
      <c r="I96" s="13" t="s">
        <v>146</v>
      </c>
    </row>
    <row r="97" spans="2:20" x14ac:dyDescent="0.25">
      <c r="I97" s="13" t="s">
        <v>147</v>
      </c>
    </row>
    <row r="99" spans="2:20" x14ac:dyDescent="0.25">
      <c r="C99" s="13" t="s">
        <v>148</v>
      </c>
      <c r="I99" s="13" t="s">
        <v>149</v>
      </c>
    </row>
    <row r="102" spans="2:20" x14ac:dyDescent="0.25">
      <c r="C102" s="13" t="s">
        <v>239</v>
      </c>
      <c r="I102" s="30" t="s">
        <v>238</v>
      </c>
      <c r="J102" s="30"/>
      <c r="K102" s="30"/>
      <c r="L102" s="30"/>
      <c r="M102" s="30"/>
      <c r="N102" s="30"/>
      <c r="O102" s="30"/>
      <c r="P102" s="30"/>
      <c r="Q102" s="30"/>
      <c r="R102" s="30"/>
      <c r="S102" s="30"/>
      <c r="T102" s="30"/>
    </row>
    <row r="103" spans="2:20" x14ac:dyDescent="0.25">
      <c r="I103" s="30"/>
      <c r="J103" s="30"/>
      <c r="K103" s="30"/>
      <c r="L103" s="30"/>
      <c r="M103" s="30"/>
      <c r="N103" s="30"/>
      <c r="O103" s="30"/>
      <c r="P103" s="30"/>
      <c r="Q103" s="30"/>
      <c r="R103" s="30"/>
      <c r="S103" s="30"/>
      <c r="T103" s="30"/>
    </row>
    <row r="104" spans="2:20" x14ac:dyDescent="0.25">
      <c r="I104" s="13" t="s">
        <v>150</v>
      </c>
    </row>
    <row r="105" spans="2:20" x14ac:dyDescent="0.25">
      <c r="I105" s="13" t="s">
        <v>151</v>
      </c>
    </row>
    <row r="107" spans="2:20" x14ac:dyDescent="0.25">
      <c r="B107" s="13" t="s">
        <v>49</v>
      </c>
      <c r="F107" s="13" t="s">
        <v>242</v>
      </c>
    </row>
    <row r="108" spans="2:20" x14ac:dyDescent="0.25">
      <c r="C108" s="13" t="s">
        <v>240</v>
      </c>
      <c r="I108" s="13" t="s">
        <v>153</v>
      </c>
    </row>
    <row r="109" spans="2:20" x14ac:dyDescent="0.25">
      <c r="C109" s="13" t="s">
        <v>152</v>
      </c>
      <c r="I109" s="13" t="s">
        <v>154</v>
      </c>
    </row>
    <row r="110" spans="2:20" x14ac:dyDescent="0.25">
      <c r="C110" s="13" t="s">
        <v>50</v>
      </c>
      <c r="I110" s="13" t="s">
        <v>155</v>
      </c>
    </row>
    <row r="111" spans="2:20" x14ac:dyDescent="0.25">
      <c r="C111" s="13" t="s">
        <v>241</v>
      </c>
      <c r="I111" s="13" t="s">
        <v>243</v>
      </c>
    </row>
    <row r="114" spans="3:10" x14ac:dyDescent="0.25">
      <c r="C114" s="13" t="s">
        <v>52</v>
      </c>
      <c r="I114" s="13" t="s">
        <v>156</v>
      </c>
    </row>
    <row r="116" spans="3:10" x14ac:dyDescent="0.25">
      <c r="C116" s="13" t="s">
        <v>157</v>
      </c>
    </row>
    <row r="118" spans="3:10" x14ac:dyDescent="0.25">
      <c r="I118" s="15" t="s">
        <v>158</v>
      </c>
    </row>
    <row r="120" spans="3:10" x14ac:dyDescent="0.25">
      <c r="G120" s="13" t="s">
        <v>159</v>
      </c>
    </row>
    <row r="124" spans="3:10" x14ac:dyDescent="0.25">
      <c r="C124" s="13" t="s">
        <v>24</v>
      </c>
      <c r="J124" s="13" t="s">
        <v>160</v>
      </c>
    </row>
    <row r="126" spans="3:10" x14ac:dyDescent="0.25">
      <c r="C126" s="13" t="s">
        <v>63</v>
      </c>
    </row>
    <row r="127" spans="3:10" x14ac:dyDescent="0.25">
      <c r="C127" s="13" t="s">
        <v>21</v>
      </c>
      <c r="J127" s="13" t="s">
        <v>160</v>
      </c>
    </row>
    <row r="129" spans="2:10" x14ac:dyDescent="0.25">
      <c r="C129" s="13" t="s">
        <v>163</v>
      </c>
      <c r="J129" s="13" t="s">
        <v>161</v>
      </c>
    </row>
    <row r="130" spans="2:10" x14ac:dyDescent="0.25">
      <c r="C130" s="13" t="s">
        <v>162</v>
      </c>
      <c r="J130" s="13" t="s">
        <v>165</v>
      </c>
    </row>
    <row r="131" spans="2:10" x14ac:dyDescent="0.25">
      <c r="C131" s="13" t="s">
        <v>164</v>
      </c>
      <c r="J131" s="13" t="s">
        <v>166</v>
      </c>
    </row>
    <row r="132" spans="2:10" x14ac:dyDescent="0.25">
      <c r="C132" s="13" t="s">
        <v>142</v>
      </c>
      <c r="J132" s="13" t="s">
        <v>167</v>
      </c>
    </row>
    <row r="133" spans="2:10" x14ac:dyDescent="0.25">
      <c r="C133" s="13" t="s">
        <v>64</v>
      </c>
      <c r="J133" s="13" t="s">
        <v>168</v>
      </c>
    </row>
    <row r="135" spans="2:10" x14ac:dyDescent="0.25">
      <c r="C135" s="13" t="s">
        <v>66</v>
      </c>
      <c r="J135" s="13" t="s">
        <v>244</v>
      </c>
    </row>
    <row r="137" spans="2:10" x14ac:dyDescent="0.25">
      <c r="B137" s="13" t="s">
        <v>67</v>
      </c>
    </row>
    <row r="138" spans="2:10" x14ac:dyDescent="0.25">
      <c r="C138" s="13" t="s">
        <v>68</v>
      </c>
      <c r="J138" s="13" t="s">
        <v>169</v>
      </c>
    </row>
    <row r="139" spans="2:10" x14ac:dyDescent="0.25">
      <c r="J139" s="13" t="s">
        <v>170</v>
      </c>
    </row>
    <row r="140" spans="2:10" x14ac:dyDescent="0.25">
      <c r="C140" s="13" t="s">
        <v>216</v>
      </c>
      <c r="J140" s="13" t="s">
        <v>245</v>
      </c>
    </row>
    <row r="151" spans="3:4" x14ac:dyDescent="0.25">
      <c r="C151" s="13" t="s">
        <v>69</v>
      </c>
    </row>
    <row r="155" spans="3:4" x14ac:dyDescent="0.25">
      <c r="D155" s="13" t="s">
        <v>71</v>
      </c>
    </row>
    <row r="162" spans="3:4" x14ac:dyDescent="0.25">
      <c r="C162" s="13" t="s">
        <v>72</v>
      </c>
    </row>
    <row r="164" spans="3:4" x14ac:dyDescent="0.25">
      <c r="C164" s="13" t="s">
        <v>3</v>
      </c>
    </row>
    <row r="165" spans="3:4" x14ac:dyDescent="0.25">
      <c r="C165" s="13" t="s">
        <v>6</v>
      </c>
    </row>
    <row r="166" spans="3:4" x14ac:dyDescent="0.25">
      <c r="C166" s="13" t="s">
        <v>73</v>
      </c>
    </row>
    <row r="167" spans="3:4" x14ac:dyDescent="0.25">
      <c r="C167" s="13" t="s">
        <v>74</v>
      </c>
    </row>
    <row r="169" spans="3:4" x14ac:dyDescent="0.25">
      <c r="C169" s="13" t="s">
        <v>75</v>
      </c>
    </row>
    <row r="171" spans="3:4" x14ac:dyDescent="0.25">
      <c r="C171" s="13" t="s">
        <v>76</v>
      </c>
    </row>
    <row r="173" spans="3:4" x14ac:dyDescent="0.25">
      <c r="C173" s="13" t="s">
        <v>77</v>
      </c>
    </row>
    <row r="174" spans="3:4" x14ac:dyDescent="0.25">
      <c r="C174" s="13" t="s">
        <v>78</v>
      </c>
    </row>
    <row r="175" spans="3:4" x14ac:dyDescent="0.25">
      <c r="D175" s="13" t="s">
        <v>79</v>
      </c>
    </row>
    <row r="176" spans="3:4" x14ac:dyDescent="0.25">
      <c r="D176" s="13" t="s">
        <v>80</v>
      </c>
    </row>
    <row r="177" spans="3:3" x14ac:dyDescent="0.25">
      <c r="C177" s="13" t="s">
        <v>81</v>
      </c>
    </row>
    <row r="178" spans="3:3" x14ac:dyDescent="0.25">
      <c r="C178" s="13" t="s">
        <v>82</v>
      </c>
    </row>
    <row r="179" spans="3:3" x14ac:dyDescent="0.25">
      <c r="C179" s="13" t="s">
        <v>83</v>
      </c>
    </row>
    <row r="181" spans="3:3" x14ac:dyDescent="0.25">
      <c r="C181" s="13" t="s">
        <v>84</v>
      </c>
    </row>
    <row r="183" spans="3:3" x14ac:dyDescent="0.25">
      <c r="C183" s="13" t="s">
        <v>85</v>
      </c>
    </row>
    <row r="184" spans="3:3" x14ac:dyDescent="0.25">
      <c r="C184" s="13" t="s">
        <v>86</v>
      </c>
    </row>
    <row r="187" spans="3:3" x14ac:dyDescent="0.25">
      <c r="C187" s="13" t="s">
        <v>87</v>
      </c>
    </row>
    <row r="189" spans="3:3" x14ac:dyDescent="0.25">
      <c r="C189" s="13" t="s">
        <v>88</v>
      </c>
    </row>
    <row r="192" spans="3:3" x14ac:dyDescent="0.25">
      <c r="C192" s="13" t="s">
        <v>89</v>
      </c>
    </row>
    <row r="193" spans="4:4" x14ac:dyDescent="0.25">
      <c r="D193" s="13" t="s">
        <v>49</v>
      </c>
    </row>
    <row r="194" spans="4:4" x14ac:dyDescent="0.25">
      <c r="D194" s="13" t="s">
        <v>90</v>
      </c>
    </row>
    <row r="195" spans="4:4" x14ac:dyDescent="0.25">
      <c r="D195" s="13" t="s">
        <v>91</v>
      </c>
    </row>
    <row r="198" spans="4:4" x14ac:dyDescent="0.25">
      <c r="D198" s="13" t="s">
        <v>92</v>
      </c>
    </row>
    <row r="200" spans="4:4" x14ac:dyDescent="0.25">
      <c r="D200" s="13" t="s">
        <v>93</v>
      </c>
    </row>
    <row r="201" spans="4:4" x14ac:dyDescent="0.25">
      <c r="D201" s="13" t="s">
        <v>94</v>
      </c>
    </row>
    <row r="202" spans="4:4" x14ac:dyDescent="0.25">
      <c r="D202" s="13" t="s">
        <v>95</v>
      </c>
    </row>
    <row r="204" spans="4:4" x14ac:dyDescent="0.25">
      <c r="D204" s="13" t="s">
        <v>96</v>
      </c>
    </row>
  </sheetData>
  <mergeCells count="1">
    <mergeCell ref="I102:T10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Z138"/>
  <sheetViews>
    <sheetView topLeftCell="A13" workbookViewId="0">
      <selection activeCell="F23" sqref="F23"/>
    </sheetView>
  </sheetViews>
  <sheetFormatPr defaultRowHeight="15" x14ac:dyDescent="0.25"/>
  <cols>
    <col min="1" max="1" width="9.140625" style="1"/>
    <col min="2" max="5" width="9.140625" style="2"/>
    <col min="6" max="6" width="18.85546875" style="2" customWidth="1"/>
    <col min="7" max="7" width="11.7109375" style="4" customWidth="1"/>
    <col min="8" max="8" width="10.140625" style="3" customWidth="1"/>
    <col min="9" max="9" width="10.85546875" style="3" customWidth="1"/>
    <col min="10" max="15" width="11" style="3" customWidth="1"/>
    <col min="16" max="18" width="9.85546875" style="3" customWidth="1"/>
    <col min="19" max="19" width="11.140625" style="3" customWidth="1"/>
    <col min="20" max="20" width="11" style="3" customWidth="1"/>
    <col min="21" max="26" width="9.140625" style="3"/>
    <col min="27" max="16384" width="9.140625" style="2"/>
  </cols>
  <sheetData>
    <row r="2" spans="3:5" x14ac:dyDescent="0.25">
      <c r="C2" s="2" t="s">
        <v>246</v>
      </c>
    </row>
    <row r="4" spans="3:5" x14ac:dyDescent="0.25">
      <c r="C4" s="2" t="s">
        <v>247</v>
      </c>
    </row>
    <row r="7" spans="3:5" x14ac:dyDescent="0.25">
      <c r="D7" s="2" t="s">
        <v>253</v>
      </c>
    </row>
    <row r="8" spans="3:5" x14ac:dyDescent="0.25">
      <c r="D8" s="2" t="s">
        <v>254</v>
      </c>
    </row>
    <row r="9" spans="3:5" x14ac:dyDescent="0.25">
      <c r="D9" s="2" t="s">
        <v>255</v>
      </c>
    </row>
    <row r="11" spans="3:5" x14ac:dyDescent="0.25">
      <c r="D11" s="2" t="s">
        <v>256</v>
      </c>
    </row>
    <row r="12" spans="3:5" ht="15.75" thickBot="1" x14ac:dyDescent="0.3"/>
    <row r="13" spans="3:5" ht="16.5" thickTop="1" thickBot="1" x14ac:dyDescent="0.3">
      <c r="D13" s="28"/>
    </row>
    <row r="14" spans="3:5" ht="15.75" thickTop="1" x14ac:dyDescent="0.25">
      <c r="E14" s="3"/>
    </row>
    <row r="16" spans="3:5" x14ac:dyDescent="0.25">
      <c r="C16" s="2" t="s">
        <v>199</v>
      </c>
    </row>
    <row r="18" spans="1:21" s="3" customFormat="1" x14ac:dyDescent="0.25">
      <c r="A18" s="1"/>
      <c r="B18" s="2"/>
      <c r="C18" s="2"/>
      <c r="D18" s="2"/>
      <c r="E18" s="2"/>
      <c r="F18" s="2"/>
      <c r="G18" s="4"/>
      <c r="H18" s="4" t="s">
        <v>0</v>
      </c>
      <c r="I18" s="4"/>
      <c r="J18" s="4"/>
      <c r="K18" s="4"/>
    </row>
    <row r="19" spans="1:21" s="3" customFormat="1" x14ac:dyDescent="0.25">
      <c r="A19" s="1"/>
      <c r="B19" s="2"/>
      <c r="C19" s="2"/>
      <c r="D19" s="2"/>
      <c r="E19" s="2"/>
      <c r="F19" s="2"/>
      <c r="G19" s="4"/>
      <c r="H19" s="4"/>
      <c r="I19" s="4" t="s">
        <v>200</v>
      </c>
      <c r="J19" s="4"/>
      <c r="K19" s="4"/>
    </row>
    <row r="20" spans="1:21" s="3" customFormat="1" x14ac:dyDescent="0.25">
      <c r="A20" s="1"/>
      <c r="B20" s="2"/>
      <c r="C20" s="2"/>
      <c r="D20" s="2"/>
      <c r="E20" s="2"/>
      <c r="F20" s="2"/>
      <c r="G20" s="4"/>
      <c r="H20" s="12" t="s">
        <v>1</v>
      </c>
      <c r="I20" s="12" t="s">
        <v>1</v>
      </c>
      <c r="J20" s="12" t="s">
        <v>1</v>
      </c>
      <c r="K20" s="12" t="s">
        <v>1</v>
      </c>
      <c r="L20" s="12" t="s">
        <v>1</v>
      </c>
      <c r="M20" s="12" t="s">
        <v>1</v>
      </c>
      <c r="N20" s="12" t="s">
        <v>1</v>
      </c>
      <c r="O20" s="3" t="s">
        <v>1</v>
      </c>
      <c r="P20" s="32" t="s">
        <v>207</v>
      </c>
      <c r="Q20" s="32"/>
      <c r="R20" s="32"/>
      <c r="S20" s="32"/>
      <c r="T20" s="32"/>
      <c r="U20" s="32"/>
    </row>
    <row r="21" spans="1:21" s="3" customFormat="1" x14ac:dyDescent="0.25">
      <c r="A21" s="1"/>
      <c r="B21" s="2"/>
      <c r="C21" s="2"/>
      <c r="D21" s="2"/>
      <c r="E21" s="2"/>
      <c r="F21" s="2"/>
      <c r="G21" s="4"/>
      <c r="H21" s="12">
        <v>1</v>
      </c>
      <c r="I21" s="12">
        <v>2</v>
      </c>
      <c r="J21" s="12">
        <v>3</v>
      </c>
      <c r="K21" s="12">
        <v>4</v>
      </c>
      <c r="L21" s="12">
        <v>5</v>
      </c>
      <c r="M21" s="12">
        <v>6</v>
      </c>
      <c r="N21" s="12">
        <v>7</v>
      </c>
      <c r="O21" s="3">
        <v>8</v>
      </c>
      <c r="P21" s="32"/>
      <c r="Q21" s="32"/>
      <c r="R21" s="32"/>
      <c r="S21" s="32"/>
      <c r="T21" s="32"/>
      <c r="U21" s="32"/>
    </row>
    <row r="22" spans="1:21" s="3" customFormat="1" x14ac:dyDescent="0.25">
      <c r="A22" s="1"/>
      <c r="D22" s="2"/>
      <c r="E22" s="2"/>
      <c r="F22" s="2"/>
      <c r="G22" s="4"/>
      <c r="Q22" s="3" t="s">
        <v>201</v>
      </c>
    </row>
    <row r="23" spans="1:21" x14ac:dyDescent="0.25">
      <c r="B23" s="2" t="s">
        <v>176</v>
      </c>
      <c r="L23" s="9" t="s">
        <v>248</v>
      </c>
      <c r="Q23" s="3" t="s">
        <v>202</v>
      </c>
    </row>
    <row r="24" spans="1:21" s="3" customFormat="1" x14ac:dyDescent="0.25">
      <c r="A24" s="1"/>
      <c r="B24" s="2"/>
      <c r="C24" s="2" t="s">
        <v>2</v>
      </c>
      <c r="D24" s="2"/>
      <c r="E24" s="2" t="s">
        <v>171</v>
      </c>
      <c r="F24" s="2"/>
      <c r="G24" s="4"/>
      <c r="J24" s="18"/>
      <c r="K24" s="3">
        <v>8000000</v>
      </c>
      <c r="L24" s="3">
        <v>15000000</v>
      </c>
      <c r="M24" s="3">
        <v>20000000</v>
      </c>
      <c r="N24" s="3">
        <v>30000000</v>
      </c>
      <c r="O24" s="3">
        <v>30000000</v>
      </c>
      <c r="Q24" s="3" t="s">
        <v>219</v>
      </c>
    </row>
    <row r="25" spans="1:21" s="3" customFormat="1" x14ac:dyDescent="0.25">
      <c r="A25" s="1"/>
      <c r="B25" s="2"/>
      <c r="C25" s="2"/>
      <c r="D25" s="2"/>
      <c r="E25" s="2" t="s">
        <v>172</v>
      </c>
      <c r="F25" s="2"/>
      <c r="G25" s="4"/>
      <c r="J25" s="18"/>
      <c r="L25" s="3">
        <v>3500000</v>
      </c>
      <c r="M25" s="3">
        <v>12000000</v>
      </c>
      <c r="N25" s="3">
        <v>18000000</v>
      </c>
      <c r="O25" s="3">
        <v>18000000</v>
      </c>
      <c r="Q25" s="3" t="s">
        <v>208</v>
      </c>
    </row>
    <row r="26" spans="1:21" s="3" customFormat="1" x14ac:dyDescent="0.25">
      <c r="A26" s="1"/>
      <c r="B26" s="2"/>
      <c r="C26" s="2"/>
      <c r="D26" s="2"/>
      <c r="E26" s="2" t="s">
        <v>173</v>
      </c>
      <c r="F26" s="2"/>
      <c r="G26" s="4"/>
      <c r="J26" s="18"/>
      <c r="L26" s="3">
        <v>3000000</v>
      </c>
      <c r="M26" s="3">
        <v>10000000</v>
      </c>
      <c r="N26" s="3">
        <v>12000000</v>
      </c>
      <c r="O26" s="3">
        <v>12000000</v>
      </c>
    </row>
    <row r="27" spans="1:21" s="3" customFormat="1" x14ac:dyDescent="0.25">
      <c r="A27" s="1"/>
      <c r="B27" s="2"/>
      <c r="C27" s="2"/>
      <c r="D27" s="2"/>
      <c r="E27" s="2" t="s">
        <v>174</v>
      </c>
      <c r="F27" s="2"/>
      <c r="G27" s="4"/>
      <c r="J27" s="18"/>
      <c r="M27" s="3">
        <v>3000000</v>
      </c>
      <c r="N27" s="3">
        <v>6000000</v>
      </c>
      <c r="O27" s="3">
        <v>6000000</v>
      </c>
    </row>
    <row r="28" spans="1:21" s="3" customFormat="1" x14ac:dyDescent="0.25">
      <c r="A28" s="1"/>
      <c r="B28" s="2"/>
      <c r="C28" s="2"/>
      <c r="D28" s="2"/>
      <c r="E28" s="2" t="s">
        <v>175</v>
      </c>
      <c r="F28" s="2"/>
      <c r="J28" s="18"/>
      <c r="M28" s="3">
        <v>5000000</v>
      </c>
      <c r="N28" s="3">
        <v>5000000</v>
      </c>
      <c r="O28" s="3">
        <v>5000000</v>
      </c>
    </row>
    <row r="29" spans="1:21" s="3" customFormat="1" x14ac:dyDescent="0.25">
      <c r="A29" s="1"/>
      <c r="B29" s="2"/>
      <c r="C29" s="5" t="s">
        <v>3</v>
      </c>
      <c r="D29" s="5"/>
      <c r="F29" s="5"/>
      <c r="G29" s="4"/>
      <c r="H29" s="6">
        <f>SUM(J24:J28)</f>
        <v>0</v>
      </c>
      <c r="I29" s="6">
        <f t="shared" ref="I29" si="0">SUM(I24:I28)</f>
        <v>0</v>
      </c>
      <c r="J29" s="19">
        <f>SUM(H24:H28)+250000</f>
        <v>250000</v>
      </c>
      <c r="K29" s="6">
        <f>SUM(K24:K28)</f>
        <v>8000000</v>
      </c>
      <c r="L29" s="6">
        <f t="shared" ref="L29:M29" si="1">SUM(L24:L28)</f>
        <v>21500000</v>
      </c>
      <c r="M29" s="6">
        <f t="shared" si="1"/>
        <v>50000000</v>
      </c>
      <c r="N29" s="6">
        <f>SUM(N24:N28)</f>
        <v>71000000</v>
      </c>
      <c r="O29" s="6">
        <f>SUM(O24:O28)</f>
        <v>71000000</v>
      </c>
    </row>
    <row r="30" spans="1:21" s="3" customFormat="1" x14ac:dyDescent="0.25">
      <c r="A30" s="1"/>
      <c r="B30" s="2"/>
      <c r="C30" s="5"/>
      <c r="D30" s="5"/>
      <c r="F30" s="5"/>
      <c r="G30" s="4"/>
      <c r="H30" s="6"/>
      <c r="I30" s="6"/>
      <c r="J30" s="6"/>
      <c r="K30" s="6"/>
      <c r="L30" s="6"/>
      <c r="M30" s="6"/>
      <c r="N30" s="6"/>
      <c r="O30" s="6"/>
    </row>
    <row r="31" spans="1:21" s="3" customFormat="1" x14ac:dyDescent="0.25">
      <c r="A31" s="1"/>
      <c r="B31" s="2"/>
      <c r="C31" s="2" t="s">
        <v>4</v>
      </c>
      <c r="D31" s="5"/>
      <c r="E31" s="5" t="s">
        <v>171</v>
      </c>
      <c r="F31" s="34" t="s">
        <v>298</v>
      </c>
      <c r="G31" s="34"/>
      <c r="H31" s="34"/>
      <c r="I31" s="34"/>
      <c r="K31" s="3">
        <f>K24*0.25</f>
        <v>2000000</v>
      </c>
      <c r="L31" s="3">
        <f>L24*0.25</f>
        <v>3750000</v>
      </c>
      <c r="M31" s="3">
        <f>M24*0.25</f>
        <v>5000000</v>
      </c>
      <c r="N31" s="3">
        <f>N24*0.25</f>
        <v>7500000</v>
      </c>
      <c r="O31" s="3">
        <f>O24*0.25</f>
        <v>7500000</v>
      </c>
      <c r="Q31" s="3" t="s">
        <v>218</v>
      </c>
    </row>
    <row r="32" spans="1:21" s="3" customFormat="1" x14ac:dyDescent="0.25">
      <c r="A32" s="1"/>
      <c r="B32" s="2"/>
      <c r="C32" s="5"/>
      <c r="D32" s="5"/>
      <c r="E32" s="5" t="s">
        <v>172</v>
      </c>
      <c r="F32" s="34"/>
      <c r="G32" s="34"/>
      <c r="H32" s="34"/>
      <c r="I32" s="34"/>
      <c r="L32" s="3">
        <f t="shared" ref="L32:N33" si="2">L25*0.25</f>
        <v>875000</v>
      </c>
      <c r="M32" s="3">
        <f t="shared" si="2"/>
        <v>3000000</v>
      </c>
      <c r="N32" s="3">
        <f t="shared" si="2"/>
        <v>4500000</v>
      </c>
      <c r="O32" s="3">
        <f t="shared" ref="O32" si="3">O25*0.25</f>
        <v>4500000</v>
      </c>
      <c r="Q32" s="3" t="s">
        <v>209</v>
      </c>
    </row>
    <row r="33" spans="1:26" s="3" customFormat="1" x14ac:dyDescent="0.25">
      <c r="A33" s="1"/>
      <c r="B33" s="2"/>
      <c r="C33" s="5"/>
      <c r="D33" s="5"/>
      <c r="E33" s="5" t="s">
        <v>173</v>
      </c>
      <c r="F33" s="34"/>
      <c r="G33" s="34"/>
      <c r="H33" s="34"/>
      <c r="I33" s="34"/>
      <c r="J33" s="6"/>
      <c r="K33" s="6"/>
      <c r="L33" s="6">
        <f t="shared" si="2"/>
        <v>750000</v>
      </c>
      <c r="M33" s="6">
        <f t="shared" si="2"/>
        <v>2500000</v>
      </c>
      <c r="N33" s="6">
        <f t="shared" si="2"/>
        <v>3000000</v>
      </c>
      <c r="O33" s="6">
        <f t="shared" ref="O33" si="4">O26*0.25</f>
        <v>3000000</v>
      </c>
    </row>
    <row r="34" spans="1:26" s="3" customFormat="1" x14ac:dyDescent="0.25">
      <c r="A34" s="1"/>
      <c r="B34" s="2"/>
      <c r="C34" s="5"/>
      <c r="D34" s="5"/>
      <c r="E34" s="5" t="s">
        <v>174</v>
      </c>
      <c r="F34" s="34"/>
      <c r="G34" s="34"/>
      <c r="H34" s="34"/>
      <c r="I34" s="34"/>
      <c r="J34" s="6"/>
      <c r="K34" s="6"/>
      <c r="L34" s="6"/>
      <c r="M34" s="6">
        <f t="shared" ref="M34:O35" si="5">M27*0.25</f>
        <v>750000</v>
      </c>
      <c r="N34" s="6">
        <f t="shared" si="5"/>
        <v>1500000</v>
      </c>
      <c r="O34" s="6">
        <f t="shared" si="5"/>
        <v>1500000</v>
      </c>
    </row>
    <row r="35" spans="1:26" s="3" customFormat="1" x14ac:dyDescent="0.25">
      <c r="A35" s="1"/>
      <c r="B35" s="2"/>
      <c r="C35" s="5"/>
      <c r="D35" s="5"/>
      <c r="E35" s="5" t="s">
        <v>175</v>
      </c>
      <c r="F35" s="34"/>
      <c r="G35" s="34"/>
      <c r="H35" s="34"/>
      <c r="I35" s="34"/>
      <c r="J35" s="6"/>
      <c r="K35" s="6"/>
      <c r="L35" s="6"/>
      <c r="M35" s="6">
        <f t="shared" si="5"/>
        <v>1250000</v>
      </c>
      <c r="N35" s="6">
        <f t="shared" si="5"/>
        <v>1250000</v>
      </c>
      <c r="O35" s="6">
        <f t="shared" si="5"/>
        <v>1250000</v>
      </c>
    </row>
    <row r="36" spans="1:26" s="3" customFormat="1" x14ac:dyDescent="0.25">
      <c r="A36" s="1"/>
      <c r="B36" s="2"/>
      <c r="C36" s="5"/>
      <c r="D36" s="5"/>
      <c r="E36" s="5"/>
      <c r="F36" s="5"/>
      <c r="G36" s="4"/>
      <c r="H36" s="6"/>
      <c r="I36" s="6"/>
      <c r="J36" s="6"/>
      <c r="K36" s="6"/>
      <c r="L36" s="6"/>
      <c r="M36" s="6"/>
      <c r="N36" s="6"/>
      <c r="O36" s="6"/>
    </row>
    <row r="37" spans="1:26" s="3" customFormat="1" x14ac:dyDescent="0.25">
      <c r="A37" s="1"/>
      <c r="B37" s="2"/>
      <c r="C37" s="7" t="s">
        <v>5</v>
      </c>
      <c r="D37" s="5"/>
      <c r="E37" s="5"/>
      <c r="F37" s="5"/>
      <c r="G37" s="4"/>
      <c r="H37" s="4">
        <f>H31+H32</f>
        <v>0</v>
      </c>
      <c r="I37" s="4">
        <f>I31+I32</f>
        <v>0</v>
      </c>
      <c r="J37" s="4">
        <f>J31+J32</f>
        <v>0</v>
      </c>
      <c r="K37" s="4">
        <f>SUM(K31:K35)</f>
        <v>2000000</v>
      </c>
      <c r="L37" s="4">
        <f>SUM(L31:L35)</f>
        <v>5375000</v>
      </c>
      <c r="M37" s="4">
        <f>SUM(M31:M35)</f>
        <v>12500000</v>
      </c>
      <c r="N37" s="4">
        <f>SUM(N31:N35)</f>
        <v>17750000</v>
      </c>
      <c r="O37" s="4">
        <f>SUM(O31:O35)</f>
        <v>17750000</v>
      </c>
    </row>
    <row r="38" spans="1:26" s="3" customFormat="1" x14ac:dyDescent="0.25">
      <c r="A38" s="1"/>
      <c r="B38" s="2"/>
      <c r="C38" s="7" t="s">
        <v>6</v>
      </c>
      <c r="D38" s="2"/>
      <c r="E38" s="2"/>
      <c r="F38" s="2"/>
      <c r="G38" s="4"/>
      <c r="H38" s="3">
        <f>(H24-H31)+(H25-H32)</f>
        <v>0</v>
      </c>
      <c r="I38" s="3">
        <f>(I24-I31)+(I25-I32)</f>
        <v>0</v>
      </c>
      <c r="J38" s="3">
        <f>(J24-J31)+(J25-J32)</f>
        <v>0</v>
      </c>
      <c r="K38" s="3">
        <f>K29-K37</f>
        <v>6000000</v>
      </c>
      <c r="L38" s="3">
        <f>L29-L37</f>
        <v>16125000</v>
      </c>
      <c r="M38" s="3">
        <f>M29-M37</f>
        <v>37500000</v>
      </c>
      <c r="N38" s="3">
        <f>N29-N37</f>
        <v>53250000</v>
      </c>
      <c r="O38" s="3">
        <f>O29-O37</f>
        <v>53250000</v>
      </c>
    </row>
    <row r="39" spans="1:26" s="3" customFormat="1" x14ac:dyDescent="0.25">
      <c r="A39" s="1"/>
      <c r="B39" s="2"/>
      <c r="D39" s="7"/>
      <c r="E39" s="7"/>
      <c r="F39" s="7"/>
      <c r="G39" s="4"/>
    </row>
    <row r="40" spans="1:26" x14ac:dyDescent="0.25">
      <c r="B40" s="2" t="s">
        <v>177</v>
      </c>
    </row>
    <row r="41" spans="1:26" x14ac:dyDescent="0.25">
      <c r="C41" s="2" t="s">
        <v>7</v>
      </c>
      <c r="F41" s="2" t="s">
        <v>187</v>
      </c>
      <c r="G41" s="35" t="s">
        <v>344</v>
      </c>
      <c r="H41" s="35"/>
      <c r="I41" s="3">
        <v>100000</v>
      </c>
      <c r="J41" s="3">
        <v>100000</v>
      </c>
      <c r="K41" s="3">
        <v>5000000</v>
      </c>
      <c r="L41" s="3">
        <v>7000000</v>
      </c>
      <c r="M41" s="3">
        <v>9000000</v>
      </c>
      <c r="N41" s="3">
        <v>9000000</v>
      </c>
      <c r="O41" s="3">
        <v>9000000</v>
      </c>
      <c r="Q41" s="3" t="s">
        <v>193</v>
      </c>
    </row>
    <row r="42" spans="1:26" x14ac:dyDescent="0.25">
      <c r="C42" s="2" t="s">
        <v>8</v>
      </c>
      <c r="F42" s="2" t="s">
        <v>187</v>
      </c>
      <c r="G42" s="35"/>
      <c r="H42" s="35"/>
      <c r="I42" s="3">
        <v>75000</v>
      </c>
      <c r="J42" s="3">
        <v>75000</v>
      </c>
      <c r="K42" s="3">
        <v>1000000</v>
      </c>
      <c r="L42" s="3">
        <v>1000000</v>
      </c>
      <c r="M42" s="3">
        <v>1500000</v>
      </c>
      <c r="N42" s="3">
        <v>2000000</v>
      </c>
      <c r="O42" s="3">
        <v>2000000</v>
      </c>
    </row>
    <row r="43" spans="1:26" x14ac:dyDescent="0.25">
      <c r="A43" s="1" t="s">
        <v>9</v>
      </c>
      <c r="C43" s="2" t="s">
        <v>10</v>
      </c>
      <c r="F43" s="2" t="s">
        <v>187</v>
      </c>
      <c r="G43" s="35"/>
      <c r="H43" s="35"/>
      <c r="I43" s="8">
        <v>100000</v>
      </c>
      <c r="J43" s="8">
        <v>100000</v>
      </c>
      <c r="K43" s="8">
        <v>6000000</v>
      </c>
      <c r="L43" s="8">
        <v>7000000</v>
      </c>
      <c r="M43" s="8">
        <v>9000000</v>
      </c>
      <c r="N43" s="8">
        <v>11000000</v>
      </c>
      <c r="O43" s="8">
        <v>11000000</v>
      </c>
    </row>
    <row r="44" spans="1:26" x14ac:dyDescent="0.25">
      <c r="C44" s="2" t="s">
        <v>11</v>
      </c>
      <c r="F44" s="2" t="s">
        <v>187</v>
      </c>
      <c r="G44" s="35"/>
      <c r="H44" s="35"/>
      <c r="I44" s="3">
        <v>200000</v>
      </c>
      <c r="J44" s="3">
        <v>300000</v>
      </c>
      <c r="K44" s="3">
        <v>3000000</v>
      </c>
      <c r="L44" s="3">
        <v>5000000</v>
      </c>
      <c r="M44" s="3">
        <v>2000000</v>
      </c>
      <c r="N44" s="3">
        <v>2000000</v>
      </c>
      <c r="O44" s="3">
        <v>2000000</v>
      </c>
    </row>
    <row r="45" spans="1:26" x14ac:dyDescent="0.25">
      <c r="C45" s="2" t="s">
        <v>12</v>
      </c>
      <c r="F45" s="2" t="s">
        <v>187</v>
      </c>
      <c r="G45" s="35"/>
      <c r="H45" s="35"/>
      <c r="I45" s="3">
        <v>250000</v>
      </c>
      <c r="J45" s="3">
        <v>500000</v>
      </c>
      <c r="K45" s="3">
        <v>3000000</v>
      </c>
      <c r="L45" s="3">
        <v>6000000</v>
      </c>
      <c r="M45" s="3">
        <v>8000000</v>
      </c>
      <c r="N45" s="3">
        <v>8000000</v>
      </c>
      <c r="O45" s="3">
        <v>8000000</v>
      </c>
    </row>
    <row r="46" spans="1:26" x14ac:dyDescent="0.25">
      <c r="C46" s="2" t="s">
        <v>13</v>
      </c>
      <c r="E46" s="1" t="s">
        <v>14</v>
      </c>
      <c r="L46" s="3">
        <v>300000</v>
      </c>
    </row>
    <row r="47" spans="1:26" s="7" customFormat="1" x14ac:dyDescent="0.25">
      <c r="A47" s="1" t="s">
        <v>16</v>
      </c>
      <c r="C47" s="7" t="s">
        <v>17</v>
      </c>
      <c r="G47" s="4"/>
      <c r="H47" s="9">
        <f>SUM(H41:H46)</f>
        <v>0</v>
      </c>
      <c r="I47" s="9">
        <f>SUM(I41:I46)</f>
        <v>725000</v>
      </c>
      <c r="J47" s="9">
        <f>SUM(J41:J46)</f>
        <v>1075000</v>
      </c>
      <c r="K47" s="9">
        <f>SUM(K41:K46)</f>
        <v>18000000</v>
      </c>
      <c r="L47" s="9">
        <f>SUM(L41:L46)</f>
        <v>26300000</v>
      </c>
      <c r="M47" s="9">
        <f>SUM(M41:M46)</f>
        <v>29500000</v>
      </c>
      <c r="N47" s="9">
        <f>SUM(N41:N46)</f>
        <v>32000000</v>
      </c>
      <c r="O47" s="9">
        <f>SUM(O41:O46)</f>
        <v>32000000</v>
      </c>
      <c r="P47" s="4"/>
      <c r="Q47" s="4"/>
      <c r="R47" s="4"/>
      <c r="S47" s="4"/>
      <c r="T47" s="4"/>
      <c r="U47" s="4"/>
      <c r="V47" s="4"/>
      <c r="W47" s="4"/>
      <c r="X47" s="4"/>
      <c r="Y47" s="4"/>
      <c r="Z47" s="4"/>
    </row>
    <row r="48" spans="1:26" s="7" customFormat="1" x14ac:dyDescent="0.25">
      <c r="A48" s="1"/>
      <c r="C48" s="7" t="s">
        <v>210</v>
      </c>
      <c r="G48" s="4"/>
      <c r="H48" s="4">
        <f>H38-H47</f>
        <v>0</v>
      </c>
      <c r="I48" s="4">
        <f>I38-I47</f>
        <v>-725000</v>
      </c>
      <c r="J48" s="4">
        <f>J38-J47</f>
        <v>-1075000</v>
      </c>
      <c r="K48" s="4">
        <f>K38-K47</f>
        <v>-12000000</v>
      </c>
      <c r="L48" s="4">
        <f>L38-L47</f>
        <v>-10175000</v>
      </c>
      <c r="M48" s="4">
        <f>M38-M47</f>
        <v>8000000</v>
      </c>
      <c r="N48" s="4">
        <f>N38-N47</f>
        <v>21250000</v>
      </c>
      <c r="O48" s="4">
        <f>O38-O47</f>
        <v>21250000</v>
      </c>
      <c r="P48" s="4"/>
      <c r="Q48" s="4"/>
      <c r="R48" s="4"/>
      <c r="S48" s="4"/>
      <c r="T48" s="4"/>
      <c r="U48" s="4"/>
      <c r="V48" s="4"/>
      <c r="W48" s="4"/>
      <c r="X48" s="4"/>
      <c r="Y48" s="4"/>
      <c r="Z48" s="4"/>
    </row>
    <row r="49" spans="1:17" x14ac:dyDescent="0.25">
      <c r="C49" s="2" t="s">
        <v>211</v>
      </c>
      <c r="H49" s="3">
        <f>H84*0.05</f>
        <v>5000</v>
      </c>
      <c r="I49" s="3">
        <f t="shared" ref="I49:N49" si="6">I84*0.05</f>
        <v>105000</v>
      </c>
      <c r="J49" s="3">
        <f t="shared" si="6"/>
        <v>105000</v>
      </c>
      <c r="K49" s="3">
        <f t="shared" si="6"/>
        <v>705000</v>
      </c>
      <c r="L49" s="3">
        <f t="shared" si="6"/>
        <v>705000</v>
      </c>
      <c r="M49" s="3">
        <f t="shared" si="6"/>
        <v>705000</v>
      </c>
      <c r="N49" s="3">
        <f t="shared" si="6"/>
        <v>555000</v>
      </c>
      <c r="O49" s="3">
        <f t="shared" ref="O49" si="7">O84*0.05</f>
        <v>555000</v>
      </c>
    </row>
    <row r="50" spans="1:17" x14ac:dyDescent="0.25">
      <c r="C50" s="2" t="s">
        <v>212</v>
      </c>
      <c r="H50" s="3">
        <f>H48-H49</f>
        <v>-5000</v>
      </c>
      <c r="I50" s="3">
        <f t="shared" ref="I50:N50" si="8">I48-I49</f>
        <v>-830000</v>
      </c>
      <c r="J50" s="3">
        <f t="shared" si="8"/>
        <v>-1180000</v>
      </c>
      <c r="K50" s="3">
        <f t="shared" si="8"/>
        <v>-12705000</v>
      </c>
      <c r="L50" s="3">
        <f t="shared" si="8"/>
        <v>-10880000</v>
      </c>
      <c r="M50" s="3">
        <f t="shared" si="8"/>
        <v>7295000</v>
      </c>
      <c r="N50" s="3">
        <f t="shared" si="8"/>
        <v>20695000</v>
      </c>
      <c r="O50" s="3">
        <f t="shared" ref="O50" si="9">O48-O49</f>
        <v>20695000</v>
      </c>
    </row>
    <row r="51" spans="1:17" x14ac:dyDescent="0.25">
      <c r="C51" s="2" t="s">
        <v>21</v>
      </c>
      <c r="H51" s="3">
        <f>G70*0.12</f>
        <v>0</v>
      </c>
      <c r="I51" s="3">
        <f t="shared" ref="I51:O51" si="10">H70*0.12</f>
        <v>720</v>
      </c>
      <c r="J51" s="3">
        <f t="shared" si="10"/>
        <v>720</v>
      </c>
      <c r="K51" s="3">
        <f t="shared" si="10"/>
        <v>36720</v>
      </c>
      <c r="L51" s="3">
        <f t="shared" si="10"/>
        <v>36720</v>
      </c>
      <c r="M51" s="3">
        <f>L70*0.12</f>
        <v>636720</v>
      </c>
      <c r="N51" s="3">
        <f t="shared" si="10"/>
        <v>636720</v>
      </c>
      <c r="O51" s="3">
        <f t="shared" si="10"/>
        <v>636720</v>
      </c>
    </row>
    <row r="52" spans="1:17" x14ac:dyDescent="0.25">
      <c r="C52" s="2" t="s">
        <v>22</v>
      </c>
      <c r="H52" s="3">
        <f>H50-H51</f>
        <v>-5000</v>
      </c>
      <c r="I52" s="3">
        <f>I50-I51</f>
        <v>-830720</v>
      </c>
      <c r="J52" s="3">
        <f>J50-J51</f>
        <v>-1180720</v>
      </c>
      <c r="K52" s="3">
        <f>K50-K51</f>
        <v>-12741720</v>
      </c>
      <c r="L52" s="3">
        <f t="shared" ref="L52:N52" si="11">L50-L51</f>
        <v>-10916720</v>
      </c>
      <c r="M52" s="3">
        <f t="shared" si="11"/>
        <v>6658280</v>
      </c>
      <c r="N52" s="3">
        <f t="shared" si="11"/>
        <v>20058280</v>
      </c>
      <c r="O52" s="3">
        <f t="shared" ref="O52" si="12">O50-O51</f>
        <v>20058280</v>
      </c>
      <c r="Q52" s="3" t="s">
        <v>192</v>
      </c>
    </row>
    <row r="53" spans="1:17" x14ac:dyDescent="0.25">
      <c r="C53" s="2" t="s">
        <v>213</v>
      </c>
      <c r="H53" s="3">
        <f>(H50-H51)*0.2</f>
        <v>-1000</v>
      </c>
      <c r="I53" s="3">
        <f t="shared" ref="I53:N53" si="13">(I50-I51)*0.2</f>
        <v>-166144</v>
      </c>
      <c r="J53" s="3">
        <f t="shared" si="13"/>
        <v>-236144</v>
      </c>
      <c r="K53" s="3">
        <f t="shared" si="13"/>
        <v>-2548344</v>
      </c>
      <c r="L53" s="3">
        <f t="shared" si="13"/>
        <v>-2183344</v>
      </c>
      <c r="M53" s="3">
        <f t="shared" si="13"/>
        <v>1331656</v>
      </c>
      <c r="N53" s="3">
        <f t="shared" si="13"/>
        <v>4011656</v>
      </c>
      <c r="O53" s="3">
        <f t="shared" ref="O53" si="14">(O50-O51)*0.2</f>
        <v>4011656</v>
      </c>
      <c r="Q53" s="3" t="s">
        <v>250</v>
      </c>
    </row>
    <row r="54" spans="1:17" x14ac:dyDescent="0.25">
      <c r="C54" s="7" t="s">
        <v>249</v>
      </c>
      <c r="D54" s="7"/>
      <c r="E54" s="7"/>
      <c r="F54" s="7"/>
      <c r="H54" s="4">
        <f>H50-H51-H53</f>
        <v>-4000</v>
      </c>
      <c r="I54" s="4">
        <f t="shared" ref="I54:N54" si="15">I50-I51-I53</f>
        <v>-664576</v>
      </c>
      <c r="J54" s="4">
        <f t="shared" si="15"/>
        <v>-944576</v>
      </c>
      <c r="K54" s="4">
        <f t="shared" si="15"/>
        <v>-10193376</v>
      </c>
      <c r="L54" s="3">
        <f t="shared" si="15"/>
        <v>-8733376</v>
      </c>
      <c r="M54" s="3">
        <f t="shared" si="15"/>
        <v>5326624</v>
      </c>
      <c r="N54" s="3">
        <f t="shared" si="15"/>
        <v>16046624</v>
      </c>
      <c r="O54" s="3">
        <f t="shared" ref="O54" si="16">O50-O51-O53</f>
        <v>16046624</v>
      </c>
    </row>
    <row r="57" spans="1:17" x14ac:dyDescent="0.25">
      <c r="A57" s="22" t="s">
        <v>288</v>
      </c>
      <c r="B57" s="23"/>
      <c r="C57" s="23"/>
      <c r="D57" s="23"/>
      <c r="E57" s="23"/>
    </row>
    <row r="58" spans="1:17" x14ac:dyDescent="0.25">
      <c r="H58" s="4" t="s">
        <v>25</v>
      </c>
      <c r="I58" s="4"/>
      <c r="J58" s="4"/>
      <c r="K58" s="4"/>
    </row>
    <row r="59" spans="1:17" x14ac:dyDescent="0.25">
      <c r="H59" s="4"/>
      <c r="I59" s="4" t="s">
        <v>26</v>
      </c>
      <c r="J59" s="4"/>
      <c r="K59" s="4"/>
    </row>
    <row r="60" spans="1:17" x14ac:dyDescent="0.25">
      <c r="H60" s="4" t="s">
        <v>1</v>
      </c>
      <c r="I60" s="4" t="s">
        <v>1</v>
      </c>
      <c r="J60" s="4" t="s">
        <v>27</v>
      </c>
      <c r="K60" s="4" t="s">
        <v>1</v>
      </c>
      <c r="L60" s="3" t="s">
        <v>1</v>
      </c>
      <c r="M60" s="3" t="s">
        <v>1</v>
      </c>
      <c r="N60" s="3" t="s">
        <v>1</v>
      </c>
      <c r="O60" s="3" t="s">
        <v>1</v>
      </c>
    </row>
    <row r="61" spans="1:17" x14ac:dyDescent="0.25">
      <c r="G61" s="4" t="s">
        <v>28</v>
      </c>
      <c r="H61" s="4">
        <v>1</v>
      </c>
      <c r="I61" s="4">
        <v>2</v>
      </c>
      <c r="J61" s="4">
        <v>3</v>
      </c>
      <c r="K61" s="4">
        <v>4</v>
      </c>
      <c r="L61" s="3">
        <v>5</v>
      </c>
      <c r="M61" s="3">
        <v>6</v>
      </c>
      <c r="N61" s="3">
        <v>7</v>
      </c>
      <c r="O61" s="3">
        <v>8</v>
      </c>
    </row>
    <row r="62" spans="1:17" x14ac:dyDescent="0.25">
      <c r="G62" s="4" t="s">
        <v>29</v>
      </c>
      <c r="I62" s="3" t="s">
        <v>30</v>
      </c>
    </row>
    <row r="63" spans="1:17" x14ac:dyDescent="0.25">
      <c r="B63" s="7" t="s">
        <v>31</v>
      </c>
    </row>
    <row r="64" spans="1:17" x14ac:dyDescent="0.25">
      <c r="C64" s="2" t="s">
        <v>32</v>
      </c>
      <c r="G64" s="4">
        <v>95000</v>
      </c>
      <c r="H64" s="3">
        <f t="shared" ref="H64:N64" si="17">H126</f>
        <v>2090000</v>
      </c>
      <c r="I64" s="3">
        <f t="shared" si="17"/>
        <v>1260000</v>
      </c>
      <c r="J64" s="3">
        <f t="shared" si="17"/>
        <v>11782000</v>
      </c>
      <c r="K64" s="3">
        <f t="shared" si="17"/>
        <v>2609288</v>
      </c>
      <c r="L64" s="3">
        <f t="shared" si="17"/>
        <v>-2400424</v>
      </c>
      <c r="M64" s="3">
        <f t="shared" si="17"/>
        <v>18058976</v>
      </c>
      <c r="N64" s="3">
        <f t="shared" si="17"/>
        <v>51050376</v>
      </c>
      <c r="O64" s="3">
        <f t="shared" ref="O64" si="18">O126</f>
        <v>64317664</v>
      </c>
    </row>
    <row r="65" spans="1:26" x14ac:dyDescent="0.25">
      <c r="C65" s="2" t="s">
        <v>122</v>
      </c>
      <c r="H65" s="3">
        <f>H24*0.1</f>
        <v>0</v>
      </c>
      <c r="I65" s="3">
        <f>I24*0.1</f>
        <v>0</v>
      </c>
      <c r="J65" s="3">
        <f>J24*0.1</f>
        <v>0</v>
      </c>
      <c r="K65" s="3">
        <f>K29*0.1</f>
        <v>800000</v>
      </c>
      <c r="L65" s="3">
        <f>L29*0.1</f>
        <v>2150000</v>
      </c>
      <c r="M65" s="3">
        <f>M29*0.1</f>
        <v>5000000</v>
      </c>
      <c r="N65" s="3">
        <f>N29*0.1</f>
        <v>7100000</v>
      </c>
      <c r="O65" s="3">
        <f>O29*0.1</f>
        <v>7100000</v>
      </c>
    </row>
    <row r="66" spans="1:26" x14ac:dyDescent="0.25">
      <c r="C66" s="2" t="s">
        <v>123</v>
      </c>
      <c r="H66" s="3">
        <f>H31*0.1</f>
        <v>0</v>
      </c>
      <c r="I66" s="3">
        <f>I31*0.1</f>
        <v>0</v>
      </c>
      <c r="J66" s="3">
        <f>J31*0.1</f>
        <v>0</v>
      </c>
      <c r="K66" s="3">
        <f>K37*0.1</f>
        <v>200000</v>
      </c>
      <c r="L66" s="3">
        <f>L37*0.1</f>
        <v>537500</v>
      </c>
      <c r="M66" s="3">
        <f>M37*0.1</f>
        <v>1250000</v>
      </c>
      <c r="N66" s="3">
        <f>N37*0.1</f>
        <v>1775000</v>
      </c>
      <c r="O66" s="3">
        <f>O37*0.1</f>
        <v>1775000</v>
      </c>
    </row>
    <row r="67" spans="1:26" x14ac:dyDescent="0.25">
      <c r="B67" s="7" t="s">
        <v>33</v>
      </c>
      <c r="G67" s="4">
        <f t="shared" ref="G67:N67" si="19">SUM(G64:G66)</f>
        <v>95000</v>
      </c>
      <c r="H67" s="3">
        <f t="shared" si="19"/>
        <v>2090000</v>
      </c>
      <c r="I67" s="3">
        <f t="shared" si="19"/>
        <v>1260000</v>
      </c>
      <c r="J67" s="3">
        <f t="shared" si="19"/>
        <v>11782000</v>
      </c>
      <c r="K67" s="3">
        <f t="shared" si="19"/>
        <v>3609288</v>
      </c>
      <c r="L67" s="3">
        <f t="shared" si="19"/>
        <v>287076</v>
      </c>
      <c r="M67" s="3">
        <f t="shared" si="19"/>
        <v>24308976</v>
      </c>
      <c r="N67" s="3">
        <f t="shared" si="19"/>
        <v>59925376</v>
      </c>
      <c r="O67" s="3">
        <f t="shared" ref="O67" si="20">SUM(O64:O66)</f>
        <v>73192664</v>
      </c>
    </row>
    <row r="68" spans="1:26" x14ac:dyDescent="0.25">
      <c r="B68" s="7" t="s">
        <v>34</v>
      </c>
      <c r="H68" s="3">
        <f t="shared" ref="H68:O68" si="21">G68+G69</f>
        <v>6000</v>
      </c>
      <c r="I68" s="3">
        <f t="shared" si="21"/>
        <v>6000</v>
      </c>
      <c r="J68" s="3">
        <f t="shared" si="21"/>
        <v>6000</v>
      </c>
      <c r="K68" s="3">
        <f t="shared" si="21"/>
        <v>306000</v>
      </c>
      <c r="L68" s="3">
        <f t="shared" si="21"/>
        <v>306000</v>
      </c>
      <c r="M68" s="3">
        <f t="shared" si="21"/>
        <v>5306000</v>
      </c>
      <c r="N68" s="3">
        <f t="shared" si="21"/>
        <v>5306000</v>
      </c>
      <c r="O68" s="3">
        <f t="shared" si="21"/>
        <v>5306000</v>
      </c>
    </row>
    <row r="69" spans="1:26" x14ac:dyDescent="0.25">
      <c r="C69" s="2" t="s">
        <v>35</v>
      </c>
      <c r="G69" s="4">
        <v>6000</v>
      </c>
      <c r="I69" s="9"/>
      <c r="J69" s="9">
        <v>300000</v>
      </c>
      <c r="K69" s="3">
        <v>0</v>
      </c>
      <c r="L69" s="9">
        <v>5000000</v>
      </c>
      <c r="M69" s="3">
        <v>0</v>
      </c>
      <c r="N69" s="3">
        <v>0</v>
      </c>
      <c r="O69" s="3">
        <v>0</v>
      </c>
      <c r="Q69" s="3" t="s">
        <v>178</v>
      </c>
    </row>
    <row r="70" spans="1:26" x14ac:dyDescent="0.25">
      <c r="C70" s="2" t="s">
        <v>36</v>
      </c>
      <c r="H70" s="3">
        <f t="shared" ref="H70:N70" si="22">H68+H69</f>
        <v>6000</v>
      </c>
      <c r="I70" s="3">
        <f t="shared" si="22"/>
        <v>6000</v>
      </c>
      <c r="J70" s="3">
        <f t="shared" si="22"/>
        <v>306000</v>
      </c>
      <c r="K70" s="3">
        <f t="shared" si="22"/>
        <v>306000</v>
      </c>
      <c r="L70" s="3">
        <f t="shared" si="22"/>
        <v>5306000</v>
      </c>
      <c r="M70" s="3">
        <f t="shared" si="22"/>
        <v>5306000</v>
      </c>
      <c r="N70" s="3">
        <f t="shared" si="22"/>
        <v>5306000</v>
      </c>
      <c r="O70" s="3">
        <f t="shared" ref="O70" si="23">O68+O69</f>
        <v>5306000</v>
      </c>
    </row>
    <row r="71" spans="1:26" x14ac:dyDescent="0.25">
      <c r="C71" s="2" t="s">
        <v>37</v>
      </c>
      <c r="H71" s="3">
        <f>H51</f>
        <v>0</v>
      </c>
      <c r="I71" s="3">
        <f>I51</f>
        <v>720</v>
      </c>
      <c r="J71" s="3">
        <f t="shared" ref="J71:O71" si="24">J51+I71</f>
        <v>1440</v>
      </c>
      <c r="K71" s="3">
        <f t="shared" si="24"/>
        <v>38160</v>
      </c>
      <c r="L71" s="3">
        <f t="shared" si="24"/>
        <v>74880</v>
      </c>
      <c r="M71" s="3">
        <f t="shared" si="24"/>
        <v>711600</v>
      </c>
      <c r="N71" s="3">
        <f t="shared" si="24"/>
        <v>1348320</v>
      </c>
      <c r="O71" s="3">
        <f t="shared" si="24"/>
        <v>1985040</v>
      </c>
    </row>
    <row r="72" spans="1:26" x14ac:dyDescent="0.25">
      <c r="B72" s="7" t="s">
        <v>38</v>
      </c>
      <c r="G72" s="9">
        <f>G68+G69-G71</f>
        <v>6000</v>
      </c>
      <c r="H72" s="3">
        <f t="shared" ref="H72:M72" si="25">H70-H71</f>
        <v>6000</v>
      </c>
      <c r="I72" s="3">
        <f t="shared" si="25"/>
        <v>5280</v>
      </c>
      <c r="J72" s="3">
        <f t="shared" si="25"/>
        <v>304560</v>
      </c>
      <c r="K72" s="3">
        <f t="shared" si="25"/>
        <v>267840</v>
      </c>
      <c r="L72" s="3">
        <f t="shared" si="25"/>
        <v>5231120</v>
      </c>
      <c r="M72" s="3">
        <f t="shared" si="25"/>
        <v>4594400</v>
      </c>
      <c r="N72" s="3">
        <f t="shared" ref="N72" si="26">N70-N71</f>
        <v>3957680</v>
      </c>
      <c r="O72" s="3">
        <f t="shared" ref="O72" si="27">O70-O71</f>
        <v>3320960</v>
      </c>
    </row>
    <row r="75" spans="1:26" x14ac:dyDescent="0.25">
      <c r="B75" s="7" t="s">
        <v>39</v>
      </c>
      <c r="D75" s="7"/>
      <c r="E75" s="7"/>
      <c r="F75" s="7"/>
      <c r="G75" s="4">
        <f>G67+G72</f>
        <v>101000</v>
      </c>
      <c r="H75" s="4">
        <f>H67+H72</f>
        <v>2096000</v>
      </c>
      <c r="I75" s="4">
        <f t="shared" ref="I75:N75" si="28">I67+I72</f>
        <v>1265280</v>
      </c>
      <c r="J75" s="4">
        <f t="shared" si="28"/>
        <v>12086560</v>
      </c>
      <c r="K75" s="4">
        <f t="shared" si="28"/>
        <v>3877128</v>
      </c>
      <c r="L75" s="3">
        <f>L67+L72</f>
        <v>5518196</v>
      </c>
      <c r="M75" s="3">
        <f>M67+M72</f>
        <v>28903376</v>
      </c>
      <c r="N75" s="3">
        <f t="shared" si="28"/>
        <v>63883056</v>
      </c>
      <c r="O75" s="3">
        <f t="shared" ref="O75" si="29">O67+O72</f>
        <v>76513624</v>
      </c>
    </row>
    <row r="77" spans="1:26" x14ac:dyDescent="0.25">
      <c r="B77" s="7" t="s">
        <v>40</v>
      </c>
    </row>
    <row r="78" spans="1:26" s="10" customFormat="1" x14ac:dyDescent="0.25">
      <c r="A78" s="1"/>
      <c r="C78" s="10" t="s">
        <v>182</v>
      </c>
      <c r="G78" s="14"/>
      <c r="H78" s="11">
        <f>H31*0.1</f>
        <v>0</v>
      </c>
      <c r="I78" s="11">
        <f>I31*0.1</f>
        <v>0</v>
      </c>
      <c r="J78" s="11">
        <f>J31*0.1</f>
        <v>0</v>
      </c>
      <c r="K78" s="11">
        <f>K37*0.1</f>
        <v>200000</v>
      </c>
      <c r="L78" s="11">
        <f>L37*0.1</f>
        <v>537500</v>
      </c>
      <c r="M78" s="11">
        <f>M37*0.1</f>
        <v>1250000</v>
      </c>
      <c r="N78" s="11">
        <f>N37*0.1</f>
        <v>1775000</v>
      </c>
      <c r="O78" s="11">
        <f>O37*0.1</f>
        <v>1775000</v>
      </c>
      <c r="P78" s="11"/>
      <c r="Q78" s="11"/>
      <c r="R78" s="11"/>
      <c r="S78" s="11"/>
      <c r="T78" s="11"/>
      <c r="U78" s="11"/>
      <c r="V78" s="11"/>
      <c r="W78" s="11"/>
      <c r="X78" s="11"/>
      <c r="Y78" s="11"/>
      <c r="Z78" s="11"/>
    </row>
    <row r="79" spans="1:26" s="10" customFormat="1" x14ac:dyDescent="0.25">
      <c r="A79" s="1"/>
      <c r="C79" s="10" t="s">
        <v>41</v>
      </c>
      <c r="G79" s="14"/>
      <c r="H79" s="11">
        <f t="shared" ref="H79:J79" si="30">(H53+G53)-F79</f>
        <v>-1000</v>
      </c>
      <c r="I79" s="11">
        <f t="shared" si="30"/>
        <v>-167144</v>
      </c>
      <c r="J79" s="11">
        <f t="shared" si="30"/>
        <v>-401288</v>
      </c>
      <c r="K79" s="11">
        <f>(K53+J53)-I79</f>
        <v>-2617344</v>
      </c>
      <c r="L79" s="11">
        <f>(L53+K53)-J79</f>
        <v>-4330400</v>
      </c>
      <c r="M79" s="11">
        <f t="shared" ref="M79:O79" si="31">(M53+L53)-K79</f>
        <v>1765656</v>
      </c>
      <c r="N79" s="11">
        <f t="shared" si="31"/>
        <v>9673712</v>
      </c>
      <c r="O79" s="11">
        <f t="shared" si="31"/>
        <v>6257656</v>
      </c>
      <c r="P79" s="11"/>
      <c r="Q79" s="11" t="s">
        <v>206</v>
      </c>
      <c r="R79" s="11"/>
      <c r="S79" s="11"/>
      <c r="T79" s="11"/>
      <c r="U79" s="11"/>
      <c r="V79" s="11"/>
      <c r="W79" s="11"/>
      <c r="X79" s="11"/>
      <c r="Y79" s="11"/>
      <c r="Z79" s="11"/>
    </row>
    <row r="80" spans="1:26" s="10" customFormat="1" x14ac:dyDescent="0.25">
      <c r="A80" s="1"/>
      <c r="C80" s="10" t="s">
        <v>183</v>
      </c>
      <c r="G80" s="14"/>
      <c r="H80" s="11">
        <f>H24*0.5</f>
        <v>0</v>
      </c>
      <c r="I80" s="11">
        <f>I24*0.5</f>
        <v>0</v>
      </c>
      <c r="J80" s="11">
        <f>J24*0.5</f>
        <v>0</v>
      </c>
      <c r="K80" s="11">
        <f>K29*0.5</f>
        <v>4000000</v>
      </c>
      <c r="L80" s="11">
        <f>L29*0.5</f>
        <v>10750000</v>
      </c>
      <c r="M80" s="11">
        <f>M29*0.5</f>
        <v>25000000</v>
      </c>
      <c r="N80" s="11">
        <f>N29*0.5</f>
        <v>35500000</v>
      </c>
      <c r="O80" s="11">
        <f>O29*0.5</f>
        <v>35500000</v>
      </c>
      <c r="P80" s="11"/>
      <c r="Q80" s="11"/>
      <c r="R80" s="11"/>
      <c r="S80" s="11"/>
      <c r="T80" s="11"/>
      <c r="U80" s="11"/>
      <c r="V80" s="11"/>
      <c r="W80" s="11"/>
      <c r="X80" s="11"/>
      <c r="Y80" s="11"/>
      <c r="Z80" s="11"/>
    </row>
    <row r="81" spans="1:26" x14ac:dyDescent="0.25">
      <c r="B81" s="7" t="s">
        <v>43</v>
      </c>
      <c r="H81" s="3">
        <f>H78+H79+H80</f>
        <v>-1000</v>
      </c>
      <c r="I81" s="3">
        <f t="shared" ref="I81:N81" si="32">I78+I79+I80</f>
        <v>-167144</v>
      </c>
      <c r="J81" s="3">
        <f t="shared" si="32"/>
        <v>-401288</v>
      </c>
      <c r="K81" s="3">
        <f>K78+K79+K80</f>
        <v>1582656</v>
      </c>
      <c r="L81" s="3">
        <f t="shared" si="32"/>
        <v>6957100</v>
      </c>
      <c r="M81" s="3">
        <f t="shared" si="32"/>
        <v>28015656</v>
      </c>
      <c r="N81" s="3">
        <f t="shared" si="32"/>
        <v>46948712</v>
      </c>
      <c r="O81" s="3">
        <f t="shared" ref="O81" si="33">O78+O79+O80</f>
        <v>43532656</v>
      </c>
    </row>
    <row r="82" spans="1:26" x14ac:dyDescent="0.25">
      <c r="Q82" s="3" t="s">
        <v>44</v>
      </c>
      <c r="S82" s="3">
        <v>1000</v>
      </c>
    </row>
    <row r="83" spans="1:26" x14ac:dyDescent="0.25">
      <c r="B83" s="7" t="s">
        <v>185</v>
      </c>
    </row>
    <row r="84" spans="1:26" x14ac:dyDescent="0.25">
      <c r="C84" s="2" t="s">
        <v>184</v>
      </c>
      <c r="H84" s="3">
        <f>G85</f>
        <v>100000</v>
      </c>
      <c r="I84" s="3">
        <f t="shared" ref="I84:O84" si="34">H87</f>
        <v>2100000</v>
      </c>
      <c r="J84" s="3">
        <f t="shared" si="34"/>
        <v>2100000</v>
      </c>
      <c r="K84" s="3">
        <f t="shared" si="34"/>
        <v>14100000</v>
      </c>
      <c r="L84" s="3">
        <f t="shared" si="34"/>
        <v>14100000</v>
      </c>
      <c r="M84" s="3">
        <f t="shared" si="34"/>
        <v>14100000</v>
      </c>
      <c r="N84" s="3">
        <f t="shared" si="34"/>
        <v>11100000</v>
      </c>
      <c r="O84" s="3">
        <f t="shared" si="34"/>
        <v>11100000</v>
      </c>
      <c r="Q84" s="3" t="s">
        <v>45</v>
      </c>
      <c r="R84" s="2"/>
      <c r="S84" s="3">
        <v>1000</v>
      </c>
      <c r="T84" s="3" t="s">
        <v>46</v>
      </c>
    </row>
    <row r="85" spans="1:26" x14ac:dyDescent="0.25">
      <c r="C85" s="2" t="s">
        <v>217</v>
      </c>
      <c r="G85" s="14">
        <v>100000</v>
      </c>
      <c r="H85" s="3">
        <v>2000000</v>
      </c>
      <c r="I85" s="3">
        <v>0</v>
      </c>
      <c r="J85" s="3">
        <v>12000000</v>
      </c>
      <c r="K85" s="3">
        <v>0</v>
      </c>
      <c r="L85" s="3">
        <v>0</v>
      </c>
      <c r="M85" s="3">
        <v>-3000000</v>
      </c>
      <c r="N85" s="3">
        <v>0</v>
      </c>
      <c r="O85" s="3">
        <v>0</v>
      </c>
      <c r="T85" s="3">
        <v>5</v>
      </c>
    </row>
    <row r="86" spans="1:26" x14ac:dyDescent="0.25">
      <c r="G86" s="14"/>
    </row>
    <row r="87" spans="1:26" x14ac:dyDescent="0.25">
      <c r="B87" s="7" t="s">
        <v>186</v>
      </c>
      <c r="G87" s="4">
        <f t="shared" ref="G87:H87" si="35">G84+G85</f>
        <v>100000</v>
      </c>
      <c r="H87" s="3">
        <f t="shared" si="35"/>
        <v>2100000</v>
      </c>
      <c r="I87" s="3">
        <f t="shared" ref="I87:N87" si="36">I84+I85</f>
        <v>2100000</v>
      </c>
      <c r="J87" s="3">
        <f t="shared" si="36"/>
        <v>14100000</v>
      </c>
      <c r="K87" s="3">
        <f t="shared" si="36"/>
        <v>14100000</v>
      </c>
      <c r="L87" s="3">
        <f t="shared" si="36"/>
        <v>14100000</v>
      </c>
      <c r="M87" s="3">
        <f t="shared" si="36"/>
        <v>11100000</v>
      </c>
      <c r="N87" s="3">
        <f t="shared" si="36"/>
        <v>11100000</v>
      </c>
      <c r="O87" s="3">
        <f t="shared" ref="O87" si="37">O84+O85</f>
        <v>11100000</v>
      </c>
      <c r="Q87" s="3" t="s">
        <v>188</v>
      </c>
    </row>
    <row r="88" spans="1:26" x14ac:dyDescent="0.25">
      <c r="R88" s="3" t="s">
        <v>47</v>
      </c>
      <c r="S88" s="3">
        <f>S82+S84</f>
        <v>2000</v>
      </c>
    </row>
    <row r="89" spans="1:26" x14ac:dyDescent="0.25">
      <c r="B89" s="7" t="s">
        <v>48</v>
      </c>
    </row>
    <row r="90" spans="1:26" x14ac:dyDescent="0.25">
      <c r="C90" s="2" t="s">
        <v>49</v>
      </c>
      <c r="E90" s="16"/>
      <c r="G90" s="4">
        <v>1000</v>
      </c>
      <c r="H90" s="3">
        <f>G90</f>
        <v>1000</v>
      </c>
      <c r="I90" s="3">
        <f>H90+H91</f>
        <v>1000</v>
      </c>
      <c r="J90" s="3">
        <f>I90+I91</f>
        <v>1000</v>
      </c>
      <c r="K90" s="3">
        <f t="shared" ref="K90:O90" si="38">J90+J91</f>
        <v>1000</v>
      </c>
      <c r="L90" s="3">
        <f t="shared" si="38"/>
        <v>1000</v>
      </c>
      <c r="M90" s="3">
        <f t="shared" si="38"/>
        <v>5001000</v>
      </c>
      <c r="N90" s="3">
        <f t="shared" si="38"/>
        <v>5001000</v>
      </c>
      <c r="O90" s="3">
        <f t="shared" si="38"/>
        <v>5001000</v>
      </c>
    </row>
    <row r="91" spans="1:26" x14ac:dyDescent="0.25">
      <c r="C91" s="2" t="s">
        <v>152</v>
      </c>
      <c r="E91" s="16"/>
      <c r="G91" s="4">
        <v>0</v>
      </c>
      <c r="L91" s="3">
        <v>5000000</v>
      </c>
      <c r="P91" s="3" t="s">
        <v>215</v>
      </c>
    </row>
    <row r="92" spans="1:26" x14ac:dyDescent="0.25">
      <c r="C92" s="2" t="s">
        <v>50</v>
      </c>
      <c r="H92" s="3">
        <f t="shared" ref="H92:O92" si="39">G92+H54</f>
        <v>-4000</v>
      </c>
      <c r="I92" s="3">
        <f t="shared" si="39"/>
        <v>-668576</v>
      </c>
      <c r="J92" s="3">
        <f t="shared" si="39"/>
        <v>-1613152</v>
      </c>
      <c r="K92" s="3">
        <f t="shared" si="39"/>
        <v>-11806528</v>
      </c>
      <c r="L92" s="3">
        <f t="shared" si="39"/>
        <v>-20539904</v>
      </c>
      <c r="M92" s="3">
        <f t="shared" si="39"/>
        <v>-15213280</v>
      </c>
      <c r="N92" s="3">
        <f t="shared" si="39"/>
        <v>833344</v>
      </c>
      <c r="O92" s="3">
        <f t="shared" si="39"/>
        <v>16879968</v>
      </c>
    </row>
    <row r="93" spans="1:26" x14ac:dyDescent="0.25">
      <c r="B93" s="7" t="s">
        <v>51</v>
      </c>
      <c r="G93" s="4">
        <f>G90+G92</f>
        <v>1000</v>
      </c>
      <c r="H93" s="3">
        <f>H90+H92-H91</f>
        <v>-3000</v>
      </c>
      <c r="I93" s="3">
        <f t="shared" ref="I93:K93" si="40">I90+I92-I91</f>
        <v>-667576</v>
      </c>
      <c r="J93" s="3">
        <f t="shared" si="40"/>
        <v>-1612152</v>
      </c>
      <c r="K93" s="3">
        <f t="shared" si="40"/>
        <v>-11805528</v>
      </c>
      <c r="L93" s="3">
        <f>L90+L92+L91</f>
        <v>-15538904</v>
      </c>
      <c r="M93" s="3">
        <f>M90+M92+M91</f>
        <v>-10212280</v>
      </c>
      <c r="N93" s="3">
        <f t="shared" ref="N93" si="41">N90+N92+N91</f>
        <v>5834344</v>
      </c>
      <c r="O93" s="3">
        <f t="shared" ref="O93" si="42">O90+O92+O91</f>
        <v>21880968</v>
      </c>
      <c r="R93" s="2"/>
      <c r="S93" s="2"/>
      <c r="T93" s="2"/>
      <c r="U93" s="2"/>
      <c r="V93" s="2"/>
      <c r="W93" s="2"/>
      <c r="X93" s="2"/>
      <c r="Y93" s="2"/>
      <c r="Z93" s="2"/>
    </row>
    <row r="95" spans="1:26" x14ac:dyDescent="0.25">
      <c r="C95" s="7" t="s">
        <v>52</v>
      </c>
      <c r="D95" s="7"/>
      <c r="E95" s="7"/>
      <c r="F95" s="7"/>
      <c r="G95" s="4">
        <f>G87+G81+G93</f>
        <v>101000</v>
      </c>
      <c r="H95" s="4">
        <f>H81+H87+H93</f>
        <v>2096000</v>
      </c>
      <c r="I95" s="4">
        <f>I81+I87+I93</f>
        <v>1265280</v>
      </c>
      <c r="J95" s="4">
        <f>J81+J87+J93</f>
        <v>12086560</v>
      </c>
      <c r="K95" s="4">
        <f>K81+K87+K93</f>
        <v>3877128</v>
      </c>
      <c r="L95" s="3">
        <f>L81+L87+L93</f>
        <v>5518196</v>
      </c>
      <c r="M95" s="3">
        <f t="shared" ref="M95:N95" si="43">M81+M87+M93</f>
        <v>28903376</v>
      </c>
      <c r="N95" s="3">
        <f t="shared" si="43"/>
        <v>63883056</v>
      </c>
      <c r="O95" s="3">
        <f t="shared" ref="O95" si="44">O81+O87+O93</f>
        <v>76513624</v>
      </c>
      <c r="R95" s="2"/>
      <c r="S95" s="2"/>
      <c r="T95" s="2"/>
      <c r="U95" s="2"/>
      <c r="V95" s="2"/>
      <c r="W95" s="2"/>
      <c r="X95" s="2"/>
      <c r="Y95" s="2"/>
      <c r="Z95" s="2"/>
    </row>
    <row r="96" spans="1:26" s="1" customFormat="1" x14ac:dyDescent="0.25">
      <c r="A96" s="33" t="s">
        <v>220</v>
      </c>
      <c r="B96" s="9" t="s">
        <v>53</v>
      </c>
      <c r="G96" s="9">
        <v>0</v>
      </c>
      <c r="H96" s="9">
        <f t="shared" ref="H96:N96" si="45">H75-H95</f>
        <v>0</v>
      </c>
      <c r="I96" s="9">
        <f t="shared" si="45"/>
        <v>0</v>
      </c>
      <c r="J96" s="9">
        <f t="shared" si="45"/>
        <v>0</v>
      </c>
      <c r="K96" s="9">
        <f t="shared" si="45"/>
        <v>0</v>
      </c>
      <c r="L96" s="9">
        <f t="shared" si="45"/>
        <v>0</v>
      </c>
      <c r="M96" s="9">
        <f t="shared" si="45"/>
        <v>0</v>
      </c>
      <c r="N96" s="9">
        <f t="shared" si="45"/>
        <v>0</v>
      </c>
      <c r="O96" s="9">
        <f t="shared" ref="O96" si="46">O75-O95</f>
        <v>0</v>
      </c>
      <c r="P96" s="9"/>
      <c r="Q96" s="31" t="s">
        <v>205</v>
      </c>
      <c r="R96" s="31"/>
      <c r="S96" s="31"/>
      <c r="T96" s="31"/>
    </row>
    <row r="97" spans="1:26" s="1" customFormat="1" x14ac:dyDescent="0.25">
      <c r="A97" s="33"/>
      <c r="B97" s="1" t="s">
        <v>191</v>
      </c>
      <c r="G97" s="9"/>
      <c r="H97" s="9">
        <f>H96-G96</f>
        <v>0</v>
      </c>
      <c r="I97" s="9">
        <f t="shared" ref="I97" si="47">I96-H96</f>
        <v>0</v>
      </c>
      <c r="J97" s="9">
        <f>J96-I96</f>
        <v>0</v>
      </c>
      <c r="K97" s="9">
        <f t="shared" ref="K97:O97" si="48">K96-J96</f>
        <v>0</v>
      </c>
      <c r="L97" s="9">
        <f t="shared" si="48"/>
        <v>0</v>
      </c>
      <c r="M97" s="9">
        <f t="shared" si="48"/>
        <v>0</v>
      </c>
      <c r="N97" s="9">
        <f t="shared" si="48"/>
        <v>0</v>
      </c>
      <c r="O97" s="9">
        <f t="shared" si="48"/>
        <v>0</v>
      </c>
      <c r="P97" s="9"/>
      <c r="Q97" s="31"/>
      <c r="R97" s="31"/>
      <c r="S97" s="31"/>
      <c r="T97" s="31"/>
    </row>
    <row r="98" spans="1:26" x14ac:dyDescent="0.25">
      <c r="Q98" s="3" t="s">
        <v>54</v>
      </c>
      <c r="R98" s="2"/>
      <c r="S98" s="2"/>
      <c r="T98" s="2"/>
      <c r="U98" s="2"/>
      <c r="V98" s="2"/>
      <c r="W98" s="2"/>
      <c r="X98" s="2"/>
      <c r="Y98" s="2"/>
      <c r="Z98" s="2"/>
    </row>
    <row r="99" spans="1:26" x14ac:dyDescent="0.25">
      <c r="G99" s="7"/>
      <c r="H99" s="2"/>
      <c r="I99" s="2"/>
      <c r="J99" s="2"/>
      <c r="K99" s="2"/>
      <c r="L99" s="2"/>
      <c r="M99" s="2"/>
      <c r="N99" s="2"/>
      <c r="O99" s="2"/>
      <c r="Q99" s="3" t="s">
        <v>55</v>
      </c>
      <c r="R99" s="2"/>
      <c r="S99" s="2"/>
      <c r="T99" s="2"/>
      <c r="U99" s="2"/>
      <c r="V99" s="2"/>
      <c r="W99" s="2"/>
      <c r="X99" s="2"/>
      <c r="Y99" s="2"/>
      <c r="Z99" s="2"/>
    </row>
    <row r="100" spans="1:26" x14ac:dyDescent="0.25">
      <c r="H100" s="12"/>
      <c r="I100" s="12" t="s">
        <v>56</v>
      </c>
      <c r="J100" s="12"/>
      <c r="K100" s="12"/>
      <c r="L100" s="12"/>
      <c r="M100" s="12"/>
      <c r="N100" s="12"/>
      <c r="O100" s="12"/>
      <c r="Q100" s="3" t="s">
        <v>57</v>
      </c>
      <c r="R100" s="2"/>
      <c r="S100" s="2"/>
      <c r="T100" s="2"/>
      <c r="U100" s="2"/>
      <c r="V100" s="2"/>
      <c r="W100" s="2"/>
      <c r="X100" s="2"/>
      <c r="Y100" s="2"/>
      <c r="Z100" s="2"/>
    </row>
    <row r="101" spans="1:26" x14ac:dyDescent="0.25">
      <c r="H101" s="12"/>
      <c r="I101" s="12" t="s">
        <v>58</v>
      </c>
      <c r="J101" s="12"/>
      <c r="K101" s="12"/>
      <c r="L101" s="12"/>
      <c r="M101" s="12"/>
      <c r="N101" s="12"/>
      <c r="O101" s="12"/>
      <c r="Q101" s="3" t="s">
        <v>59</v>
      </c>
      <c r="R101" s="2"/>
      <c r="S101" s="2"/>
      <c r="T101" s="2"/>
      <c r="U101" s="2"/>
      <c r="V101" s="2"/>
      <c r="W101" s="2"/>
      <c r="X101" s="2"/>
      <c r="Y101" s="2"/>
      <c r="Z101" s="2"/>
    </row>
    <row r="102" spans="1:26" x14ac:dyDescent="0.25">
      <c r="H102" s="12" t="s">
        <v>1</v>
      </c>
      <c r="I102" s="12" t="s">
        <v>1</v>
      </c>
      <c r="J102" s="12" t="s">
        <v>27</v>
      </c>
      <c r="K102" s="12" t="s">
        <v>1</v>
      </c>
      <c r="L102" s="12" t="s">
        <v>1</v>
      </c>
      <c r="M102" s="12" t="s">
        <v>1</v>
      </c>
      <c r="N102" s="12" t="s">
        <v>1</v>
      </c>
      <c r="O102" s="12" t="s">
        <v>1</v>
      </c>
      <c r="R102" s="2"/>
      <c r="S102" s="2"/>
      <c r="T102" s="2"/>
      <c r="U102" s="2"/>
      <c r="V102" s="2"/>
      <c r="W102" s="2"/>
      <c r="X102" s="2"/>
      <c r="Y102" s="2"/>
      <c r="Z102" s="2"/>
    </row>
    <row r="103" spans="1:26" x14ac:dyDescent="0.25">
      <c r="H103" s="12">
        <v>1</v>
      </c>
      <c r="I103" s="12">
        <v>2</v>
      </c>
      <c r="J103" s="12">
        <v>3</v>
      </c>
      <c r="K103" s="12">
        <v>4</v>
      </c>
      <c r="L103" s="12">
        <v>5</v>
      </c>
      <c r="M103" s="12">
        <v>6</v>
      </c>
      <c r="N103" s="12">
        <v>7</v>
      </c>
      <c r="O103" s="12">
        <v>8</v>
      </c>
      <c r="Q103" s="3" t="s">
        <v>60</v>
      </c>
      <c r="R103" s="2"/>
      <c r="S103" s="2"/>
      <c r="T103" s="2"/>
      <c r="U103" s="2"/>
      <c r="V103" s="2"/>
      <c r="W103" s="2"/>
      <c r="X103" s="2"/>
      <c r="Y103" s="2"/>
      <c r="Z103" s="2"/>
    </row>
    <row r="104" spans="1:26" x14ac:dyDescent="0.25">
      <c r="H104" s="3" t="s">
        <v>194</v>
      </c>
      <c r="Q104" s="3" t="s">
        <v>61</v>
      </c>
      <c r="R104" s="2"/>
      <c r="S104" s="2"/>
      <c r="T104" s="2"/>
      <c r="U104" s="2"/>
      <c r="V104" s="2"/>
      <c r="W104" s="2"/>
      <c r="X104" s="2"/>
      <c r="Y104" s="2"/>
      <c r="Z104" s="2"/>
    </row>
    <row r="106" spans="1:26" s="3" customFormat="1" x14ac:dyDescent="0.25">
      <c r="A106" s="1"/>
      <c r="B106" s="7" t="s">
        <v>204</v>
      </c>
      <c r="C106" s="2"/>
      <c r="D106" s="2"/>
      <c r="E106" s="2"/>
      <c r="F106" s="2"/>
      <c r="G106" s="4"/>
      <c r="H106" s="6">
        <f>G64</f>
        <v>95000</v>
      </c>
      <c r="I106" s="3">
        <f t="shared" ref="I106:O106" si="49">H126</f>
        <v>2090000</v>
      </c>
      <c r="J106" s="3">
        <f t="shared" si="49"/>
        <v>1260000</v>
      </c>
      <c r="K106" s="3">
        <f t="shared" si="49"/>
        <v>11782000</v>
      </c>
      <c r="L106" s="3">
        <f t="shared" si="49"/>
        <v>2609288</v>
      </c>
      <c r="M106" s="3">
        <f t="shared" si="49"/>
        <v>-2400424</v>
      </c>
      <c r="N106" s="3">
        <f t="shared" si="49"/>
        <v>18058976</v>
      </c>
      <c r="O106" s="3">
        <f t="shared" si="49"/>
        <v>51050376</v>
      </c>
    </row>
    <row r="107" spans="1:26" s="3" customFormat="1" x14ac:dyDescent="0.25">
      <c r="A107" s="1"/>
      <c r="B107" s="7" t="s">
        <v>62</v>
      </c>
      <c r="C107" s="2"/>
      <c r="D107" s="2"/>
      <c r="E107" s="2"/>
      <c r="F107" s="2"/>
      <c r="G107" s="4"/>
    </row>
    <row r="108" spans="1:26" s="3" customFormat="1" x14ac:dyDescent="0.25">
      <c r="A108" s="1"/>
      <c r="B108" s="2"/>
      <c r="C108" s="2" t="s">
        <v>24</v>
      </c>
      <c r="D108" s="2"/>
      <c r="E108" s="2"/>
      <c r="F108" s="2"/>
      <c r="G108" s="4"/>
      <c r="H108" s="3">
        <f t="shared" ref="H108:N108" si="50">H54</f>
        <v>-4000</v>
      </c>
      <c r="I108" s="3">
        <f t="shared" si="50"/>
        <v>-664576</v>
      </c>
      <c r="J108" s="3">
        <f t="shared" si="50"/>
        <v>-944576</v>
      </c>
      <c r="K108" s="3">
        <f t="shared" si="50"/>
        <v>-10193376</v>
      </c>
      <c r="L108" s="3">
        <f t="shared" si="50"/>
        <v>-8733376</v>
      </c>
      <c r="M108" s="3">
        <f t="shared" si="50"/>
        <v>5326624</v>
      </c>
      <c r="N108" s="3">
        <f t="shared" si="50"/>
        <v>16046624</v>
      </c>
      <c r="O108" s="3">
        <f t="shared" ref="O108" si="51">O54</f>
        <v>16046624</v>
      </c>
    </row>
    <row r="109" spans="1:26" s="3" customFormat="1" x14ac:dyDescent="0.25">
      <c r="A109" s="1"/>
      <c r="B109" s="2"/>
      <c r="C109" s="2" t="s">
        <v>63</v>
      </c>
      <c r="D109" s="2"/>
      <c r="E109" s="2"/>
      <c r="F109" s="2"/>
      <c r="G109" s="4"/>
    </row>
    <row r="110" spans="1:26" s="3" customFormat="1" x14ac:dyDescent="0.25">
      <c r="A110" s="1"/>
      <c r="B110" s="2"/>
      <c r="C110" s="2" t="s">
        <v>21</v>
      </c>
      <c r="D110" s="2"/>
      <c r="E110" s="2"/>
      <c r="F110" s="2"/>
      <c r="G110" s="4"/>
      <c r="H110" s="3">
        <f t="shared" ref="H110:N110" si="52">H51</f>
        <v>0</v>
      </c>
      <c r="I110" s="3">
        <f t="shared" si="52"/>
        <v>720</v>
      </c>
      <c r="J110" s="3">
        <f t="shared" si="52"/>
        <v>720</v>
      </c>
      <c r="K110" s="3">
        <f t="shared" si="52"/>
        <v>36720</v>
      </c>
      <c r="L110" s="3">
        <f t="shared" si="52"/>
        <v>36720</v>
      </c>
      <c r="M110" s="3">
        <f t="shared" si="52"/>
        <v>636720</v>
      </c>
      <c r="N110" s="3">
        <f t="shared" si="52"/>
        <v>636720</v>
      </c>
      <c r="O110" s="3">
        <f t="shared" ref="O110" si="53">O51</f>
        <v>636720</v>
      </c>
    </row>
    <row r="111" spans="1:26" s="3" customFormat="1" x14ac:dyDescent="0.25">
      <c r="A111" s="1"/>
      <c r="B111" s="2"/>
      <c r="C111" s="2"/>
      <c r="D111" s="2"/>
      <c r="E111" s="2"/>
      <c r="F111" s="2"/>
      <c r="G111" s="4"/>
    </row>
    <row r="112" spans="1:26" s="3" customFormat="1" x14ac:dyDescent="0.25">
      <c r="A112" s="1"/>
      <c r="B112" s="2"/>
      <c r="C112" s="2" t="s">
        <v>179</v>
      </c>
      <c r="D112" s="2"/>
      <c r="E112" s="2"/>
      <c r="F112" s="2"/>
      <c r="G112" s="4"/>
      <c r="H112" s="3">
        <f t="shared" ref="H112:O113" si="54">(G65-H65)</f>
        <v>0</v>
      </c>
      <c r="I112" s="3">
        <f t="shared" si="54"/>
        <v>0</v>
      </c>
      <c r="J112" s="3">
        <f t="shared" si="54"/>
        <v>0</v>
      </c>
      <c r="K112" s="3">
        <f t="shared" si="54"/>
        <v>-800000</v>
      </c>
      <c r="L112" s="3">
        <f t="shared" si="54"/>
        <v>-1350000</v>
      </c>
      <c r="M112" s="3">
        <f t="shared" si="54"/>
        <v>-2850000</v>
      </c>
      <c r="N112" s="3">
        <f t="shared" si="54"/>
        <v>-2100000</v>
      </c>
      <c r="O112" s="3">
        <f t="shared" si="54"/>
        <v>0</v>
      </c>
    </row>
    <row r="113" spans="1:20" s="3" customFormat="1" x14ac:dyDescent="0.25">
      <c r="A113" s="1"/>
      <c r="B113" s="2"/>
      <c r="C113" s="2" t="s">
        <v>181</v>
      </c>
      <c r="D113" s="2"/>
      <c r="E113" s="2"/>
      <c r="F113" s="2"/>
      <c r="G113" s="4"/>
      <c r="H113" s="3">
        <f t="shared" si="54"/>
        <v>0</v>
      </c>
      <c r="I113" s="3">
        <f t="shared" si="54"/>
        <v>0</v>
      </c>
      <c r="J113" s="3">
        <f t="shared" si="54"/>
        <v>0</v>
      </c>
      <c r="K113" s="3">
        <f t="shared" si="54"/>
        <v>-200000</v>
      </c>
      <c r="L113" s="3">
        <f t="shared" si="54"/>
        <v>-337500</v>
      </c>
      <c r="M113" s="3">
        <f t="shared" si="54"/>
        <v>-712500</v>
      </c>
      <c r="N113" s="3">
        <f t="shared" si="54"/>
        <v>-525000</v>
      </c>
      <c r="O113" s="3">
        <f t="shared" si="54"/>
        <v>0</v>
      </c>
    </row>
    <row r="114" spans="1:20" s="3" customFormat="1" x14ac:dyDescent="0.25">
      <c r="A114" s="1"/>
      <c r="B114" s="2"/>
      <c r="C114" s="10" t="s">
        <v>190</v>
      </c>
      <c r="D114" s="10"/>
      <c r="E114" s="10"/>
      <c r="F114" s="10"/>
      <c r="G114" s="14"/>
      <c r="H114" s="11">
        <f t="shared" ref="H114:O114" si="55">(G78-H78)*-1</f>
        <v>0</v>
      </c>
      <c r="I114" s="11">
        <f t="shared" si="55"/>
        <v>0</v>
      </c>
      <c r="J114" s="11">
        <f t="shared" si="55"/>
        <v>0</v>
      </c>
      <c r="K114" s="11">
        <f t="shared" si="55"/>
        <v>200000</v>
      </c>
      <c r="L114" s="11">
        <f t="shared" si="55"/>
        <v>337500</v>
      </c>
      <c r="M114" s="3">
        <f t="shared" si="55"/>
        <v>712500</v>
      </c>
      <c r="N114" s="3">
        <f t="shared" si="55"/>
        <v>525000</v>
      </c>
      <c r="O114" s="3">
        <f t="shared" si="55"/>
        <v>0</v>
      </c>
    </row>
    <row r="115" spans="1:20" s="3" customFormat="1" x14ac:dyDescent="0.25">
      <c r="A115" s="1"/>
      <c r="B115" s="2"/>
      <c r="C115" s="10" t="s">
        <v>180</v>
      </c>
      <c r="D115" s="10"/>
      <c r="E115" s="10"/>
      <c r="F115" s="10"/>
      <c r="G115" s="14"/>
      <c r="H115" s="11">
        <f t="shared" ref="H115:O115" si="56">(G80-H80)*-1</f>
        <v>0</v>
      </c>
      <c r="I115" s="11">
        <f t="shared" si="56"/>
        <v>0</v>
      </c>
      <c r="J115" s="11">
        <f t="shared" si="56"/>
        <v>0</v>
      </c>
      <c r="K115" s="11">
        <f t="shared" si="56"/>
        <v>4000000</v>
      </c>
      <c r="L115" s="11">
        <f t="shared" si="56"/>
        <v>6750000</v>
      </c>
      <c r="M115" s="3">
        <f t="shared" si="56"/>
        <v>14250000</v>
      </c>
      <c r="N115" s="3">
        <f t="shared" si="56"/>
        <v>10500000</v>
      </c>
      <c r="O115" s="3">
        <f t="shared" si="56"/>
        <v>0</v>
      </c>
    </row>
    <row r="116" spans="1:20" s="3" customFormat="1" x14ac:dyDescent="0.25">
      <c r="A116" s="1"/>
      <c r="B116" s="2"/>
      <c r="C116" s="10" t="s">
        <v>64</v>
      </c>
      <c r="D116" s="10"/>
      <c r="E116" s="10"/>
      <c r="F116" s="10"/>
      <c r="G116" s="14"/>
      <c r="H116" s="11">
        <f t="shared" ref="H116:I116" si="57">(G79-H79)*-1</f>
        <v>-1000</v>
      </c>
      <c r="I116" s="11">
        <f t="shared" si="57"/>
        <v>-166144</v>
      </c>
      <c r="J116" s="11">
        <f>(I79-J79)*-1</f>
        <v>-234144</v>
      </c>
      <c r="K116" s="11">
        <f t="shared" ref="K116:O116" si="58">(J79-K79)*-1</f>
        <v>-2216056</v>
      </c>
      <c r="L116" s="11">
        <f t="shared" si="58"/>
        <v>-1713056</v>
      </c>
      <c r="M116" s="3">
        <f t="shared" si="58"/>
        <v>6096056</v>
      </c>
      <c r="N116" s="3">
        <f t="shared" si="58"/>
        <v>7908056</v>
      </c>
      <c r="O116" s="3">
        <f t="shared" si="58"/>
        <v>-3416056</v>
      </c>
    </row>
    <row r="117" spans="1:20" s="3" customFormat="1" x14ac:dyDescent="0.25">
      <c r="A117" s="1"/>
      <c r="B117" s="2"/>
      <c r="C117" s="10"/>
      <c r="D117" s="10"/>
      <c r="E117" s="10"/>
      <c r="F117" s="10"/>
      <c r="G117" s="14"/>
      <c r="H117" s="11"/>
      <c r="I117" s="11"/>
      <c r="J117" s="11"/>
      <c r="K117" s="11"/>
      <c r="L117" s="11"/>
    </row>
    <row r="118" spans="1:20" s="3" customFormat="1" x14ac:dyDescent="0.25">
      <c r="A118" s="1"/>
      <c r="B118" s="7" t="s">
        <v>65</v>
      </c>
      <c r="C118" s="2"/>
      <c r="D118" s="2"/>
      <c r="E118" s="2"/>
      <c r="F118" s="2"/>
      <c r="G118" s="4"/>
      <c r="H118" s="3">
        <f t="shared" ref="H118:N118" si="59">H108+H110+H112+H113++H114+H116+H115</f>
        <v>-5000</v>
      </c>
      <c r="I118" s="3">
        <f t="shared" si="59"/>
        <v>-830000</v>
      </c>
      <c r="J118" s="3">
        <f t="shared" si="59"/>
        <v>-1178000</v>
      </c>
      <c r="K118" s="3">
        <f t="shared" si="59"/>
        <v>-9172712</v>
      </c>
      <c r="L118" s="3">
        <f t="shared" si="59"/>
        <v>-5009712</v>
      </c>
      <c r="M118" s="3">
        <f t="shared" si="59"/>
        <v>23459400</v>
      </c>
      <c r="N118" s="3">
        <f t="shared" si="59"/>
        <v>32991400</v>
      </c>
      <c r="O118" s="3">
        <f t="shared" ref="O118" si="60">O108+O110+O112+O113++O114+O116+O115</f>
        <v>13267288</v>
      </c>
      <c r="P118" s="3" t="s">
        <v>292</v>
      </c>
    </row>
    <row r="119" spans="1:20" x14ac:dyDescent="0.25">
      <c r="P119" s="3" t="s">
        <v>293</v>
      </c>
    </row>
    <row r="120" spans="1:20" s="3" customFormat="1" x14ac:dyDescent="0.25">
      <c r="A120" s="1"/>
      <c r="B120" s="2"/>
      <c r="C120" s="2" t="s">
        <v>66</v>
      </c>
      <c r="D120" s="2"/>
      <c r="E120" s="2"/>
      <c r="F120" s="2"/>
      <c r="G120" s="4"/>
      <c r="H120" s="3">
        <f t="shared" ref="H120:N120" si="61">H69*-1</f>
        <v>0</v>
      </c>
      <c r="I120" s="3">
        <f t="shared" si="61"/>
        <v>0</v>
      </c>
      <c r="J120" s="3">
        <f t="shared" si="61"/>
        <v>-300000</v>
      </c>
      <c r="K120" s="3">
        <f t="shared" si="61"/>
        <v>0</v>
      </c>
      <c r="L120" s="3">
        <f t="shared" si="61"/>
        <v>-5000000</v>
      </c>
      <c r="M120" s="3">
        <f t="shared" si="61"/>
        <v>0</v>
      </c>
      <c r="N120" s="3">
        <f t="shared" si="61"/>
        <v>0</v>
      </c>
      <c r="O120" s="3">
        <f t="shared" ref="O120" si="62">O69*-1</f>
        <v>0</v>
      </c>
      <c r="P120" s="3" t="s">
        <v>294</v>
      </c>
    </row>
    <row r="121" spans="1:20" x14ac:dyDescent="0.25">
      <c r="P121" s="3" t="s">
        <v>295</v>
      </c>
    </row>
    <row r="122" spans="1:20" x14ac:dyDescent="0.25">
      <c r="B122" s="7" t="s">
        <v>67</v>
      </c>
      <c r="P122" s="3" t="s">
        <v>296</v>
      </c>
    </row>
    <row r="123" spans="1:20" x14ac:dyDescent="0.25">
      <c r="C123" s="2" t="s">
        <v>189</v>
      </c>
      <c r="H123" s="3">
        <f t="shared" ref="H123:N123" si="63">H85</f>
        <v>2000000</v>
      </c>
      <c r="I123" s="3">
        <f t="shared" si="63"/>
        <v>0</v>
      </c>
      <c r="J123" s="3">
        <f t="shared" si="63"/>
        <v>12000000</v>
      </c>
      <c r="K123" s="3">
        <f t="shared" si="63"/>
        <v>0</v>
      </c>
      <c r="L123" s="3">
        <f t="shared" si="63"/>
        <v>0</v>
      </c>
      <c r="M123" s="3">
        <f t="shared" si="63"/>
        <v>-3000000</v>
      </c>
      <c r="N123" s="3">
        <f t="shared" si="63"/>
        <v>0</v>
      </c>
      <c r="O123" s="3">
        <f t="shared" ref="O123" si="64">O85</f>
        <v>0</v>
      </c>
      <c r="P123" s="3" t="s">
        <v>297</v>
      </c>
    </row>
    <row r="124" spans="1:20" x14ac:dyDescent="0.25">
      <c r="C124" s="2" t="s">
        <v>216</v>
      </c>
      <c r="I124" s="3">
        <f>I91</f>
        <v>0</v>
      </c>
      <c r="J124" s="3">
        <f>J91</f>
        <v>0</v>
      </c>
      <c r="K124" s="3">
        <f>K91</f>
        <v>0</v>
      </c>
      <c r="L124" s="3">
        <v>5000000</v>
      </c>
      <c r="N124" s="3">
        <f>N91</f>
        <v>0</v>
      </c>
      <c r="O124" s="3">
        <f>O91</f>
        <v>0</v>
      </c>
    </row>
    <row r="126" spans="1:20" x14ac:dyDescent="0.25">
      <c r="B126" s="7" t="s">
        <v>70</v>
      </c>
      <c r="H126" s="3">
        <f t="shared" ref="H126:N126" si="65">H106+H118+H120+H123+H124</f>
        <v>2090000</v>
      </c>
      <c r="I126" s="3">
        <f t="shared" si="65"/>
        <v>1260000</v>
      </c>
      <c r="J126" s="3">
        <f t="shared" si="65"/>
        <v>11782000</v>
      </c>
      <c r="K126" s="3">
        <f t="shared" si="65"/>
        <v>2609288</v>
      </c>
      <c r="L126" s="3">
        <f t="shared" si="65"/>
        <v>-2400424</v>
      </c>
      <c r="M126" s="3">
        <f t="shared" si="65"/>
        <v>18058976</v>
      </c>
      <c r="N126" s="3">
        <f t="shared" si="65"/>
        <v>51050376</v>
      </c>
      <c r="O126" s="3">
        <f t="shared" ref="O126" si="66">O106+O118+O120+O123+O124</f>
        <v>64317664</v>
      </c>
      <c r="P126" s="3">
        <f t="shared" ref="P126:R126" si="67">O126*1.25</f>
        <v>80397080</v>
      </c>
      <c r="Q126" s="3">
        <f t="shared" si="67"/>
        <v>100496350</v>
      </c>
      <c r="R126" s="3">
        <f t="shared" si="67"/>
        <v>125620437.5</v>
      </c>
      <c r="S126" s="3">
        <f t="shared" ref="S126" si="68">R126*1.25</f>
        <v>157025546.875</v>
      </c>
      <c r="T126" s="3">
        <f t="shared" ref="T126" si="69">S126*1.25</f>
        <v>196281933.59375</v>
      </c>
    </row>
    <row r="127" spans="1:20" x14ac:dyDescent="0.25">
      <c r="B127" s="2" t="s">
        <v>290</v>
      </c>
      <c r="I127" s="3">
        <f>I126-H126</f>
        <v>-830000</v>
      </c>
      <c r="J127" s="3">
        <f t="shared" ref="J127:T127" si="70">J126-I126</f>
        <v>10522000</v>
      </c>
      <c r="K127" s="3">
        <f t="shared" si="70"/>
        <v>-9172712</v>
      </c>
      <c r="L127" s="3">
        <f t="shared" si="70"/>
        <v>-5009712</v>
      </c>
      <c r="M127" s="3">
        <f t="shared" si="70"/>
        <v>20459400</v>
      </c>
      <c r="N127" s="3">
        <f t="shared" si="70"/>
        <v>32991400</v>
      </c>
      <c r="O127" s="3">
        <f t="shared" si="70"/>
        <v>13267288</v>
      </c>
      <c r="P127" s="3">
        <f t="shared" si="70"/>
        <v>16079416</v>
      </c>
      <c r="Q127" s="3">
        <f t="shared" si="70"/>
        <v>20099270</v>
      </c>
      <c r="R127" s="3">
        <f t="shared" si="70"/>
        <v>25124087.5</v>
      </c>
      <c r="S127" s="3">
        <f t="shared" si="70"/>
        <v>31405109.375</v>
      </c>
      <c r="T127" s="3">
        <f t="shared" si="70"/>
        <v>39256386.71875</v>
      </c>
    </row>
    <row r="129" spans="1:26" s="5" customFormat="1" x14ac:dyDescent="0.25">
      <c r="A129" s="17"/>
      <c r="D129" s="1" t="s">
        <v>71</v>
      </c>
      <c r="F129" s="5">
        <v>0.8</v>
      </c>
      <c r="G129" s="4"/>
      <c r="H129" s="6">
        <f>H106+(G38*$F$129)</f>
        <v>95000</v>
      </c>
      <c r="I129" s="6">
        <f>I106+(H38*$F$129)</f>
        <v>2090000</v>
      </c>
      <c r="J129" s="6">
        <f>J106+(I38*$F$129)</f>
        <v>1260000</v>
      </c>
      <c r="K129" s="6">
        <f>K106+(J38*$F$129)</f>
        <v>11782000</v>
      </c>
      <c r="L129" s="6">
        <f>L106+(K38*$F$129)</f>
        <v>7409288</v>
      </c>
      <c r="M129" s="6">
        <f>M106+(L38*$F$129)</f>
        <v>10499576</v>
      </c>
      <c r="N129" s="6">
        <f>N106+(M38*$F$129)</f>
        <v>48058976</v>
      </c>
      <c r="O129" s="6">
        <f>O106+(N38*$F$129)</f>
        <v>93650376</v>
      </c>
      <c r="P129" s="6"/>
      <c r="Q129" s="6"/>
      <c r="R129" s="6"/>
      <c r="S129" s="6"/>
      <c r="T129" s="6"/>
      <c r="U129" s="6"/>
      <c r="V129" s="6"/>
      <c r="W129" s="6"/>
      <c r="X129" s="6"/>
      <c r="Y129" s="6"/>
      <c r="Z129" s="6"/>
    </row>
    <row r="130" spans="1:26" x14ac:dyDescent="0.25">
      <c r="C130" s="1" t="s">
        <v>203</v>
      </c>
    </row>
    <row r="131" spans="1:26" x14ac:dyDescent="0.25">
      <c r="C131" s="2" t="s">
        <v>195</v>
      </c>
      <c r="J131" s="3" t="s">
        <v>251</v>
      </c>
    </row>
    <row r="132" spans="1:26" x14ac:dyDescent="0.25">
      <c r="C132" s="2" t="s">
        <v>196</v>
      </c>
    </row>
    <row r="133" spans="1:26" x14ac:dyDescent="0.25">
      <c r="C133" s="2" t="s">
        <v>197</v>
      </c>
    </row>
    <row r="134" spans="1:26" x14ac:dyDescent="0.25">
      <c r="B134" s="7"/>
      <c r="C134" s="2" t="s">
        <v>198</v>
      </c>
    </row>
    <row r="137" spans="1:26" s="25" customFormat="1" x14ac:dyDescent="0.25">
      <c r="A137" s="24"/>
      <c r="B137" s="25" t="s">
        <v>289</v>
      </c>
      <c r="G137" s="26"/>
      <c r="H137" s="27">
        <f t="shared" ref="H137:L137" si="71">(NPV(0.1,1,I127,J127,K127,L127, M127)/150000)</f>
        <v>62.616400227482977</v>
      </c>
      <c r="I137" s="27">
        <f t="shared" si="71"/>
        <v>198.06024411431491</v>
      </c>
      <c r="J137" s="27">
        <f t="shared" si="71"/>
        <v>204.02349227342427</v>
      </c>
      <c r="K137" s="27">
        <f t="shared" si="71"/>
        <v>340.52744245069727</v>
      </c>
      <c r="L137" s="27">
        <f t="shared" si="71"/>
        <v>480.57883651954381</v>
      </c>
      <c r="M137" s="27">
        <f>(NPV(0.1,1,N127,O127,P127,Q127, R127)/150000)</f>
        <v>499.18630533000737</v>
      </c>
      <c r="N137" s="27">
        <f t="shared" ref="N137" si="72">(NPV(0.1,1,O127,P127,Q127,R127, S127)/150000)</f>
        <v>467.33949322023511</v>
      </c>
      <c r="O137" s="27">
        <f>(NPV(0.1,1,P127,Q127,R127,S127, T127)/150000)</f>
        <v>581.39368181455018</v>
      </c>
      <c r="P137" s="27"/>
      <c r="Q137" s="27"/>
      <c r="R137" s="27"/>
      <c r="S137" s="27"/>
      <c r="T137" s="27"/>
      <c r="U137" s="27"/>
      <c r="V137" s="27"/>
      <c r="W137" s="27"/>
      <c r="X137" s="27"/>
      <c r="Y137" s="27"/>
      <c r="Z137" s="27"/>
    </row>
    <row r="138" spans="1:26" x14ac:dyDescent="0.25">
      <c r="F138" s="2" t="s">
        <v>291</v>
      </c>
      <c r="H138" s="3">
        <f t="shared" ref="H138:N138" si="73">(NPV(0.1,1,I127,J127,K127,L127,M127))</f>
        <v>9392460.0341224466</v>
      </c>
      <c r="I138" s="3">
        <f t="shared" si="73"/>
        <v>29709036.617147237</v>
      </c>
      <c r="J138" s="3">
        <f t="shared" si="73"/>
        <v>30603523.84101364</v>
      </c>
      <c r="K138" s="3">
        <f t="shared" si="73"/>
        <v>51079116.367604591</v>
      </c>
      <c r="L138" s="3">
        <f t="shared" si="73"/>
        <v>72086825.477931574</v>
      </c>
      <c r="M138" s="3">
        <f t="shared" si="73"/>
        <v>74877945.799501106</v>
      </c>
      <c r="N138" s="3">
        <f t="shared" si="73"/>
        <v>70100923.983035266</v>
      </c>
      <c r="O138" s="3">
        <f>(NPV(0.1,1,P127,Q127,R127,S127,T127))</f>
        <v>87209052.272182524</v>
      </c>
    </row>
  </sheetData>
  <mergeCells count="5">
    <mergeCell ref="Q96:T97"/>
    <mergeCell ref="P20:U21"/>
    <mergeCell ref="A96:A97"/>
    <mergeCell ref="F31:I35"/>
    <mergeCell ref="G41:H4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D39"/>
  <sheetViews>
    <sheetView tabSelected="1" topLeftCell="A10" workbookViewId="0">
      <selection activeCell="C39" sqref="C39"/>
    </sheetView>
  </sheetViews>
  <sheetFormatPr defaultRowHeight="15" x14ac:dyDescent="0.25"/>
  <sheetData>
    <row r="2" spans="3:4" x14ac:dyDescent="0.25">
      <c r="C2" t="s">
        <v>257</v>
      </c>
    </row>
    <row r="3" spans="3:4" x14ac:dyDescent="0.25">
      <c r="C3" t="s">
        <v>258</v>
      </c>
    </row>
    <row r="4" spans="3:4" x14ac:dyDescent="0.25">
      <c r="C4" t="s">
        <v>283</v>
      </c>
    </row>
    <row r="5" spans="3:4" x14ac:dyDescent="0.25">
      <c r="C5" t="s">
        <v>259</v>
      </c>
    </row>
    <row r="7" spans="3:4" x14ac:dyDescent="0.25">
      <c r="C7" t="s">
        <v>260</v>
      </c>
    </row>
    <row r="8" spans="3:4" x14ac:dyDescent="0.25">
      <c r="C8" t="s">
        <v>261</v>
      </c>
    </row>
    <row r="9" spans="3:4" x14ac:dyDescent="0.25">
      <c r="D9" t="s">
        <v>262</v>
      </c>
    </row>
    <row r="10" spans="3:4" x14ac:dyDescent="0.25">
      <c r="C10" t="s">
        <v>263</v>
      </c>
    </row>
    <row r="11" spans="3:4" x14ac:dyDescent="0.25">
      <c r="C11" s="21" t="s">
        <v>284</v>
      </c>
    </row>
    <row r="12" spans="3:4" x14ac:dyDescent="0.25">
      <c r="C12" t="s">
        <v>264</v>
      </c>
    </row>
    <row r="13" spans="3:4" x14ac:dyDescent="0.25">
      <c r="C13" t="s">
        <v>265</v>
      </c>
    </row>
    <row r="15" spans="3:4" x14ac:dyDescent="0.25">
      <c r="C15" t="s">
        <v>266</v>
      </c>
    </row>
    <row r="16" spans="3:4" x14ac:dyDescent="0.25">
      <c r="C16" t="s">
        <v>267</v>
      </c>
    </row>
    <row r="23" spans="3:4" x14ac:dyDescent="0.25">
      <c r="C23" t="s">
        <v>268</v>
      </c>
    </row>
    <row r="26" spans="3:4" x14ac:dyDescent="0.25">
      <c r="D26" t="s">
        <v>285</v>
      </c>
    </row>
    <row r="28" spans="3:4" x14ac:dyDescent="0.25">
      <c r="D28" s="20" t="s">
        <v>269</v>
      </c>
    </row>
    <row r="32" spans="3:4" x14ac:dyDescent="0.25">
      <c r="C32" t="s">
        <v>270</v>
      </c>
    </row>
    <row r="34" spans="3:3" x14ac:dyDescent="0.25">
      <c r="C34" t="s">
        <v>271</v>
      </c>
    </row>
    <row r="35" spans="3:3" x14ac:dyDescent="0.25">
      <c r="C35" t="s">
        <v>272</v>
      </c>
    </row>
    <row r="36" spans="3:3" x14ac:dyDescent="0.25">
      <c r="C36" t="s">
        <v>273</v>
      </c>
    </row>
    <row r="38" spans="3:3" x14ac:dyDescent="0.25">
      <c r="C38" t="s">
        <v>286</v>
      </c>
    </row>
    <row r="39" spans="3:3" x14ac:dyDescent="0.25">
      <c r="C39" t="s">
        <v>287</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M77"/>
  <sheetViews>
    <sheetView topLeftCell="A52" workbookViewId="0">
      <selection activeCell="L12" sqref="L12"/>
    </sheetView>
  </sheetViews>
  <sheetFormatPr defaultRowHeight="15" x14ac:dyDescent="0.25"/>
  <sheetData>
    <row r="3" spans="5:6" x14ac:dyDescent="0.25">
      <c r="E3" t="s">
        <v>299</v>
      </c>
    </row>
    <row r="4" spans="5:6" x14ac:dyDescent="0.25">
      <c r="F4" t="s">
        <v>300</v>
      </c>
    </row>
    <row r="5" spans="5:6" x14ac:dyDescent="0.25">
      <c r="F5" t="s">
        <v>301</v>
      </c>
    </row>
    <row r="6" spans="5:6" x14ac:dyDescent="0.25">
      <c r="F6" t="s">
        <v>302</v>
      </c>
    </row>
    <row r="7" spans="5:6" x14ac:dyDescent="0.25">
      <c r="E7" t="s">
        <v>303</v>
      </c>
    </row>
    <row r="10" spans="5:6" x14ac:dyDescent="0.25">
      <c r="E10" t="s">
        <v>304</v>
      </c>
    </row>
    <row r="11" spans="5:6" x14ac:dyDescent="0.25">
      <c r="F11" t="s">
        <v>305</v>
      </c>
    </row>
    <row r="13" spans="5:6" x14ac:dyDescent="0.25">
      <c r="E13" t="s">
        <v>343</v>
      </c>
    </row>
    <row r="16" spans="5:6" x14ac:dyDescent="0.25">
      <c r="E16" t="s">
        <v>306</v>
      </c>
    </row>
    <row r="17" spans="5:6" x14ac:dyDescent="0.25">
      <c r="E17" t="s">
        <v>307</v>
      </c>
    </row>
    <row r="19" spans="5:6" x14ac:dyDescent="0.25">
      <c r="E19" t="s">
        <v>308</v>
      </c>
    </row>
    <row r="21" spans="5:6" x14ac:dyDescent="0.25">
      <c r="E21" t="s">
        <v>309</v>
      </c>
    </row>
    <row r="22" spans="5:6" x14ac:dyDescent="0.25">
      <c r="E22" t="s">
        <v>310</v>
      </c>
    </row>
    <row r="26" spans="5:6" x14ac:dyDescent="0.25">
      <c r="E26" t="s">
        <v>311</v>
      </c>
    </row>
    <row r="27" spans="5:6" x14ac:dyDescent="0.25">
      <c r="F27" t="s">
        <v>312</v>
      </c>
    </row>
    <row r="29" spans="5:6" x14ac:dyDescent="0.25">
      <c r="F29" t="s">
        <v>313</v>
      </c>
    </row>
    <row r="34" spans="3:6" s="29" customFormat="1" x14ac:dyDescent="0.25">
      <c r="F34" s="29" t="s">
        <v>314</v>
      </c>
    </row>
    <row r="36" spans="3:6" x14ac:dyDescent="0.25">
      <c r="C36" t="s">
        <v>315</v>
      </c>
    </row>
    <row r="38" spans="3:6" x14ac:dyDescent="0.25">
      <c r="E38" t="s">
        <v>316</v>
      </c>
    </row>
    <row r="39" spans="3:6" x14ac:dyDescent="0.25">
      <c r="E39" t="s">
        <v>317</v>
      </c>
    </row>
    <row r="40" spans="3:6" x14ac:dyDescent="0.25">
      <c r="E40" t="s">
        <v>318</v>
      </c>
    </row>
    <row r="41" spans="3:6" x14ac:dyDescent="0.25">
      <c r="E41" t="s">
        <v>319</v>
      </c>
    </row>
    <row r="42" spans="3:6" x14ac:dyDescent="0.25">
      <c r="E42" t="s">
        <v>320</v>
      </c>
    </row>
    <row r="44" spans="3:6" x14ac:dyDescent="0.25">
      <c r="E44" t="s">
        <v>321</v>
      </c>
    </row>
    <row r="46" spans="3:6" x14ac:dyDescent="0.25">
      <c r="F46" t="s">
        <v>322</v>
      </c>
    </row>
    <row r="47" spans="3:6" x14ac:dyDescent="0.25">
      <c r="F47" t="s">
        <v>323</v>
      </c>
    </row>
    <row r="49" spans="6:13" x14ac:dyDescent="0.25">
      <c r="F49" t="s">
        <v>324</v>
      </c>
      <c r="G49">
        <v>97</v>
      </c>
      <c r="J49" t="s">
        <v>325</v>
      </c>
      <c r="M49" t="s">
        <v>326</v>
      </c>
    </row>
    <row r="50" spans="6:13" x14ac:dyDescent="0.25">
      <c r="F50" t="s">
        <v>327</v>
      </c>
      <c r="G50">
        <v>82</v>
      </c>
      <c r="J50" t="s">
        <v>328</v>
      </c>
    </row>
    <row r="53" spans="6:13" x14ac:dyDescent="0.25">
      <c r="F53" t="s">
        <v>329</v>
      </c>
      <c r="G53">
        <v>32</v>
      </c>
    </row>
    <row r="54" spans="6:13" x14ac:dyDescent="0.25">
      <c r="F54" t="s">
        <v>330</v>
      </c>
      <c r="G54">
        <v>17</v>
      </c>
    </row>
    <row r="55" spans="6:13" x14ac:dyDescent="0.25">
      <c r="F55" t="s">
        <v>331</v>
      </c>
      <c r="G55">
        <v>17</v>
      </c>
    </row>
    <row r="56" spans="6:13" x14ac:dyDescent="0.25">
      <c r="F56" t="s">
        <v>332</v>
      </c>
      <c r="G56">
        <v>13</v>
      </c>
    </row>
    <row r="57" spans="6:13" x14ac:dyDescent="0.25">
      <c r="F57" t="s">
        <v>333</v>
      </c>
      <c r="G57">
        <v>12</v>
      </c>
    </row>
    <row r="58" spans="6:13" x14ac:dyDescent="0.25">
      <c r="F58" t="s">
        <v>334</v>
      </c>
      <c r="G58">
        <v>18</v>
      </c>
    </row>
    <row r="61" spans="6:13" x14ac:dyDescent="0.25">
      <c r="F61" t="s">
        <v>335</v>
      </c>
      <c r="G61">
        <v>9</v>
      </c>
    </row>
    <row r="62" spans="6:13" x14ac:dyDescent="0.25">
      <c r="F62" t="s">
        <v>336</v>
      </c>
      <c r="G62">
        <v>10</v>
      </c>
    </row>
    <row r="65" spans="5:10" x14ac:dyDescent="0.25">
      <c r="F65" t="s">
        <v>337</v>
      </c>
      <c r="G65">
        <v>6.5</v>
      </c>
      <c r="J65" t="s">
        <v>338</v>
      </c>
    </row>
    <row r="72" spans="5:10" x14ac:dyDescent="0.25">
      <c r="E72" t="s">
        <v>339</v>
      </c>
    </row>
    <row r="73" spans="5:10" x14ac:dyDescent="0.25">
      <c r="E73" t="s">
        <v>340</v>
      </c>
    </row>
    <row r="76" spans="5:10" x14ac:dyDescent="0.25">
      <c r="E76" t="s">
        <v>341</v>
      </c>
    </row>
    <row r="77" spans="5:10" x14ac:dyDescent="0.25">
      <c r="F77"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Introduction</vt:lpstr>
      <vt:lpstr>Accounts descriiption</vt:lpstr>
      <vt:lpstr>Accounts</vt:lpstr>
      <vt:lpstr>TRIAL BALANCE</vt:lpstr>
      <vt:lpstr>SHARE PRICES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dc:creator>
  <cp:lastModifiedBy>Michael</cp:lastModifiedBy>
  <dcterms:created xsi:type="dcterms:W3CDTF">2015-08-04T19:24:28Z</dcterms:created>
  <dcterms:modified xsi:type="dcterms:W3CDTF">2016-02-19T16:51:43Z</dcterms:modified>
</cp:coreProperties>
</file>