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isaac/Dropbox/S2P Datasets Shared Folder/MLTC_MMC_NH_data/reports_drafts/"/>
    </mc:Choice>
  </mc:AlternateContent>
  <xr:revisionPtr revIDLastSave="0" documentId="13_ncr:1_{4B9FD6AB-486E-7F40-9CFE-E9A3A31A8339}"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4" l="1"/>
  <c r="G5" i="4"/>
  <c r="F4" i="4"/>
  <c r="I4" i="4" s="1"/>
  <c r="C5" i="4"/>
  <c r="C4" i="4" s="1"/>
  <c r="D5" i="4"/>
  <c r="D4" i="4" s="1"/>
  <c r="E5" i="4"/>
  <c r="E4" i="4" s="1"/>
  <c r="F5" i="4"/>
  <c r="Q27" i="3" a="1"/>
  <c r="Q27" i="3" s="1"/>
  <c r="R13" i="3"/>
  <c r="R8" i="3"/>
  <c r="R12" i="3"/>
  <c r="R7" i="3"/>
  <c r="R11" i="3"/>
  <c r="R6" i="3"/>
  <c r="O4" i="6"/>
  <c r="O5" i="6"/>
  <c r="O6" i="6"/>
  <c r="O7" i="6"/>
  <c r="O8" i="6"/>
  <c r="O9" i="6"/>
  <c r="O10" i="6"/>
  <c r="O11" i="6"/>
  <c r="O12" i="6"/>
  <c r="O13" i="6"/>
  <c r="O14" i="6"/>
  <c r="O3" i="6"/>
  <c r="N15" i="6" l="1"/>
  <c r="K15" i="6"/>
  <c r="G15" i="6"/>
  <c r="G16" i="6" s="1"/>
  <c r="G17" i="6" s="1"/>
  <c r="G18" i="6" s="1"/>
  <c r="G19" i="6" s="1"/>
  <c r="N16" i="6" l="1"/>
  <c r="K16" i="6"/>
  <c r="K17" i="6" s="1"/>
  <c r="K18" i="6" s="1"/>
  <c r="K19" i="6" s="1"/>
  <c r="S27" i="3" a="1"/>
  <c r="S27" i="3" s="1"/>
  <c r="N17" i="6"/>
  <c r="N18" i="6" s="1"/>
  <c r="N19" i="6" s="1"/>
  <c r="A24" i="4"/>
  <c r="A23" i="4"/>
  <c r="P5" i="4"/>
  <c r="N5" i="4" s="1"/>
  <c r="P4" i="4"/>
  <c r="J4" i="4"/>
  <c r="R27" i="3" l="1" a="1"/>
  <c r="R27" i="3" s="1"/>
  <c r="K5" i="4"/>
  <c r="L5" i="4" s="1"/>
  <c r="M5" i="4" s="1"/>
  <c r="G4" i="4"/>
  <c r="J5" i="4"/>
  <c r="N4" i="4"/>
  <c r="O5" i="4"/>
  <c r="O4" i="4" l="1"/>
  <c r="K4" i="4"/>
  <c r="L4" i="4" s="1"/>
  <c r="M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<sst xmlns="http://schemas.openxmlformats.org/spreadsheetml/2006/main" count="145" uniqueCount="86">
  <si>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</si>
  <si>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</si>
  <si>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</si>
  <si>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</si>
  <si>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</si>
  <si>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</si>
  <si>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</si>
  <si>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</si>
  <si>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</si>
  <si>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</si>
  <si>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</si>
  <si>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</si>
  <si>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</si>
  <si>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</si>
  <si>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</si>
  <si>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</si>
  <si>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</si>
  <si>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</si>
  <si>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Enter Projected Growth Rate</t>
  </si>
  <si>
    <t>Data  Type</t>
  </si>
  <si>
    <t>Actual</t>
  </si>
  <si>
    <t>Projected</t>
  </si>
  <si>
    <t>Growth Trends</t>
  </si>
  <si>
    <t>State Share Spending</t>
  </si>
  <si>
    <t>Per Capita Spending</t>
  </si>
  <si>
    <t>State Fiscal Year</t>
  </si>
  <si>
    <t>Average Annual Enrollment</t>
  </si>
  <si>
    <t>Enrollee Months % Growth</t>
  </si>
  <si>
    <t>State Share Spending Annual Change %</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</si>
  <si>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</si>
  <si>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</si>
  <si>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</si>
  <si>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</si>
  <si>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</si>
  <si>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</si>
  <si>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</si>
  <si>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</si>
  <si>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</si>
  <si>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</si>
  <si>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</si>
  <si>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</si>
  <si>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</si>
  <si>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</si>
  <si>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</si>
  <si>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</si>
  <si>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</si>
  <si>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</si>
  <si>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</si>
  <si>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State Spending (Millions)</t>
  </si>
  <si>
    <t>State Spending Annual Change (Millions)</t>
  </si>
  <si>
    <t>---</t>
  </si>
  <si>
    <t>FY25</t>
  </si>
  <si>
    <t>FY26</t>
  </si>
  <si>
    <t>FY27</t>
  </si>
  <si>
    <t>FY28</t>
  </si>
  <si>
    <t>FY29</t>
  </si>
  <si>
    <t>Average Annual Growth Rates (as of FY24)</t>
  </si>
  <si>
    <t>Enrollment</t>
  </si>
  <si>
    <t>Average Annual Enrollment Change %</t>
  </si>
  <si>
    <t>Notes</t>
  </si>
  <si>
    <t>(1) Data sources: Full-year Enrollment 2025 Estimate Represents YTD annualized</t>
  </si>
  <si>
    <t>FY26 Growth Assumptions</t>
  </si>
  <si>
    <t>Enter Projected Growth Rates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</si>
  <si>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</si>
  <si>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</si>
  <si>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</si>
  <si>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</si>
  <si>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</si>
  <si>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</si>
  <si>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</si>
  <si>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</si>
  <si>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</si>
  <si>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PARTIAL MLTC</t>
  </si>
  <si>
    <t>PACE</t>
  </si>
  <si>
    <t>MAP</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</si>
  <si>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</si>
  <si>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</si>
  <si>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</si>
  <si>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</si>
  <si>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</si>
  <si>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State Share Spending Annual Change %:</t>
    </r>
    <r>
      <rPr>
        <sz val="11"/>
        <color theme="1"/>
        <rFont val="Calibri"/>
        <family val="2"/>
        <scheme val="minor"/>
      </rPr>
      <t xml:space="preserve"> The percentage change in the State’s share of Medicaid managed long term care spending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</si>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</sst>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0.0%"/>
    <numFmt numFmtId="165" formatCode="_(* #,##0_);_(* \(#,##0\);_(* &quot;-&quot;??_);_(@_)"/>
    <numFmt numFmtId="166" formatCode="_(&quot;$&quot;* #,##0_);_(&quot;$&quot;* \(#,##0\);_(&quot;$&quot;* &quot;-&quot;??_);_(@_)"/>
    <numFmt numFmtId="167" formatCode="&quot;$&quot;#,##0,,_);[Red]\(&quot;$&quot;#,##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3" applyNumberFormat="0" applyAlignment="0" applyProtection="0"/>
    <xf numFmtId="0" fontId="7" fillId="3" borderId="4" applyNumberFormat="0" applyAlignment="0" applyProtection="0"/>
    <xf numFmtId="0" fontId="8" fillId="0" borderId="0" applyNumberFormat="0" applyFill="0" applyBorder="0" applyAlignment="0" applyProtection="0"/>
    <xf numFmtId="0" fontId="10" fillId="4" borderId="0" applyNumberFormat="0" applyBorder="0" applyAlignment="0" applyProtection="0"/>
  </cellStyleXfs>
  <cellXfs count="64">
    <xf numFmtId="0" fontId="0" fillId="0" borderId="0" xfId="0"/>
    <xf numFmtId="0" fontId="1"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8" fillId="0" borderId="0" xfId="8" applyBorder="1"/>
    <xf numFmtId="0" fontId="0" fillId="0" borderId="8" xfId="0" applyBorder="1"/>
    <xf numFmtId="0" fontId="0" fillId="0" borderId="9" xfId="0" applyBorder="1"/>
    <xf numFmtId="0" fontId="1" fillId="0" borderId="8" xfId="0" applyFont="1" applyBorder="1"/>
    <xf numFmtId="0" fontId="7" fillId="3" borderId="15" xfId="7" applyBorder="1"/>
    <xf numFmtId="165" fontId="7" fillId="3" borderId="4" xfId="7" applyNumberFormat="1"/>
    <xf numFmtId="166" fontId="7" fillId="3" borderId="16" xfId="7" applyNumberFormat="1" applyBorder="1"/>
    <xf numFmtId="0" fontId="7" fillId="3" borderId="17" xfId="7" applyBorder="1"/>
    <xf numFmtId="165" fontId="7" fillId="3" borderId="18" xfId="7" applyNumberFormat="1" applyBorder="1"/>
    <xf numFmtId="166" fontId="7" fillId="3" borderId="19" xfId="7" applyNumberFormat="1" applyBorder="1"/>
    <xf numFmtId="0" fontId="0" fillId="0" borderId="0" xfId="0" applyAlignment="1">
      <alignment vertical="center"/>
    </xf>
    <xf numFmtId="0" fontId="1" fillId="0" borderId="0" xfId="0" applyFont="1" applyAlignment="1">
      <alignment horizontal="center" wrapText="1"/>
    </xf>
    <xf numFmtId="164" fontId="13" fillId="2" borderId="3" xfId="6" applyNumberFormat="1" applyFont="1" applyAlignment="1">
      <alignment horizontal="right" wrapText="1"/>
    </xf>
    <xf numFmtId="10" fontId="13" fillId="2" borderId="14" xfId="6" applyNumberFormat="1" applyFont="1" applyBorder="1" applyProtection="1">
      <protection locked="0"/>
    </xf>
    <xf numFmtId="0" fontId="1" fillId="0" borderId="8" xfId="5" applyFont="1" applyBorder="1"/>
    <xf numFmtId="0" fontId="2" fillId="0" borderId="8" xfId="0" applyFont="1" applyBorder="1"/>
    <xf numFmtId="0" fontId="2" fillId="0" borderId="0" xfId="0" applyFont="1"/>
    <xf numFmtId="0" fontId="2" fillId="0" borderId="9" xfId="0" applyFont="1" applyBorder="1"/>
    <xf numFmtId="0" fontId="1" fillId="0" borderId="10" xfId="4" applyFont="1" applyBorder="1"/>
    <xf numFmtId="10" fontId="2" fillId="0" borderId="0" xfId="1" applyNumberFormat="1" applyFont="1" applyBorder="1"/>
    <xf numFmtId="10" fontId="2" fillId="0" borderId="0" xfId="0" applyNumberFormat="1" applyFont="1"/>
    <xf numFmtId="0" fontId="1" fillId="0" borderId="2" xfId="4" applyFont="1" applyAlignment="1">
      <alignment horizontal="right"/>
    </xf>
    <xf numFmtId="0" fontId="1" fillId="0" borderId="11" xfId="4" applyFont="1" applyBorder="1" applyAlignment="1">
      <alignment horizontal="right"/>
    </xf>
    <xf numFmtId="9" fontId="0" fillId="0" borderId="0" xfId="1" applyFont="1"/>
    <xf numFmtId="0" fontId="1" fillId="0" borderId="0" xfId="0" applyFont="1" applyAlignment="1">
      <alignment horizontal="center" vertical="center" wrapText="1"/>
    </xf>
    <xf numFmtId="0" fontId="1"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2"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164" fontId="0" fillId="0" borderId="20" xfId="0" quotePrefix="1" applyNumberFormat="1" applyBorder="1" applyAlignment="1">
      <alignment horizontal="right"/>
    </xf>
    <xf numFmtId="0" fontId="0" fillId="0" borderId="20" xfId="0" quotePrefix="1" applyBorder="1" applyAlignment="1">
      <alignment horizontal="right"/>
    </xf>
    <xf numFmtId="164" fontId="0" fillId="0" borderId="20" xfId="0" applyNumberFormat="1" applyBorder="1" applyAlignment="1">
      <alignment horizontal="right"/>
    </xf>
    <xf numFmtId="0" fontId="5" fillId="0" borderId="2" xfId="4"/>
    <xf numFmtId="0" fontId="15" fillId="0" borderId="0" xfId="0" applyFont="1"/>
    <xf numFmtId="8" fontId="15" fillId="0" borderId="0" xfId="0" applyNumberFormat="1" applyFont="1"/>
    <xf numFmtId="3" fontId="15" fillId="0" borderId="0" xfId="0" applyNumberFormat="1" applyFont="1"/>
    <xf numFmtId="3" fontId="0" fillId="0" borderId="20" xfId="0" applyNumberFormat="1" applyBorder="1" applyAlignment="1">
      <alignment horizontal="right"/>
    </xf>
    <xf numFmtId="167" fontId="0" fillId="0" borderId="20" xfId="0" applyNumberFormat="1" applyBorder="1"/>
    <xf numFmtId="0" fontId="9" fillId="6" borderId="0" xfId="0" applyFont="1" applyFill="1" applyAlignment="1">
      <alignment horizontal="center" vertical="center"/>
    </xf>
    <xf numFmtId="0" fontId="9" fillId="7" borderId="0" xfId="0" applyFont="1" applyFill="1" applyAlignment="1">
      <alignment horizontal="center" vertical="center"/>
    </xf>
    <xf numFmtId="0" fontId="9" fillId="8" borderId="0" xfId="0" applyFont="1" applyFill="1" applyAlignment="1">
      <alignment horizontal="center" vertical="center"/>
    </xf>
    <xf numFmtId="0" fontId="3" fillId="0" borderId="0" xfId="2" applyAlignment="1">
      <alignment horizontal="center"/>
    </xf>
    <xf numFmtId="0" fontId="9" fillId="5" borderId="21" xfId="9" applyFont="1" applyFill="1" applyBorder="1" applyAlignment="1">
      <alignment horizontal="center" vertical="center"/>
    </xf>
    <xf numFmtId="0" fontId="14" fillId="0" borderId="12" xfId="3" applyFont="1" applyBorder="1"/>
    <xf numFmtId="0" fontId="14" fillId="0" borderId="1" xfId="3" applyFont="1"/>
    <xf numFmtId="0" fontId="14" fillId="0" borderId="13" xfId="3" applyFont="1" applyBorder="1"/>
    <xf numFmtId="0" fontId="1" fillId="0" borderId="10" xfId="4" applyFont="1" applyBorder="1"/>
    <xf numFmtId="0" fontId="1" fillId="0" borderId="2" xfId="4" applyFont="1"/>
    <xf numFmtId="0" fontId="1" fillId="0" borderId="11" xfId="4" applyFont="1" applyBorder="1"/>
    <xf numFmtId="0" fontId="14" fillId="0" borderId="5" xfId="3" applyFont="1" applyBorder="1"/>
    <xf numFmtId="0" fontId="14" fillId="0" borderId="6" xfId="3" applyFont="1" applyBorder="1"/>
    <xf numFmtId="0" fontId="14" fillId="0" borderId="7" xfId="3" applyFont="1" applyBorder="1"/>
    <xf numFmtId="0" fontId="1" fillId="0" borderId="8" xfId="5" applyFont="1" applyBorder="1"/>
    <xf numFmtId="0" fontId="1" fillId="0" borderId="0" xfId="5" applyFont="1" applyBorder="1"/>
    <xf numFmtId="0" fontId="1" fillId="0" borderId="9" xfId="5" applyFont="1" applyBorder="1"/>
  </cellXfs>
  <cellStyles count="10">
    <cellStyle name="Accent1" xfId="9" builtinId="29"/>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6">
                <a:alpha val="80000"/>
              </a:schemeClr>
            </a:solidFill>
            <a:ln>
              <a:noFill/>
            </a:ln>
            <a:effectLst/>
          </c:spPr>
          <c:invertIfNegative val="0"/>
          <c:dPt>
            <c:idx val="13"/>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projection_data!$N$2:$N$19</c:f>
              <c:numCache>
                <c:formatCode>#,##0</c:formatCode>
                <c:ptCount val="18"/>
                <c:pt idx="0">
                  <c:v>41432</c:v>
                </c:pt>
                <c:pt idx="1">
                  <c:v>66626</c:v>
                </c:pt>
                <c:pt idx="2">
                  <c:v>114207</c:v>
                </c:pt>
                <c:pt idx="3">
                  <c:v>134481</c:v>
                </c:pt>
                <c:pt idx="4">
                  <c:v>144570</c:v>
                </c:pt>
                <c:pt idx="5">
                  <c:v>174026</c:v>
                </c:pt>
                <c:pt idx="6">
                  <c:v>203368</c:v>
                </c:pt>
                <c:pt idx="7">
                  <c:v>233322</c:v>
                </c:pt>
                <c:pt idx="8">
                  <c:v>265928</c:v>
                </c:pt>
                <c:pt idx="9">
                  <c:v>271059</c:v>
                </c:pt>
                <c:pt idx="10">
                  <c:v>278111</c:v>
                </c:pt>
                <c:pt idx="11">
                  <c:v>293732</c:v>
                </c:pt>
                <c:pt idx="12">
                  <c:v>323624</c:v>
                </c:pt>
                <c:pt idx="13">
                  <c:v>343462.15119999996</c:v>
                </c:pt>
                <c:pt idx="14">
                  <c:v>364516.38106855995</c:v>
                </c:pt>
                <c:pt idx="15">
                  <c:v>386861.23522806267</c:v>
                </c:pt>
                <c:pt idx="16">
                  <c:v>410575.82894754288</c:v>
                </c:pt>
                <c:pt idx="17">
                  <c:v>435744.12726202724</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projection_data!$K$1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"$"#,##0_);[Red]\("$"#,##0\)</c:formatCode>
                <c:ptCount val="18"/>
                <c:pt idx="0">
                  <c:v>4716379000</c:v>
                </c:pt>
                <c:pt idx="1">
                  <c:v>5199000000</c:v>
                </c:pt>
                <c:pt idx="2">
                  <c:v>4401000000</c:v>
                </c:pt>
                <c:pt idx="3">
                  <c:v>7477000000</c:v>
                </c:pt>
                <c:pt idx="4">
                  <c:v>7848000000</c:v>
                </c:pt>
                <c:pt idx="5">
                  <c:v>8284000000</c:v>
                </c:pt>
                <c:pt idx="6">
                  <c:v>9205000000</c:v>
                </c:pt>
                <c:pt idx="7">
                  <c:v>9670000000</c:v>
                </c:pt>
                <c:pt idx="8">
                  <c:v>11187000000</c:v>
                </c:pt>
                <c:pt idx="9">
                  <c:v>10648000000</c:v>
                </c:pt>
                <c:pt idx="10">
                  <c:v>11627000000</c:v>
                </c:pt>
                <c:pt idx="11">
                  <c:v>11742000000</c:v>
                </c:pt>
                <c:pt idx="12">
                  <c:v>13428000000</c:v>
                </c:pt>
                <c:pt idx="13" formatCode="&quot;$&quot;#,##0.00_);[Red]\(&quot;$&quot;#,##0.00\)">
                  <c:v>14529096000.000002</c:v>
                </c:pt>
                <c:pt idx="14" formatCode="&quot;$&quot;#,##0.00_);[Red]\(&quot;$&quot;#,##0.00\)">
                  <c:v>15720481872.000004</c:v>
                </c:pt>
                <c:pt idx="15" formatCode="&quot;$&quot;#,##0.00_);[Red]\(&quot;$&quot;#,##0.00\)">
                  <c:v>17009561385.504005</c:v>
                </c:pt>
                <c:pt idx="16" formatCode="&quot;$&quot;#,##0.00_);[Red]\(&quot;$&quot;#,##0.00\)">
                  <c:v>18404345419.115334</c:v>
                </c:pt>
                <c:pt idx="17" formatCode="&quot;$&quot;#,##0.00_);[Red]\(&quot;$&quot;#,##0.00\)">
                  <c:v>19913501743.482792</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15</xdr:col>
      <xdr:colOff>469900</xdr:colOff>
      <xdr:row>39</xdr:row>
      <xdr:rowOff>76200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793750</xdr:colOff>
      <xdr:row>5</xdr:row>
      <xdr:rowOff>89183</xdr:rowOff>
    </xdr:from>
    <xdr:to>
      <xdr:col>7</xdr:col>
      <xdr:colOff>688524</xdr:colOff>
      <xdr:row>6</xdr:row>
      <xdr:rowOff>165262</xdr:rowOff>
    </xdr:to>
    <xdr:grpSp>
      <xdr:nvGrpSpPr>
        <xdr:cNvPr id="3" name="Group 2">
          <a:extLst>
            <a:ext uri="{FF2B5EF4-FFF2-40B4-BE49-F238E27FC236}">
              <a16:creationId xmlns:a16="http://schemas.microsoft.com/office/drawing/2014/main" id="{9A7BBD57-A331-9383-AF1F-C370F47673DA}"/>
            </a:ext>
          </a:extLst>
        </xdr:cNvPr>
        <xdr:cNvGrpSpPr/>
      </xdr:nvGrpSpPr>
      <xdr:grpSpPr>
        <a:xfrm>
          <a:off x="5594350" y="1117883"/>
          <a:ext cx="1545774" cy="266579"/>
          <a:chOff x="5480050" y="1105183"/>
          <a:chExt cx="1545774" cy="266579"/>
        </a:xfrm>
      </xdr:grpSpPr>
      <xdr:sp macro="" textlink="">
        <xdr:nvSpPr>
          <xdr:cNvPr id="4" name="Rectangle 3">
            <a:extLst>
              <a:ext uri="{FF2B5EF4-FFF2-40B4-BE49-F238E27FC236}">
                <a16:creationId xmlns:a16="http://schemas.microsoft.com/office/drawing/2014/main" id="{CCE3C34B-15C4-482F-7D3E-87C874DCF09C}"/>
              </a:ext>
            </a:extLst>
          </xdr:cNvPr>
          <xdr:cNvSpPr/>
        </xdr:nvSpPr>
        <xdr:spPr>
          <a:xfrm>
            <a:off x="5480050" y="12032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658235" y="1105183"/>
            <a:ext cx="1367589" cy="266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a:t>
            </a:r>
          </a:p>
        </xdr:txBody>
      </xdr:sp>
    </xdr:grpSp>
    <xdr:clientData/>
  </xdr:twoCellAnchor>
  <xdr:twoCellAnchor>
    <xdr:from>
      <xdr:col>7</xdr:col>
      <xdr:colOff>388752</xdr:colOff>
      <xdr:row>5</xdr:row>
      <xdr:rowOff>89638</xdr:rowOff>
    </xdr:from>
    <xdr:to>
      <xdr:col>8</xdr:col>
      <xdr:colOff>607290</xdr:colOff>
      <xdr:row>6</xdr:row>
      <xdr:rowOff>132894</xdr:rowOff>
    </xdr:to>
    <xdr:grpSp>
      <xdr:nvGrpSpPr>
        <xdr:cNvPr id="7" name="Group 6">
          <a:extLst>
            <a:ext uri="{FF2B5EF4-FFF2-40B4-BE49-F238E27FC236}">
              <a16:creationId xmlns:a16="http://schemas.microsoft.com/office/drawing/2014/main" id="{06045B6E-B1F9-B141-8307-8F33122698EF}"/>
            </a:ext>
          </a:extLst>
        </xdr:cNvPr>
        <xdr:cNvGrpSpPr/>
      </xdr:nvGrpSpPr>
      <xdr:grpSpPr>
        <a:xfrm>
          <a:off x="6840352" y="1118338"/>
          <a:ext cx="1044038" cy="233756"/>
          <a:chOff x="6954652" y="1121513"/>
          <a:chExt cx="1044038" cy="233756"/>
        </a:xfrm>
      </xdr:grpSpPr>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21513"/>
            <a:ext cx="801779" cy="233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a:t>
            </a:r>
          </a:p>
        </xdr:txBody>
      </xdr:sp>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39815"/>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5"/>
  <sheetViews>
    <sheetView showGridLines="0" tabSelected="1" workbookViewId="0">
      <selection activeCell="H26" sqref="H26"/>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0" t="s">
        <v>71</v>
      </c>
      <c r="B1" s="50"/>
      <c r="C1" s="50"/>
      <c r="D1" s="50"/>
      <c r="E1" s="50"/>
      <c r="F1" s="50"/>
      <c r="G1" s="50"/>
      <c r="H1" s="50"/>
      <c r="I1" s="50"/>
      <c r="J1" s="50"/>
      <c r="K1" s="50"/>
      <c r="L1" s="50"/>
      <c r="M1" s="50"/>
      <c r="N1" s="50"/>
      <c r="O1" s="50"/>
      <c r="P1" s="50"/>
    </row>
    <row r="2" spans="1:16" s="15" customFormat="1" ht="42" customHeight="1" x14ac:dyDescent="0.2">
      <c r="C2" s="51" t="s">
        <v>75</v>
      </c>
      <c r="D2" s="51"/>
      <c r="E2" s="51"/>
      <c r="F2" s="51"/>
      <c r="G2" s="51"/>
      <c r="H2" s="51"/>
      <c r="I2" s="47" t="s">
        <v>22</v>
      </c>
      <c r="J2" s="47"/>
      <c r="K2" s="48" t="s">
        <v>23</v>
      </c>
      <c r="L2" s="48"/>
      <c r="M2" s="48"/>
      <c r="N2" s="49" t="s">
        <v>24</v>
      </c>
      <c r="O2" s="49"/>
      <c r="P2" s="49"/>
    </row>
    <row r="3" spans="1:16" s="29" customFormat="1" ht="45" customHeight="1" x14ac:dyDescent="0.2">
      <c r="A3" s="30" t="s">
        <v>25</v>
      </c>
      <c r="B3" s="30" t="s">
        <v>1</v>
      </c>
      <c r="C3" s="30" t="s">
        <v>83</v>
      </c>
      <c r="D3" s="30" t="s">
        <v>82</v>
      </c>
      <c r="E3" s="30" t="s">
        <v>84</v>
      </c>
      <c r="F3" s="30" t="s">
        <v>85</v>
      </c>
      <c r="G3" s="30" t="s">
        <v>26</v>
      </c>
      <c r="H3" s="30" t="s">
        <v>70</v>
      </c>
      <c r="I3" s="30" t="s">
        <v>4</v>
      </c>
      <c r="J3" s="30" t="s">
        <v>27</v>
      </c>
      <c r="K3" s="30" t="s">
        <v>48</v>
      </c>
      <c r="L3" s="30" t="s">
        <v>49</v>
      </c>
      <c r="M3" s="30" t="s">
        <v>28</v>
      </c>
      <c r="N3" s="30" t="s">
        <v>9</v>
      </c>
      <c r="O3" s="30" t="s">
        <v>10</v>
      </c>
      <c r="P3" s="30" t="s">
        <v>29</v>
      </c>
    </row>
    <row r="4" spans="1:16" x14ac:dyDescent="0.2">
      <c r="A4" s="31" t="s">
        <v>30</v>
      </c>
      <c r="B4" s="32"/>
      <c r="C4" s="33">
        <f t="shared" ref="C4:E4" si="0">(1+$A$29)*C5</f>
        <v>605666.9291999999</v>
      </c>
      <c r="D4" s="33">
        <f t="shared" si="0"/>
        <v>120406.60759999999</v>
      </c>
      <c r="E4" s="33">
        <f t="shared" si="0"/>
        <v>3701436.5771999997</v>
      </c>
      <c r="F4" s="33">
        <f>(1+$A$29)*F5</f>
        <v>4427510.1140000001</v>
      </c>
      <c r="G4" s="33">
        <f>F4/12</f>
        <v>368959.17616666667</v>
      </c>
      <c r="H4" s="37" t="s">
        <v>50</v>
      </c>
      <c r="I4" s="33">
        <f>F4-F5</f>
        <v>255730.11400000006</v>
      </c>
      <c r="J4" s="35">
        <f>I4/F5</f>
        <v>6.1300000000000014E-2</v>
      </c>
      <c r="K4" s="46">
        <f>N4*G4</f>
        <v>17922874900.641693</v>
      </c>
      <c r="L4" s="46">
        <f>K4-K5</f>
        <v>2315054877.4516945</v>
      </c>
      <c r="M4" s="36">
        <f>L4/K5</f>
        <v>0.14832660000000006</v>
      </c>
      <c r="N4" s="34">
        <f>(1+P4)*N5</f>
        <v>48576.850932000001</v>
      </c>
      <c r="O4" s="34">
        <f>N4-N5</f>
        <v>3681.4249320000017</v>
      </c>
      <c r="P4" s="35">
        <f>A31</f>
        <v>8.2000000000000003E-2</v>
      </c>
    </row>
    <row r="5" spans="1:16" x14ac:dyDescent="0.2">
      <c r="A5" s="31" t="s">
        <v>31</v>
      </c>
      <c r="B5" s="32"/>
      <c r="C5" s="33">
        <f t="shared" ref="C5:E5" si="1">C6*12/$B$6</f>
        <v>570684</v>
      </c>
      <c r="D5" s="33">
        <f t="shared" si="1"/>
        <v>113452</v>
      </c>
      <c r="E5" s="33">
        <f t="shared" si="1"/>
        <v>3487644</v>
      </c>
      <c r="F5" s="33">
        <f>F6*12/$B$6</f>
        <v>4171780</v>
      </c>
      <c r="G5" s="33">
        <f>F5/12</f>
        <v>347648.33333333331</v>
      </c>
      <c r="H5" s="37" t="s">
        <v>50</v>
      </c>
      <c r="I5" s="33">
        <f>F5-F7</f>
        <v>288288</v>
      </c>
      <c r="J5" s="36">
        <f>I5/F7</f>
        <v>7.4234220129718309E-2</v>
      </c>
      <c r="K5" s="46">
        <f>N5*G5</f>
        <v>15607820023.189999</v>
      </c>
      <c r="L5" s="46">
        <f>K5-K7</f>
        <v>2179820023.1899986</v>
      </c>
      <c r="M5" s="36">
        <f>L5/K7</f>
        <v>0.16233393083035438</v>
      </c>
      <c r="N5" s="34">
        <f>(1+P5)*N7</f>
        <v>44895.425999999999</v>
      </c>
      <c r="O5" s="34">
        <f>N5-N7</f>
        <v>3402.4259999999995</v>
      </c>
      <c r="P5" s="35">
        <f>A31</f>
        <v>8.2000000000000003E-2</v>
      </c>
    </row>
    <row r="6" spans="1:16" x14ac:dyDescent="0.2">
      <c r="A6" s="31" t="s">
        <v>32</v>
      </c>
      <c r="B6" s="32">
        <v>3</v>
      </c>
      <c r="C6" s="33">
        <v>142671</v>
      </c>
      <c r="D6" s="33">
        <v>28363</v>
      </c>
      <c r="E6" s="33">
        <v>871911</v>
      </c>
      <c r="F6" s="33">
        <v>1042945</v>
      </c>
      <c r="G6" s="33">
        <v>347648</v>
      </c>
      <c r="H6" s="33">
        <v>350874</v>
      </c>
      <c r="I6" s="45" t="s">
        <v>50</v>
      </c>
      <c r="J6" s="38" t="s">
        <v>50</v>
      </c>
      <c r="K6" s="38" t="s">
        <v>50</v>
      </c>
      <c r="L6" s="38" t="s">
        <v>50</v>
      </c>
      <c r="M6" s="40" t="s">
        <v>50</v>
      </c>
      <c r="N6" s="40" t="s">
        <v>50</v>
      </c>
      <c r="O6" s="40" t="s">
        <v>50</v>
      </c>
      <c r="P6" s="40" t="s">
        <v>50</v>
      </c>
    </row>
    <row r="7" spans="1:16" x14ac:dyDescent="0.2">
      <c r="A7" s="32" t="s">
        <v>33</v>
      </c>
      <c r="B7" s="32">
        <v>12</v>
      </c>
      <c r="C7" s="33">
        <v>493725</v>
      </c>
      <c r="D7" s="33">
        <v>111461</v>
      </c>
      <c r="E7" s="33">
        <v>3278306</v>
      </c>
      <c r="F7" s="33">
        <v>3883492</v>
      </c>
      <c r="G7" s="33">
        <v>323624</v>
      </c>
      <c r="H7" s="33">
        <v>331699</v>
      </c>
      <c r="I7" s="33">
        <v>358704</v>
      </c>
      <c r="J7" s="36">
        <v>0.10199999999999999</v>
      </c>
      <c r="K7" s="46">
        <v>13428000000</v>
      </c>
      <c r="L7" s="46">
        <v>1686000000</v>
      </c>
      <c r="M7" s="36">
        <v>0.14399999999999999</v>
      </c>
      <c r="N7" s="34">
        <v>41493</v>
      </c>
      <c r="O7" s="34">
        <v>1517</v>
      </c>
      <c r="P7" s="36">
        <v>3.7999999999999999E-2</v>
      </c>
    </row>
    <row r="8" spans="1:16" x14ac:dyDescent="0.2">
      <c r="A8" s="32" t="s">
        <v>34</v>
      </c>
      <c r="B8" s="32">
        <v>12</v>
      </c>
      <c r="C8" s="33">
        <v>416349</v>
      </c>
      <c r="D8" s="33">
        <v>91952</v>
      </c>
      <c r="E8" s="33">
        <v>3016487</v>
      </c>
      <c r="F8" s="33">
        <v>3524788</v>
      </c>
      <c r="G8" s="33">
        <v>293732</v>
      </c>
      <c r="H8" s="33">
        <v>299174</v>
      </c>
      <c r="I8" s="33">
        <v>187451</v>
      </c>
      <c r="J8" s="36">
        <v>5.6000000000000001E-2</v>
      </c>
      <c r="K8" s="46">
        <v>11742000000</v>
      </c>
      <c r="L8" s="46">
        <v>115000000</v>
      </c>
      <c r="M8" s="36">
        <v>0.01</v>
      </c>
      <c r="N8" s="34">
        <v>39975</v>
      </c>
      <c r="O8" s="34">
        <v>-1832</v>
      </c>
      <c r="P8" s="36">
        <v>-4.3999999999999997E-2</v>
      </c>
    </row>
    <row r="9" spans="1:16" x14ac:dyDescent="0.2">
      <c r="A9" s="32" t="s">
        <v>35</v>
      </c>
      <c r="B9" s="32">
        <v>12</v>
      </c>
      <c r="C9" s="33">
        <v>356677</v>
      </c>
      <c r="D9" s="33">
        <v>67089</v>
      </c>
      <c r="E9" s="33">
        <v>2913571</v>
      </c>
      <c r="F9" s="33">
        <v>3337337</v>
      </c>
      <c r="G9" s="33">
        <v>278111</v>
      </c>
      <c r="H9" s="33">
        <v>280507</v>
      </c>
      <c r="I9" s="33">
        <v>84633</v>
      </c>
      <c r="J9" s="36">
        <v>2.5999999999999999E-2</v>
      </c>
      <c r="K9" s="46">
        <v>11627000000</v>
      </c>
      <c r="L9" s="46">
        <v>979000000</v>
      </c>
      <c r="M9" s="36">
        <v>9.1999999999999998E-2</v>
      </c>
      <c r="N9" s="34">
        <v>41807</v>
      </c>
      <c r="O9" s="34">
        <v>2524</v>
      </c>
      <c r="P9" s="36">
        <v>6.4000000000000001E-2</v>
      </c>
    </row>
    <row r="10" spans="1:16" x14ac:dyDescent="0.2">
      <c r="A10" s="32" t="s">
        <v>36</v>
      </c>
      <c r="B10" s="32">
        <v>12</v>
      </c>
      <c r="C10" s="33">
        <v>271573</v>
      </c>
      <c r="D10" s="33">
        <v>65494</v>
      </c>
      <c r="E10" s="33">
        <v>2915637</v>
      </c>
      <c r="F10" s="33">
        <v>3252704</v>
      </c>
      <c r="G10" s="33">
        <v>271059</v>
      </c>
      <c r="H10" s="33">
        <v>270785</v>
      </c>
      <c r="I10" s="33">
        <v>61573</v>
      </c>
      <c r="J10" s="36">
        <v>1.9E-2</v>
      </c>
      <c r="K10" s="46">
        <v>10648000000</v>
      </c>
      <c r="L10" s="46">
        <v>-539000000</v>
      </c>
      <c r="M10" s="36">
        <v>-4.8000000000000001E-2</v>
      </c>
      <c r="N10" s="34">
        <v>39283</v>
      </c>
      <c r="O10" s="34">
        <v>-2785</v>
      </c>
      <c r="P10" s="36">
        <v>-6.6000000000000003E-2</v>
      </c>
    </row>
    <row r="11" spans="1:16" x14ac:dyDescent="0.2">
      <c r="A11" s="32" t="s">
        <v>37</v>
      </c>
      <c r="B11" s="32">
        <v>12</v>
      </c>
      <c r="C11" s="33">
        <v>211114</v>
      </c>
      <c r="D11" s="33">
        <v>68522</v>
      </c>
      <c r="E11" s="33">
        <v>2911495</v>
      </c>
      <c r="F11" s="33">
        <v>3191131</v>
      </c>
      <c r="G11" s="33">
        <v>265928</v>
      </c>
      <c r="H11" s="33">
        <v>272758</v>
      </c>
      <c r="I11" s="33">
        <v>391265</v>
      </c>
      <c r="J11" s="36">
        <v>0.14000000000000001</v>
      </c>
      <c r="K11" s="46">
        <v>11187000000</v>
      </c>
      <c r="L11" s="46">
        <v>1517000000</v>
      </c>
      <c r="M11" s="36">
        <v>0.157</v>
      </c>
      <c r="N11" s="34">
        <v>42068</v>
      </c>
      <c r="O11" s="34">
        <v>623</v>
      </c>
      <c r="P11" s="36">
        <v>1.4999999999999999E-2</v>
      </c>
    </row>
    <row r="12" spans="1:16" x14ac:dyDescent="0.2">
      <c r="A12" s="32" t="s">
        <v>38</v>
      </c>
      <c r="B12" s="32">
        <v>12</v>
      </c>
      <c r="C12" s="33">
        <v>146837</v>
      </c>
      <c r="D12" s="33">
        <v>68314</v>
      </c>
      <c r="E12" s="33">
        <v>2584715</v>
      </c>
      <c r="F12" s="33">
        <v>2799866</v>
      </c>
      <c r="G12" s="33">
        <v>233322</v>
      </c>
      <c r="H12" s="33">
        <v>240219</v>
      </c>
      <c r="I12" s="33">
        <v>359451</v>
      </c>
      <c r="J12" s="36">
        <v>0.14699999999999999</v>
      </c>
      <c r="K12" s="46">
        <v>9670000000</v>
      </c>
      <c r="L12" s="46">
        <v>465000000</v>
      </c>
      <c r="M12" s="36">
        <v>5.0999999999999997E-2</v>
      </c>
      <c r="N12" s="34">
        <v>41445</v>
      </c>
      <c r="O12" s="34">
        <v>-3818</v>
      </c>
      <c r="P12" s="36">
        <v>-8.4000000000000005E-2</v>
      </c>
    </row>
    <row r="13" spans="1:16" x14ac:dyDescent="0.2">
      <c r="A13" s="32" t="s">
        <v>39</v>
      </c>
      <c r="B13" s="32">
        <v>12</v>
      </c>
      <c r="C13" s="33">
        <v>102280</v>
      </c>
      <c r="D13" s="33">
        <v>67591</v>
      </c>
      <c r="E13" s="33">
        <v>2270544</v>
      </c>
      <c r="F13" s="33">
        <v>2440415</v>
      </c>
      <c r="G13" s="33">
        <v>203368</v>
      </c>
      <c r="H13" s="33">
        <v>210264</v>
      </c>
      <c r="I13" s="33">
        <v>352109</v>
      </c>
      <c r="J13" s="36">
        <v>0.16900000000000001</v>
      </c>
      <c r="K13" s="46">
        <v>9205000000</v>
      </c>
      <c r="L13" s="46">
        <v>921000000</v>
      </c>
      <c r="M13" s="36">
        <v>0.111</v>
      </c>
      <c r="N13" s="34">
        <v>45263</v>
      </c>
      <c r="O13" s="34">
        <v>-2339</v>
      </c>
      <c r="P13" s="36">
        <v>-4.9000000000000002E-2</v>
      </c>
    </row>
    <row r="14" spans="1:16" x14ac:dyDescent="0.2">
      <c r="A14" s="32" t="s">
        <v>40</v>
      </c>
      <c r="B14" s="32">
        <v>12</v>
      </c>
      <c r="C14" s="33">
        <v>74966</v>
      </c>
      <c r="D14" s="33">
        <v>66883</v>
      </c>
      <c r="E14" s="33">
        <v>1946457</v>
      </c>
      <c r="F14" s="33">
        <v>2088306</v>
      </c>
      <c r="G14" s="33">
        <v>174026</v>
      </c>
      <c r="H14" s="33">
        <v>181219</v>
      </c>
      <c r="I14" s="33">
        <v>353466</v>
      </c>
      <c r="J14" s="36">
        <v>0.20399999999999999</v>
      </c>
      <c r="K14" s="46">
        <v>8284000000</v>
      </c>
      <c r="L14" s="46">
        <v>436000000</v>
      </c>
      <c r="M14" s="36">
        <v>5.6000000000000001E-2</v>
      </c>
      <c r="N14" s="34">
        <v>47602</v>
      </c>
      <c r="O14" s="34">
        <v>-6683</v>
      </c>
      <c r="P14" s="36">
        <v>-0.123</v>
      </c>
    </row>
    <row r="15" spans="1:16" x14ac:dyDescent="0.2">
      <c r="A15" s="32" t="s">
        <v>41</v>
      </c>
      <c r="B15" s="32">
        <v>12</v>
      </c>
      <c r="C15" s="33">
        <v>71979</v>
      </c>
      <c r="D15" s="33">
        <v>65736</v>
      </c>
      <c r="E15" s="33">
        <v>1597125</v>
      </c>
      <c r="F15" s="33">
        <v>1734840</v>
      </c>
      <c r="G15" s="33">
        <v>144570</v>
      </c>
      <c r="H15" s="33">
        <v>148887</v>
      </c>
      <c r="I15" s="33">
        <v>121067</v>
      </c>
      <c r="J15" s="36">
        <v>7.4999999999999997E-2</v>
      </c>
      <c r="K15" s="46">
        <v>7848000000</v>
      </c>
      <c r="L15" s="46">
        <v>371000000</v>
      </c>
      <c r="M15" s="36">
        <v>0.05</v>
      </c>
      <c r="N15" s="34">
        <v>54285</v>
      </c>
      <c r="O15" s="34">
        <v>-1314</v>
      </c>
      <c r="P15" s="36">
        <v>-2.4E-2</v>
      </c>
    </row>
    <row r="16" spans="1:16" x14ac:dyDescent="0.2">
      <c r="A16" s="32" t="s">
        <v>42</v>
      </c>
      <c r="B16" s="32">
        <v>12</v>
      </c>
      <c r="C16" s="33">
        <v>68552</v>
      </c>
      <c r="D16" s="33">
        <v>67476</v>
      </c>
      <c r="E16" s="33">
        <v>1477745</v>
      </c>
      <c r="F16" s="33">
        <v>1613773</v>
      </c>
      <c r="G16" s="33">
        <v>134481</v>
      </c>
      <c r="H16" s="33">
        <v>138251</v>
      </c>
      <c r="I16" s="33">
        <v>243287</v>
      </c>
      <c r="J16" s="36">
        <v>0.17799999999999999</v>
      </c>
      <c r="K16" s="46">
        <v>7477000000</v>
      </c>
      <c r="L16" s="46">
        <v>3076000000</v>
      </c>
      <c r="M16" s="36">
        <v>0.69899999999999995</v>
      </c>
      <c r="N16" s="34">
        <v>55599</v>
      </c>
      <c r="O16" s="34">
        <v>17064</v>
      </c>
      <c r="P16" s="36">
        <v>0.443</v>
      </c>
    </row>
    <row r="17" spans="1:16" x14ac:dyDescent="0.2">
      <c r="A17" s="32" t="s">
        <v>43</v>
      </c>
      <c r="B17" s="32">
        <v>12</v>
      </c>
      <c r="C17" s="33">
        <v>53408</v>
      </c>
      <c r="D17" s="33">
        <v>62026</v>
      </c>
      <c r="E17" s="33">
        <v>1255052</v>
      </c>
      <c r="F17" s="33">
        <v>1370486</v>
      </c>
      <c r="G17" s="33">
        <v>114207</v>
      </c>
      <c r="H17" s="33">
        <v>122486</v>
      </c>
      <c r="I17" s="33">
        <v>570978</v>
      </c>
      <c r="J17" s="36">
        <v>0.71399999999999997</v>
      </c>
      <c r="K17" s="46">
        <v>4401000000</v>
      </c>
      <c r="L17" s="46">
        <v>-798000000</v>
      </c>
      <c r="M17" s="36">
        <v>-0.153</v>
      </c>
      <c r="N17" s="34">
        <v>38535</v>
      </c>
      <c r="O17" s="34">
        <v>-39498</v>
      </c>
      <c r="P17" s="36">
        <v>-0.50600000000000001</v>
      </c>
    </row>
    <row r="18" spans="1:16" x14ac:dyDescent="0.2">
      <c r="A18" s="32" t="s">
        <v>44</v>
      </c>
      <c r="B18" s="32">
        <v>12</v>
      </c>
      <c r="C18" s="33">
        <v>30299</v>
      </c>
      <c r="D18" s="33">
        <v>54215</v>
      </c>
      <c r="E18" s="33">
        <v>714994</v>
      </c>
      <c r="F18" s="33">
        <v>799508</v>
      </c>
      <c r="G18" s="33">
        <v>66626</v>
      </c>
      <c r="H18" s="33">
        <v>74300</v>
      </c>
      <c r="I18" s="33">
        <v>302327</v>
      </c>
      <c r="J18" s="36">
        <v>0.60799999999999998</v>
      </c>
      <c r="K18" s="46">
        <v>5199000000</v>
      </c>
      <c r="L18" s="46">
        <v>482621000</v>
      </c>
      <c r="M18" s="36">
        <v>0.10199999999999999</v>
      </c>
      <c r="N18" s="34">
        <v>78033</v>
      </c>
      <c r="O18" s="34">
        <v>-35802</v>
      </c>
      <c r="P18" s="36">
        <v>-0.315</v>
      </c>
    </row>
    <row r="19" spans="1:16" x14ac:dyDescent="0.2">
      <c r="A19" s="32" t="s">
        <v>45</v>
      </c>
      <c r="B19" s="32">
        <v>12</v>
      </c>
      <c r="C19" s="33">
        <v>19050</v>
      </c>
      <c r="D19" s="33">
        <v>46774</v>
      </c>
      <c r="E19" s="33">
        <v>431357</v>
      </c>
      <c r="F19" s="33">
        <v>497181</v>
      </c>
      <c r="G19" s="33">
        <v>41432</v>
      </c>
      <c r="H19" s="33">
        <v>45071</v>
      </c>
      <c r="I19" s="45" t="s">
        <v>50</v>
      </c>
      <c r="J19" s="38" t="s">
        <v>50</v>
      </c>
      <c r="K19" s="46">
        <v>4716379000</v>
      </c>
      <c r="L19" s="38" t="s">
        <v>50</v>
      </c>
      <c r="M19" s="40" t="s">
        <v>50</v>
      </c>
      <c r="N19" s="34">
        <v>113835</v>
      </c>
      <c r="O19" s="39" t="s">
        <v>50</v>
      </c>
      <c r="P19" s="40" t="s">
        <v>50</v>
      </c>
    </row>
    <row r="21" spans="1:16" ht="16" thickBot="1" x14ac:dyDescent="0.25">
      <c r="A21" s="41" t="s">
        <v>59</v>
      </c>
    </row>
    <row r="22" spans="1:16" x14ac:dyDescent="0.2">
      <c r="A22" t="s">
        <v>60</v>
      </c>
    </row>
    <row r="23" spans="1:16" x14ac:dyDescent="0.2">
      <c r="A23" t="str">
        <f>_xlfn.CONCAT("(2) Full-year Enrollment 2025 Estimate Represents YTD annualized. Months in YTD = ",B6,".")</f>
        <v>(2) Full-year Enrollment 2025 Estimate Represents YTD annualized. Months in YTD = 3.</v>
      </c>
    </row>
    <row r="24" spans="1:16" x14ac:dyDescent="0.2">
      <c r="A24" t="str">
        <f>_xlfn.CONCAT("(3) FY25 full-year spending estimate is based an assumption of per capita spending growth = ",ROUND(A31*100,2),"%")</f>
        <v>(3) FY25 full-year spending estimate is based an assumption of per capita spending growth = 8.2%</v>
      </c>
      <c r="I24" s="2"/>
    </row>
    <row r="26" spans="1:16" ht="16" thickBot="1" x14ac:dyDescent="0.25">
      <c r="A26" s="41" t="s">
        <v>61</v>
      </c>
    </row>
    <row r="27" spans="1:16" ht="16" x14ac:dyDescent="0.2">
      <c r="A27" s="5" t="s">
        <v>62</v>
      </c>
    </row>
    <row r="28" spans="1:16" x14ac:dyDescent="0.2">
      <c r="A28" t="s">
        <v>46</v>
      </c>
    </row>
    <row r="29" spans="1:16" ht="16" x14ac:dyDescent="0.2">
      <c r="A29" s="17">
        <v>6.13E-2</v>
      </c>
    </row>
    <row r="30" spans="1:16" ht="16" x14ac:dyDescent="0.2">
      <c r="A30" t="s">
        <v>47</v>
      </c>
      <c r="F30" s="5"/>
    </row>
    <row r="31" spans="1:16" ht="16" x14ac:dyDescent="0.2">
      <c r="A31" s="17">
        <v>8.2000000000000003E-2</v>
      </c>
    </row>
    <row r="33" spans="1:1" ht="16" thickBot="1" x14ac:dyDescent="0.25">
      <c r="A33" s="41" t="s">
        <v>63</v>
      </c>
    </row>
    <row r="34" spans="1:1" x14ac:dyDescent="0.2">
      <c r="A34" t="s">
        <v>64</v>
      </c>
    </row>
    <row r="35" spans="1:1" x14ac:dyDescent="0.2">
      <c r="A35" t="s">
        <v>76</v>
      </c>
    </row>
    <row r="36" spans="1:1" x14ac:dyDescent="0.2">
      <c r="A36" t="s">
        <v>65</v>
      </c>
    </row>
    <row r="37" spans="1:1" x14ac:dyDescent="0.2">
      <c r="A37" t="s">
        <v>77</v>
      </c>
    </row>
    <row r="38" spans="1:1" x14ac:dyDescent="0.2">
      <c r="A38" t="s">
        <v>66</v>
      </c>
    </row>
    <row r="39" spans="1:1" x14ac:dyDescent="0.2">
      <c r="A39" t="s">
        <v>67</v>
      </c>
    </row>
    <row r="40" spans="1:1" x14ac:dyDescent="0.2">
      <c r="A40" t="s">
        <v>78</v>
      </c>
    </row>
    <row r="41" spans="1:1" x14ac:dyDescent="0.2">
      <c r="A41" t="s">
        <v>79</v>
      </c>
    </row>
    <row r="42" spans="1:1" x14ac:dyDescent="0.2">
      <c r="A42" t="s">
        <v>80</v>
      </c>
    </row>
    <row r="43" spans="1:1" x14ac:dyDescent="0.2">
      <c r="A43" t="s">
        <v>81</v>
      </c>
    </row>
    <row r="44" spans="1:1" x14ac:dyDescent="0.2">
      <c r="A44" t="s">
        <v>68</v>
      </c>
    </row>
    <row r="45" spans="1:1" x14ac:dyDescent="0.2">
      <c r="A45" t="s">
        <v>69</v>
      </c>
    </row>
  </sheetData>
  <sortState xmlns:xlrd2="http://schemas.microsoft.com/office/spreadsheetml/2017/richdata2" ref="A4:P19">
    <sortCondition descending="1" ref="A6:A19"/>
  </sortState>
  <mergeCells count="5">
    <mergeCell ref="I2:J2"/>
    <mergeCell ref="K2:M2"/>
    <mergeCell ref="N2:P2"/>
    <mergeCell ref="A1:P1"/>
    <mergeCell ref="C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T45"/>
  <sheetViews>
    <sheetView showGridLines="0" workbookViewId="0">
      <selection activeCell="R37" sqref="R37"/>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6" width="10.83203125" customWidth="1"/>
    <col min="17" max="17" width="14.83203125" customWidth="1"/>
    <col min="18" max="19" width="18" customWidth="1"/>
    <col min="20" max="20" width="10.83203125" customWidth="1"/>
    <col min="21" max="16384" width="10.83203125" hidden="1"/>
  </cols>
  <sheetData>
    <row r="1" spans="17:19" ht="16" thickBot="1" x14ac:dyDescent="0.25"/>
    <row r="2" spans="17:19" ht="18" thickBot="1" x14ac:dyDescent="0.25">
      <c r="Q2" s="58" t="s">
        <v>13</v>
      </c>
      <c r="R2" s="59"/>
      <c r="S2" s="60"/>
    </row>
    <row r="3" spans="17:19" ht="16" thickTop="1" x14ac:dyDescent="0.2">
      <c r="Q3" s="61" t="s">
        <v>56</v>
      </c>
      <c r="R3" s="62"/>
      <c r="S3" s="63"/>
    </row>
    <row r="4" spans="17:19" x14ac:dyDescent="0.2">
      <c r="Q4" s="20"/>
      <c r="R4" s="21"/>
      <c r="S4" s="22"/>
    </row>
    <row r="5" spans="17:19" ht="16" thickBot="1" x14ac:dyDescent="0.25">
      <c r="Q5" s="55" t="s">
        <v>57</v>
      </c>
      <c r="R5" s="56"/>
      <c r="S5" s="57"/>
    </row>
    <row r="6" spans="17:19" x14ac:dyDescent="0.2">
      <c r="Q6" s="8" t="s">
        <v>14</v>
      </c>
      <c r="R6" s="24">
        <f>AVERAGE(projection_data!O14)</f>
        <v>0.10176623588849699</v>
      </c>
      <c r="S6" s="22"/>
    </row>
    <row r="7" spans="17:19" x14ac:dyDescent="0.2">
      <c r="Q7" s="8" t="s">
        <v>15</v>
      </c>
      <c r="R7" s="24">
        <f>AVERAGE(projection_data!O12:O14)</f>
        <v>6.1316977536269246E-2</v>
      </c>
      <c r="S7" s="22"/>
    </row>
    <row r="8" spans="17:19" x14ac:dyDescent="0.2">
      <c r="Q8" s="8" t="s">
        <v>16</v>
      </c>
      <c r="R8" s="24">
        <f>AVERAGE(projection_data!O10:O14)</f>
        <v>6.8598483323739995E-2</v>
      </c>
      <c r="S8" s="22"/>
    </row>
    <row r="9" spans="17:19" x14ac:dyDescent="0.2">
      <c r="Q9" s="20"/>
      <c r="R9" s="21"/>
      <c r="S9" s="22"/>
    </row>
    <row r="10" spans="17:19" ht="16" thickBot="1" x14ac:dyDescent="0.25">
      <c r="Q10" s="55" t="s">
        <v>6</v>
      </c>
      <c r="R10" s="56"/>
      <c r="S10" s="57"/>
    </row>
    <row r="11" spans="17:19" x14ac:dyDescent="0.2">
      <c r="Q11" s="8" t="s">
        <v>14</v>
      </c>
      <c r="R11" s="25">
        <f>AVERAGE(projection_data!M14)</f>
        <v>0.14399999999999999</v>
      </c>
      <c r="S11" s="22"/>
    </row>
    <row r="12" spans="17:19" x14ac:dyDescent="0.2">
      <c r="Q12" s="8" t="s">
        <v>15</v>
      </c>
      <c r="R12" s="25">
        <f>AVERAGE(projection_data!M12:M14)</f>
        <v>8.2000000000000003E-2</v>
      </c>
      <c r="S12" s="22"/>
    </row>
    <row r="13" spans="17:19" x14ac:dyDescent="0.2">
      <c r="Q13" s="8" t="s">
        <v>16</v>
      </c>
      <c r="R13" s="25">
        <f>AVERAGE(projection_data!M10:M14)</f>
        <v>7.0999999999999994E-2</v>
      </c>
      <c r="S13" s="22"/>
    </row>
    <row r="14" spans="17:19" x14ac:dyDescent="0.2">
      <c r="Q14" s="20"/>
      <c r="R14" s="21"/>
      <c r="S14" s="22"/>
    </row>
    <row r="15" spans="17:19" x14ac:dyDescent="0.2">
      <c r="Q15" s="20"/>
      <c r="R15" s="21"/>
      <c r="S15" s="22"/>
    </row>
    <row r="16" spans="17:19" ht="18" thickBot="1" x14ac:dyDescent="0.25">
      <c r="Q16" s="52" t="s">
        <v>12</v>
      </c>
      <c r="R16" s="53"/>
      <c r="S16" s="54"/>
    </row>
    <row r="17" spans="17:19" ht="16" thickTop="1" x14ac:dyDescent="0.2">
      <c r="Q17" s="19" t="s">
        <v>17</v>
      </c>
      <c r="R17" s="21"/>
      <c r="S17" s="22"/>
    </row>
    <row r="18" spans="17:19" x14ac:dyDescent="0.2">
      <c r="Q18" s="20"/>
      <c r="R18" s="21"/>
      <c r="S18" s="22"/>
    </row>
    <row r="19" spans="17:19" ht="16" thickBot="1" x14ac:dyDescent="0.25">
      <c r="Q19" s="23" t="s">
        <v>57</v>
      </c>
      <c r="R19" s="21"/>
      <c r="S19" s="22"/>
    </row>
    <row r="20" spans="17:19" ht="16" x14ac:dyDescent="0.2">
      <c r="Q20" s="18">
        <v>6.13E-2</v>
      </c>
      <c r="R20" s="5" t="s">
        <v>18</v>
      </c>
      <c r="S20" s="7"/>
    </row>
    <row r="21" spans="17:19" x14ac:dyDescent="0.2">
      <c r="Q21" s="6"/>
      <c r="S21" s="7"/>
    </row>
    <row r="22" spans="17:19" ht="16" thickBot="1" x14ac:dyDescent="0.25">
      <c r="Q22" s="23" t="s">
        <v>6</v>
      </c>
      <c r="S22" s="7"/>
    </row>
    <row r="23" spans="17:19" ht="16" x14ac:dyDescent="0.2">
      <c r="Q23" s="18">
        <v>8.2000000000000003E-2</v>
      </c>
      <c r="R23" s="5" t="s">
        <v>18</v>
      </c>
      <c r="S23" s="7"/>
    </row>
    <row r="24" spans="17:19" x14ac:dyDescent="0.2">
      <c r="Q24" s="6"/>
      <c r="S24" s="7"/>
    </row>
    <row r="25" spans="17:19" x14ac:dyDescent="0.2">
      <c r="Q25" s="6"/>
      <c r="S25" s="7"/>
    </row>
    <row r="26" spans="17:19" ht="16" thickBot="1" x14ac:dyDescent="0.25">
      <c r="Q26" s="23" t="s">
        <v>25</v>
      </c>
      <c r="R26" s="26" t="s">
        <v>57</v>
      </c>
      <c r="S26" s="27" t="s">
        <v>6</v>
      </c>
    </row>
    <row r="27" spans="17:19" ht="16" x14ac:dyDescent="0.2">
      <c r="Q27" s="9" t="str" cm="1">
        <f t="array" ref="Q27:Q31">projection_data!B15:B19</f>
        <v>FY25</v>
      </c>
      <c r="R27" s="10" cm="1">
        <f t="array" ref="R27:R31">projection_data!N15:N19</f>
        <v>343462.15119999996</v>
      </c>
      <c r="S27" s="11" cm="1">
        <f t="array" ref="S27:S31">projection_data!K15:K19</f>
        <v>14529096000.000002</v>
      </c>
    </row>
    <row r="28" spans="17:19" ht="16" x14ac:dyDescent="0.2">
      <c r="Q28" s="9" t="str">
        <v>FY26</v>
      </c>
      <c r="R28" s="10">
        <v>364516.38106855995</v>
      </c>
      <c r="S28" s="11">
        <v>15720481872.000004</v>
      </c>
    </row>
    <row r="29" spans="17:19" ht="16" x14ac:dyDescent="0.2">
      <c r="Q29" s="9" t="str">
        <v>FY27</v>
      </c>
      <c r="R29" s="10">
        <v>386861.23522806267</v>
      </c>
      <c r="S29" s="11">
        <v>17009561385.504005</v>
      </c>
    </row>
    <row r="30" spans="17:19" ht="16" x14ac:dyDescent="0.2">
      <c r="Q30" s="9" t="str">
        <v>FY28</v>
      </c>
      <c r="R30" s="10">
        <v>410575.82894754288</v>
      </c>
      <c r="S30" s="11">
        <v>18404345419.115334</v>
      </c>
    </row>
    <row r="31" spans="17:19" ht="17" thickBot="1" x14ac:dyDescent="0.25">
      <c r="Q31" s="12" t="str">
        <v>FY29</v>
      </c>
      <c r="R31" s="13">
        <v>435744.12726202724</v>
      </c>
      <c r="S31" s="14">
        <v>19913501743.482792</v>
      </c>
    </row>
    <row r="32" spans="17: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5">
    <mergeCell ref="Q16:S16"/>
    <mergeCell ref="Q10:S10"/>
    <mergeCell ref="Q2:S2"/>
    <mergeCell ref="Q3:S3"/>
    <mergeCell ref="Q5:S5"/>
  </mergeCells>
  <phoneticPr fontId="11" type="noConversion"/>
  <pageMargins left="0.7" right="0.7" top="0.75" bottom="0.75" header="0.3" footer="0.3"/>
  <ignoredErrors>
    <ignoredError sqref="R12:R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R19"/>
  <sheetViews>
    <sheetView workbookViewId="0">
      <selection activeCell="L17" sqref="L17"/>
    </sheetView>
  </sheetViews>
  <sheetFormatPr baseColWidth="10" defaultColWidth="8.83203125" defaultRowHeight="15" x14ac:dyDescent="0.2"/>
  <cols>
    <col min="2" max="2" width="9.1640625" bestFit="1" customWidth="1"/>
    <col min="3" max="3" width="14.83203125" bestFit="1" customWidth="1"/>
    <col min="4" max="5" width="7.6640625" bestFit="1" customWidth="1"/>
    <col min="6" max="6" width="12.33203125" bestFit="1" customWidth="1"/>
    <col min="7" max="7" width="14" bestFit="1" customWidth="1"/>
    <col min="8" max="8" width="22.5" bestFit="1" customWidth="1"/>
    <col min="9" max="9" width="26.1640625" bestFit="1" customWidth="1"/>
    <col min="10" max="10" width="28" bestFit="1" customWidth="1"/>
    <col min="11" max="11" width="20" customWidth="1"/>
    <col min="12" max="12" width="24.83203125" bestFit="1" customWidth="1"/>
    <col min="13" max="13" width="26.6640625" bestFit="1" customWidth="1"/>
    <col min="14" max="14" width="31" bestFit="1" customWidth="1"/>
    <col min="15" max="15" width="31" customWidth="1"/>
    <col min="16" max="16" width="31.1640625" bestFit="1" customWidth="1"/>
    <col min="17" max="17" width="43.5" bestFit="1" customWidth="1"/>
    <col min="18" max="18" width="45.1640625" bestFit="1" customWidth="1"/>
  </cols>
  <sheetData>
    <row r="1" spans="1:18" s="1" customFormat="1" ht="16" x14ac:dyDescent="0.2">
      <c r="A1" s="1" t="s">
        <v>19</v>
      </c>
      <c r="B1" s="1" t="s">
        <v>0</v>
      </c>
      <c r="C1" s="1" t="s">
        <v>1</v>
      </c>
      <c r="D1" s="1" t="s">
        <v>74</v>
      </c>
      <c r="E1" s="1" t="s">
        <v>73</v>
      </c>
      <c r="F1" s="1" t="s">
        <v>72</v>
      </c>
      <c r="G1" s="1" t="s">
        <v>2</v>
      </c>
      <c r="H1" s="1" t="s">
        <v>3</v>
      </c>
      <c r="I1" s="1" t="s">
        <v>4</v>
      </c>
      <c r="J1" s="1" t="s">
        <v>5</v>
      </c>
      <c r="K1" s="1" t="s">
        <v>6</v>
      </c>
      <c r="L1" s="1" t="s">
        <v>7</v>
      </c>
      <c r="M1" s="1" t="s">
        <v>8</v>
      </c>
      <c r="N1" s="16" t="s">
        <v>26</v>
      </c>
      <c r="O1" s="16" t="s">
        <v>58</v>
      </c>
      <c r="P1" s="1" t="s">
        <v>9</v>
      </c>
      <c r="Q1" s="1" t="s">
        <v>10</v>
      </c>
      <c r="R1" s="1" t="s">
        <v>11</v>
      </c>
    </row>
    <row r="2" spans="1:18" x14ac:dyDescent="0.2">
      <c r="A2" t="s">
        <v>20</v>
      </c>
      <c r="B2" t="s">
        <v>45</v>
      </c>
      <c r="C2">
        <v>12</v>
      </c>
      <c r="D2" s="2">
        <v>19050</v>
      </c>
      <c r="E2" s="2">
        <v>46774</v>
      </c>
      <c r="F2" s="2">
        <v>431357</v>
      </c>
      <c r="G2" s="2">
        <v>497181</v>
      </c>
      <c r="H2" s="3">
        <v>3.4000000000000002E-2</v>
      </c>
      <c r="K2" s="4">
        <v>4716379000</v>
      </c>
      <c r="N2" s="2">
        <v>41432</v>
      </c>
      <c r="O2" s="2"/>
      <c r="P2" s="4">
        <v>113835</v>
      </c>
    </row>
    <row r="3" spans="1:18" x14ac:dyDescent="0.2">
      <c r="A3" t="s">
        <v>20</v>
      </c>
      <c r="B3" t="s">
        <v>44</v>
      </c>
      <c r="C3">
        <v>12</v>
      </c>
      <c r="D3" s="2">
        <v>30299</v>
      </c>
      <c r="E3" s="2">
        <v>54215</v>
      </c>
      <c r="F3" s="2">
        <v>714994</v>
      </c>
      <c r="G3" s="2">
        <v>799508</v>
      </c>
      <c r="H3" s="3">
        <v>7.0999999999999994E-2</v>
      </c>
      <c r="I3" s="2">
        <v>302327</v>
      </c>
      <c r="J3" s="3">
        <v>0.60799999999999998</v>
      </c>
      <c r="K3" s="4">
        <v>5199000000</v>
      </c>
      <c r="L3" s="4">
        <v>482621000</v>
      </c>
      <c r="M3" s="3">
        <v>0.10199999999999999</v>
      </c>
      <c r="N3" s="2">
        <v>66626</v>
      </c>
      <c r="O3" s="28">
        <f>(N3-N2)/N2</f>
        <v>0.60808071056188451</v>
      </c>
      <c r="P3" s="4">
        <v>78033</v>
      </c>
      <c r="Q3" s="4">
        <v>-35802</v>
      </c>
      <c r="R3" s="3">
        <v>-0.315</v>
      </c>
    </row>
    <row r="4" spans="1:18" x14ac:dyDescent="0.2">
      <c r="A4" t="s">
        <v>20</v>
      </c>
      <c r="B4" t="s">
        <v>43</v>
      </c>
      <c r="C4">
        <v>12</v>
      </c>
      <c r="D4" s="2">
        <v>53408</v>
      </c>
      <c r="E4" s="2">
        <v>62026</v>
      </c>
      <c r="F4" s="2">
        <v>1255052</v>
      </c>
      <c r="G4" s="2">
        <v>1370486</v>
      </c>
      <c r="H4" s="3">
        <v>5.8000000000000003E-2</v>
      </c>
      <c r="I4" s="2">
        <v>570978</v>
      </c>
      <c r="J4" s="3">
        <v>0.71399999999999997</v>
      </c>
      <c r="K4" s="4">
        <v>4401000000</v>
      </c>
      <c r="L4" s="4">
        <v>-798000000</v>
      </c>
      <c r="M4" s="3">
        <v>-0.153</v>
      </c>
      <c r="N4" s="2">
        <v>114207</v>
      </c>
      <c r="O4" s="28">
        <f t="shared" ref="O4:O14" si="0">(N4-N3)/N3</f>
        <v>0.71415063188545014</v>
      </c>
      <c r="P4" s="4">
        <v>38535</v>
      </c>
      <c r="Q4" s="4">
        <v>-39498</v>
      </c>
      <c r="R4" s="3">
        <v>-0.50600000000000001</v>
      </c>
    </row>
    <row r="5" spans="1:18" x14ac:dyDescent="0.2">
      <c r="A5" t="s">
        <v>20</v>
      </c>
      <c r="B5" t="s">
        <v>42</v>
      </c>
      <c r="C5">
        <v>12</v>
      </c>
      <c r="D5" s="2">
        <v>68552</v>
      </c>
      <c r="E5" s="2">
        <v>67476</v>
      </c>
      <c r="F5" s="2">
        <v>1477745</v>
      </c>
      <c r="G5" s="2">
        <v>1613773</v>
      </c>
      <c r="H5" s="3">
        <v>1.0999999999999999E-2</v>
      </c>
      <c r="I5" s="2">
        <v>243287</v>
      </c>
      <c r="J5" s="3">
        <v>0.17799999999999999</v>
      </c>
      <c r="K5" s="4">
        <v>7477000000</v>
      </c>
      <c r="L5" s="4">
        <v>3076000000</v>
      </c>
      <c r="M5" s="3">
        <v>0.69899999999999995</v>
      </c>
      <c r="N5" s="2">
        <v>134481</v>
      </c>
      <c r="O5" s="28">
        <f t="shared" si="0"/>
        <v>0.17751976673934172</v>
      </c>
      <c r="P5" s="4">
        <v>55599</v>
      </c>
      <c r="Q5" s="4">
        <v>17064</v>
      </c>
      <c r="R5" s="3">
        <v>0.443</v>
      </c>
    </row>
    <row r="6" spans="1:18" x14ac:dyDescent="0.2">
      <c r="A6" t="s">
        <v>20</v>
      </c>
      <c r="B6" t="s">
        <v>41</v>
      </c>
      <c r="C6">
        <v>12</v>
      </c>
      <c r="D6" s="2">
        <v>71979</v>
      </c>
      <c r="E6" s="2">
        <v>65736</v>
      </c>
      <c r="F6" s="2">
        <v>1597125</v>
      </c>
      <c r="G6" s="2">
        <v>1734840</v>
      </c>
      <c r="H6" s="3">
        <v>7.0000000000000001E-3</v>
      </c>
      <c r="I6" s="2">
        <v>121067</v>
      </c>
      <c r="J6" s="3">
        <v>7.4999999999999997E-2</v>
      </c>
      <c r="K6" s="4">
        <v>7848000000</v>
      </c>
      <c r="L6" s="4">
        <v>371000000</v>
      </c>
      <c r="M6" s="3">
        <v>0.05</v>
      </c>
      <c r="N6" s="2">
        <v>144570</v>
      </c>
      <c r="O6" s="28">
        <f t="shared" si="0"/>
        <v>7.50217502844268E-2</v>
      </c>
      <c r="P6" s="4">
        <v>54285</v>
      </c>
      <c r="Q6" s="4">
        <v>-1314</v>
      </c>
      <c r="R6" s="3">
        <v>-2.4E-2</v>
      </c>
    </row>
    <row r="7" spans="1:18" x14ac:dyDescent="0.2">
      <c r="A7" t="s">
        <v>20</v>
      </c>
      <c r="B7" t="s">
        <v>40</v>
      </c>
      <c r="C7">
        <v>12</v>
      </c>
      <c r="D7" s="2">
        <v>74966</v>
      </c>
      <c r="E7" s="2">
        <v>66883</v>
      </c>
      <c r="F7" s="2">
        <v>1946457</v>
      </c>
      <c r="G7" s="2">
        <v>2088306</v>
      </c>
      <c r="H7" s="3">
        <v>1.9E-2</v>
      </c>
      <c r="I7" s="2">
        <v>353466</v>
      </c>
      <c r="J7" s="3">
        <v>0.20399999999999999</v>
      </c>
      <c r="K7" s="4">
        <v>8284000000</v>
      </c>
      <c r="L7" s="4">
        <v>436000000</v>
      </c>
      <c r="M7" s="3">
        <v>5.6000000000000001E-2</v>
      </c>
      <c r="N7" s="2">
        <v>174026</v>
      </c>
      <c r="O7" s="28">
        <f t="shared" si="0"/>
        <v>0.20374904890364529</v>
      </c>
      <c r="P7" s="4">
        <v>47602</v>
      </c>
      <c r="Q7" s="4">
        <v>-6683</v>
      </c>
      <c r="R7" s="3">
        <v>-0.123</v>
      </c>
    </row>
    <row r="8" spans="1:18" x14ac:dyDescent="0.2">
      <c r="A8" t="s">
        <v>20</v>
      </c>
      <c r="B8" t="s">
        <v>39</v>
      </c>
      <c r="C8">
        <v>12</v>
      </c>
      <c r="D8" s="2">
        <v>102280</v>
      </c>
      <c r="E8" s="2">
        <v>67591</v>
      </c>
      <c r="F8" s="2">
        <v>2270544</v>
      </c>
      <c r="G8" s="2">
        <v>2440415</v>
      </c>
      <c r="H8" s="3">
        <v>1.4E-2</v>
      </c>
      <c r="I8" s="2">
        <v>352109</v>
      </c>
      <c r="J8" s="3">
        <v>0.16900000000000001</v>
      </c>
      <c r="K8" s="4">
        <v>9205000000</v>
      </c>
      <c r="L8" s="4">
        <v>921000000</v>
      </c>
      <c r="M8" s="3">
        <v>0.111</v>
      </c>
      <c r="N8" s="2">
        <v>203368</v>
      </c>
      <c r="O8" s="28">
        <f t="shared" si="0"/>
        <v>0.16860698976015079</v>
      </c>
      <c r="P8" s="4">
        <v>45263</v>
      </c>
      <c r="Q8" s="4">
        <v>-2339</v>
      </c>
      <c r="R8" s="3">
        <v>-4.9000000000000002E-2</v>
      </c>
    </row>
    <row r="9" spans="1:18" x14ac:dyDescent="0.2">
      <c r="A9" t="s">
        <v>20</v>
      </c>
      <c r="B9" t="s">
        <v>38</v>
      </c>
      <c r="C9">
        <v>12</v>
      </c>
      <c r="D9" s="2">
        <v>146837</v>
      </c>
      <c r="E9" s="2">
        <v>68314</v>
      </c>
      <c r="F9" s="2">
        <v>2584715</v>
      </c>
      <c r="G9" s="2">
        <v>2799866</v>
      </c>
      <c r="H9" s="3">
        <v>1.2999999999999999E-2</v>
      </c>
      <c r="I9" s="2">
        <v>359451</v>
      </c>
      <c r="J9" s="3">
        <v>0.14699999999999999</v>
      </c>
      <c r="K9" s="4">
        <v>9670000000</v>
      </c>
      <c r="L9" s="4">
        <v>465000000</v>
      </c>
      <c r="M9" s="3">
        <v>5.0999999999999997E-2</v>
      </c>
      <c r="N9" s="2">
        <v>233322</v>
      </c>
      <c r="O9" s="28">
        <f t="shared" si="0"/>
        <v>0.14728964242161993</v>
      </c>
      <c r="P9" s="4">
        <v>41445</v>
      </c>
      <c r="Q9" s="4">
        <v>-3818</v>
      </c>
      <c r="R9" s="3">
        <v>-8.4000000000000005E-2</v>
      </c>
    </row>
    <row r="10" spans="1:18" x14ac:dyDescent="0.2">
      <c r="A10" t="s">
        <v>20</v>
      </c>
      <c r="B10" t="s">
        <v>37</v>
      </c>
      <c r="C10">
        <v>12</v>
      </c>
      <c r="D10" s="2">
        <v>211114</v>
      </c>
      <c r="E10" s="2">
        <v>68522</v>
      </c>
      <c r="F10" s="2">
        <v>2911495</v>
      </c>
      <c r="G10" s="2">
        <v>3191131</v>
      </c>
      <c r="H10" s="3">
        <v>1.2E-2</v>
      </c>
      <c r="I10" s="2">
        <v>391265</v>
      </c>
      <c r="J10" s="3">
        <v>0.14000000000000001</v>
      </c>
      <c r="K10" s="4">
        <v>11187000000</v>
      </c>
      <c r="L10" s="4">
        <v>1517000000</v>
      </c>
      <c r="M10" s="3">
        <v>0.157</v>
      </c>
      <c r="N10" s="2">
        <v>265928</v>
      </c>
      <c r="O10" s="28">
        <f t="shared" si="0"/>
        <v>0.1397467877011169</v>
      </c>
      <c r="P10" s="4">
        <v>42068</v>
      </c>
      <c r="Q10" s="4">
        <v>623</v>
      </c>
      <c r="R10" s="3">
        <v>1.4999999999999999E-2</v>
      </c>
    </row>
    <row r="11" spans="1:18" x14ac:dyDescent="0.2">
      <c r="A11" t="s">
        <v>20</v>
      </c>
      <c r="B11" t="s">
        <v>36</v>
      </c>
      <c r="C11">
        <v>12</v>
      </c>
      <c r="D11" s="2">
        <v>271573</v>
      </c>
      <c r="E11" s="2">
        <v>65494</v>
      </c>
      <c r="F11" s="2">
        <v>2915637</v>
      </c>
      <c r="G11" s="2">
        <v>3252704</v>
      </c>
      <c r="H11" s="3">
        <v>0</v>
      </c>
      <c r="I11" s="2">
        <v>61573</v>
      </c>
      <c r="J11" s="3">
        <v>1.9E-2</v>
      </c>
      <c r="K11" s="4">
        <v>10648000000</v>
      </c>
      <c r="L11" s="4">
        <v>-539000000</v>
      </c>
      <c r="M11" s="3">
        <v>-4.8000000000000001E-2</v>
      </c>
      <c r="N11" s="2">
        <v>271059</v>
      </c>
      <c r="O11" s="28">
        <f t="shared" si="0"/>
        <v>1.9294696308775307E-2</v>
      </c>
      <c r="P11" s="4">
        <v>39283</v>
      </c>
      <c r="Q11" s="4">
        <v>-2785</v>
      </c>
      <c r="R11" s="3">
        <v>-6.6000000000000003E-2</v>
      </c>
    </row>
    <row r="12" spans="1:18" x14ac:dyDescent="0.2">
      <c r="A12" t="s">
        <v>20</v>
      </c>
      <c r="B12" t="s">
        <v>35</v>
      </c>
      <c r="C12">
        <v>12</v>
      </c>
      <c r="D12" s="2">
        <v>356677</v>
      </c>
      <c r="E12" s="2">
        <v>67089</v>
      </c>
      <c r="F12" s="2">
        <v>2913571</v>
      </c>
      <c r="G12" s="2">
        <v>3337337</v>
      </c>
      <c r="H12" s="3">
        <v>3.0000000000000001E-3</v>
      </c>
      <c r="I12" s="2">
        <v>84633</v>
      </c>
      <c r="J12" s="3">
        <v>2.5999999999999999E-2</v>
      </c>
      <c r="K12" s="4">
        <v>11627000000</v>
      </c>
      <c r="L12" s="4">
        <v>979000000</v>
      </c>
      <c r="M12" s="3">
        <v>9.1999999999999998E-2</v>
      </c>
      <c r="N12" s="2">
        <v>278111</v>
      </c>
      <c r="O12" s="28">
        <f t="shared" si="0"/>
        <v>2.6016476117745584E-2</v>
      </c>
      <c r="P12" s="4">
        <v>41807</v>
      </c>
      <c r="Q12" s="4">
        <v>2524</v>
      </c>
      <c r="R12" s="3">
        <v>6.4000000000000001E-2</v>
      </c>
    </row>
    <row r="13" spans="1:18" x14ac:dyDescent="0.2">
      <c r="A13" t="s">
        <v>20</v>
      </c>
      <c r="B13" t="s">
        <v>34</v>
      </c>
      <c r="C13">
        <v>12</v>
      </c>
      <c r="D13" s="2">
        <v>416349</v>
      </c>
      <c r="E13" s="2">
        <v>91952</v>
      </c>
      <c r="F13" s="2">
        <v>3016487</v>
      </c>
      <c r="G13" s="2">
        <v>3524788</v>
      </c>
      <c r="H13" s="3">
        <v>6.0000000000000001E-3</v>
      </c>
      <c r="I13" s="2">
        <v>187451</v>
      </c>
      <c r="J13" s="3">
        <v>5.6000000000000001E-2</v>
      </c>
      <c r="K13" s="4">
        <v>11742000000</v>
      </c>
      <c r="L13" s="4">
        <v>115000000</v>
      </c>
      <c r="M13" s="3">
        <v>0.01</v>
      </c>
      <c r="N13" s="2">
        <v>293732</v>
      </c>
      <c r="O13" s="28">
        <f t="shared" si="0"/>
        <v>5.6168220602565162E-2</v>
      </c>
      <c r="P13" s="4">
        <v>39975</v>
      </c>
      <c r="Q13" s="4">
        <v>-1832</v>
      </c>
      <c r="R13" s="3">
        <v>-4.3999999999999997E-2</v>
      </c>
    </row>
    <row r="14" spans="1:18" x14ac:dyDescent="0.2">
      <c r="A14" t="s">
        <v>20</v>
      </c>
      <c r="B14" t="s">
        <v>33</v>
      </c>
      <c r="C14">
        <v>12</v>
      </c>
      <c r="D14" s="2">
        <v>493725</v>
      </c>
      <c r="E14" s="2">
        <v>111461</v>
      </c>
      <c r="F14" s="2">
        <v>3278306</v>
      </c>
      <c r="G14" s="2">
        <v>3883492</v>
      </c>
      <c r="H14" s="3">
        <v>0.01</v>
      </c>
      <c r="I14" s="2">
        <v>358704</v>
      </c>
      <c r="J14" s="3">
        <v>0.10199999999999999</v>
      </c>
      <c r="K14" s="4">
        <v>13428000000</v>
      </c>
      <c r="L14" s="4">
        <v>1686000000</v>
      </c>
      <c r="M14" s="3">
        <v>0.14399999999999999</v>
      </c>
      <c r="N14" s="2">
        <v>323624</v>
      </c>
      <c r="O14" s="28">
        <f t="shared" si="0"/>
        <v>0.10176623588849699</v>
      </c>
      <c r="P14" s="4">
        <v>41493</v>
      </c>
      <c r="Q14" s="4">
        <v>1517</v>
      </c>
      <c r="R14" s="3">
        <v>3.7999999999999999E-2</v>
      </c>
    </row>
    <row r="15" spans="1:18" s="42" customFormat="1" x14ac:dyDescent="0.2">
      <c r="A15" s="42" t="s">
        <v>21</v>
      </c>
      <c r="B15" s="42" t="s">
        <v>51</v>
      </c>
      <c r="G15" s="42">
        <f>(1+Graph!$Q$20)*G14</f>
        <v>4121550.0595999998</v>
      </c>
      <c r="K15" s="43">
        <f>(1+Graph!$Q$23)*K14</f>
        <v>14529096000.000002</v>
      </c>
      <c r="N15" s="44">
        <f>(1+Graph!$Q$20)*N14</f>
        <v>343462.15119999996</v>
      </c>
      <c r="O15" s="43"/>
    </row>
    <row r="16" spans="1:18" s="42" customFormat="1" x14ac:dyDescent="0.2">
      <c r="A16" s="42" t="s">
        <v>21</v>
      </c>
      <c r="B16" s="42" t="s">
        <v>52</v>
      </c>
      <c r="G16" s="42">
        <f>(1+Graph!$Q$20)*G15</f>
        <v>4374201.0782534797</v>
      </c>
      <c r="K16" s="43">
        <f>(1+Graph!$Q$23)*K15</f>
        <v>15720481872.000004</v>
      </c>
      <c r="N16" s="44">
        <f>(1+Graph!$Q$20)*N15</f>
        <v>364516.38106855995</v>
      </c>
      <c r="O16" s="43"/>
    </row>
    <row r="17" spans="1:15" s="42" customFormat="1" x14ac:dyDescent="0.2">
      <c r="A17" s="42" t="s">
        <v>21</v>
      </c>
      <c r="B17" s="42" t="s">
        <v>53</v>
      </c>
      <c r="G17" s="42">
        <f>(1+Graph!$Q$20)*G16</f>
        <v>4642339.6043504179</v>
      </c>
      <c r="K17" s="43">
        <f>(1+Graph!$Q$23)*K16</f>
        <v>17009561385.504005</v>
      </c>
      <c r="N17" s="44">
        <f>(1+Graph!$Q$20)*N16</f>
        <v>386861.23522806267</v>
      </c>
      <c r="O17" s="43"/>
    </row>
    <row r="18" spans="1:15" s="42" customFormat="1" x14ac:dyDescent="0.2">
      <c r="A18" s="42" t="s">
        <v>21</v>
      </c>
      <c r="B18" s="42" t="s">
        <v>54</v>
      </c>
      <c r="G18" s="42">
        <f>(1+Graph!$Q$20)*G17</f>
        <v>4926915.0220970977</v>
      </c>
      <c r="K18" s="43">
        <f>(1+Graph!$Q$23)*K17</f>
        <v>18404345419.115334</v>
      </c>
      <c r="N18" s="44">
        <f>(1+Graph!$Q$20)*N17</f>
        <v>410575.82894754288</v>
      </c>
      <c r="O18" s="43"/>
    </row>
    <row r="19" spans="1:15" s="42" customFormat="1" x14ac:dyDescent="0.2">
      <c r="A19" s="42" t="s">
        <v>21</v>
      </c>
      <c r="B19" s="42" t="s">
        <v>55</v>
      </c>
      <c r="G19" s="42">
        <f>(1+Graph!$Q$20)*G18</f>
        <v>5228934.9129516492</v>
      </c>
      <c r="K19" s="43">
        <f>(1+Graph!$Q$23)*K18</f>
        <v>19913501743.482792</v>
      </c>
      <c r="N19" s="44">
        <f>(1+Graph!$Q$20)*N18</f>
        <v>435744.12726202724</v>
      </c>
      <c r="O19" s="43"/>
    </row>
  </sheetData>
  <sortState xmlns:xlrd2="http://schemas.microsoft.com/office/spreadsheetml/2017/richdata2" ref="B2:R15">
    <sortCondition ref="B2:B15"/>
  </sortState>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2025-01-29T22:29:41Z</dcterms:modified>
</cp:coreProperties>
</file>