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929"/>
  <workbookPr hidePivotFieldList="1" autoCompressPictures="0"/>
  <bookViews>
    <workbookView xWindow="0" yWindow="0" windowWidth="25600" windowHeight="15920" tabRatio="500"/>
  </bookViews>
  <sheets>
    <sheet name="Data" sheetId="2" r:id="rId1"/>
    <sheet name="A-Report Calculations (2015 Upd" sheetId="5" state="hidden" r:id="rId2"/>
    <sheet name="R-State Law (July 2015)" sheetId="14" state="hidden" r:id="rId3"/>
    <sheet name="R-Appendix" sheetId="15" state="hidden" r:id="rId4"/>
    <sheet name="Record Request" sheetId="18" state="hidden" r:id="rId5"/>
  </sheets>
  <definedNames>
    <definedName name="_xlnm._FilterDatabase" localSheetId="0" hidden="1">Data!$A$1:$AU$156</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E2" i="2" l="1"/>
  <c r="D2" i="2"/>
  <c r="E3" i="2"/>
  <c r="D3" i="2"/>
  <c r="E4" i="2"/>
  <c r="D4" i="2"/>
  <c r="C43" i="15"/>
  <c r="C62" i="15"/>
  <c r="D43" i="15"/>
  <c r="D62" i="15"/>
  <c r="E62" i="15"/>
  <c r="C61" i="15"/>
  <c r="D61" i="15"/>
  <c r="E61" i="15"/>
  <c r="C60" i="15"/>
  <c r="D60" i="15"/>
  <c r="E60" i="15"/>
  <c r="C59" i="15"/>
  <c r="D59" i="15"/>
  <c r="E59" i="15"/>
  <c r="C58" i="15"/>
  <c r="D58" i="15"/>
  <c r="E58" i="15"/>
  <c r="C57" i="15"/>
  <c r="D57" i="15"/>
  <c r="E57" i="15"/>
  <c r="C56" i="15"/>
  <c r="D56" i="15"/>
  <c r="E56" i="15"/>
  <c r="C55" i="15"/>
  <c r="D55" i="15"/>
  <c r="E55" i="15"/>
  <c r="C54" i="15"/>
  <c r="D54" i="15"/>
  <c r="E54" i="15"/>
  <c r="C53" i="15"/>
  <c r="D53" i="15"/>
  <c r="E53" i="15"/>
  <c r="C52" i="15"/>
  <c r="D52" i="15"/>
  <c r="E52" i="15"/>
  <c r="C51" i="15"/>
  <c r="D51" i="15"/>
  <c r="E51" i="15"/>
  <c r="C50" i="15"/>
  <c r="D50" i="15"/>
  <c r="E50" i="15"/>
  <c r="C49" i="15"/>
  <c r="D49" i="15"/>
  <c r="E49" i="15"/>
  <c r="C48" i="15"/>
  <c r="D48" i="15"/>
  <c r="E48" i="15"/>
  <c r="C47" i="15"/>
  <c r="D47" i="15"/>
  <c r="E47" i="15"/>
  <c r="C46" i="15"/>
  <c r="D46" i="15"/>
  <c r="E46" i="15"/>
  <c r="C45" i="15"/>
  <c r="D45" i="15"/>
  <c r="E45" i="15"/>
  <c r="C44" i="15"/>
  <c r="D44" i="15"/>
  <c r="E44" i="15"/>
  <c r="E43" i="15"/>
  <c r="C3" i="15"/>
  <c r="C38" i="15"/>
  <c r="D3" i="15"/>
  <c r="D38" i="15"/>
  <c r="E38" i="15"/>
  <c r="C37" i="15"/>
  <c r="D37" i="15"/>
  <c r="E37" i="15"/>
  <c r="C36" i="15"/>
  <c r="D36" i="15"/>
  <c r="E36" i="15"/>
  <c r="C35" i="15"/>
  <c r="D35" i="15"/>
  <c r="E35" i="15"/>
  <c r="C34" i="15"/>
  <c r="D34" i="15"/>
  <c r="E34" i="15"/>
  <c r="C33" i="15"/>
  <c r="D33" i="15"/>
  <c r="E33" i="15"/>
  <c r="C32" i="15"/>
  <c r="D32" i="15"/>
  <c r="E32" i="15"/>
  <c r="C31" i="15"/>
  <c r="D31" i="15"/>
  <c r="E31" i="15"/>
  <c r="C30" i="15"/>
  <c r="D30" i="15"/>
  <c r="E30" i="15"/>
  <c r="C29" i="15"/>
  <c r="D29" i="15"/>
  <c r="E29" i="15"/>
  <c r="C28" i="15"/>
  <c r="D28" i="15"/>
  <c r="E28" i="15"/>
  <c r="C27" i="15"/>
  <c r="D27" i="15"/>
  <c r="E27" i="15"/>
  <c r="C26" i="15"/>
  <c r="D26" i="15"/>
  <c r="E26" i="15"/>
  <c r="C25" i="15"/>
  <c r="D25" i="15"/>
  <c r="E25" i="15"/>
  <c r="C24" i="15"/>
  <c r="D24" i="15"/>
  <c r="E24" i="15"/>
  <c r="C23" i="15"/>
  <c r="D23" i="15"/>
  <c r="E23" i="15"/>
  <c r="C22" i="15"/>
  <c r="D22" i="15"/>
  <c r="E22" i="15"/>
  <c r="C21" i="15"/>
  <c r="D21" i="15"/>
  <c r="E21" i="15"/>
  <c r="C20" i="15"/>
  <c r="D20" i="15"/>
  <c r="E20" i="15"/>
  <c r="C19" i="15"/>
  <c r="D19" i="15"/>
  <c r="E19" i="15"/>
  <c r="C18" i="15"/>
  <c r="D18" i="15"/>
  <c r="E18" i="15"/>
  <c r="C17" i="15"/>
  <c r="D17" i="15"/>
  <c r="E17" i="15"/>
  <c r="C16" i="15"/>
  <c r="D16" i="15"/>
  <c r="E16" i="15"/>
  <c r="C15" i="15"/>
  <c r="D15" i="15"/>
  <c r="E15" i="15"/>
  <c r="C14" i="15"/>
  <c r="D14" i="15"/>
  <c r="E14" i="15"/>
  <c r="C13" i="15"/>
  <c r="D13" i="15"/>
  <c r="E13" i="15"/>
  <c r="C12" i="15"/>
  <c r="D12" i="15"/>
  <c r="E12" i="15"/>
  <c r="C11" i="15"/>
  <c r="D11" i="15"/>
  <c r="E11" i="15"/>
  <c r="C10" i="15"/>
  <c r="D10" i="15"/>
  <c r="E10" i="15"/>
  <c r="C9" i="15"/>
  <c r="D9" i="15"/>
  <c r="E9" i="15"/>
  <c r="C8" i="15"/>
  <c r="D8" i="15"/>
  <c r="E8" i="15"/>
  <c r="C7" i="15"/>
  <c r="D7" i="15"/>
  <c r="E7" i="15"/>
  <c r="C6" i="15"/>
  <c r="D6" i="15"/>
  <c r="E6" i="15"/>
  <c r="C5" i="15"/>
  <c r="D5" i="15"/>
  <c r="E5" i="15"/>
  <c r="C4" i="15"/>
  <c r="D4" i="15"/>
  <c r="E4" i="15"/>
  <c r="E3" i="15"/>
  <c r="AQ3" i="14"/>
  <c r="AQ4" i="14"/>
  <c r="AQ5" i="14"/>
  <c r="AQ6" i="14"/>
  <c r="AQ7" i="14"/>
  <c r="AQ8" i="14"/>
  <c r="AQ9" i="14"/>
  <c r="AQ10" i="14"/>
  <c r="AQ11" i="14"/>
  <c r="AQ12" i="14"/>
  <c r="AQ13" i="14"/>
  <c r="AQ14" i="14"/>
  <c r="AQ15" i="14"/>
  <c r="AQ16" i="14"/>
  <c r="AQ17" i="14"/>
  <c r="AQ18" i="14"/>
  <c r="AQ19" i="14"/>
  <c r="AQ20" i="14"/>
  <c r="AQ21" i="14"/>
  <c r="AQ22" i="14"/>
  <c r="AQ23" i="14"/>
  <c r="AQ24" i="14"/>
  <c r="AQ25" i="14"/>
  <c r="AQ26" i="14"/>
  <c r="AQ27" i="14"/>
  <c r="AQ28" i="14"/>
  <c r="AQ29" i="14"/>
  <c r="AQ30" i="14"/>
  <c r="AQ31" i="14"/>
  <c r="AQ32" i="14"/>
  <c r="AQ33" i="14"/>
  <c r="AQ34" i="14"/>
  <c r="AQ35" i="14"/>
  <c r="AQ36" i="14"/>
  <c r="AQ37" i="14"/>
  <c r="AQ38" i="14"/>
  <c r="AQ39" i="14"/>
  <c r="AQ40" i="14"/>
  <c r="AQ41" i="14"/>
  <c r="AQ42" i="14"/>
  <c r="AQ43" i="14"/>
  <c r="AQ44" i="14"/>
  <c r="AQ45" i="14"/>
  <c r="AQ46" i="14"/>
  <c r="AQ47" i="14"/>
  <c r="AQ48" i="14"/>
  <c r="AQ49" i="14"/>
  <c r="AQ50" i="14"/>
  <c r="AQ51" i="14"/>
  <c r="AQ52" i="14"/>
  <c r="AQ53" i="14"/>
  <c r="AQ56" i="14"/>
  <c r="AP56" i="14"/>
  <c r="AO56" i="14"/>
  <c r="AN56" i="14"/>
  <c r="AM56" i="14"/>
  <c r="AL56" i="14"/>
  <c r="AK56" i="14"/>
  <c r="AJ56" i="14"/>
  <c r="AI56" i="14"/>
  <c r="AH56" i="14"/>
  <c r="AG56" i="14"/>
  <c r="AF56" i="14"/>
  <c r="AE56" i="14"/>
  <c r="AD56" i="14"/>
  <c r="AQ55" i="14"/>
  <c r="AP55" i="14"/>
  <c r="AO55" i="14"/>
  <c r="AN55" i="14"/>
  <c r="AM55" i="14"/>
  <c r="AL55" i="14"/>
  <c r="AK55" i="14"/>
  <c r="AJ55" i="14"/>
  <c r="AI55" i="14"/>
  <c r="AH55" i="14"/>
  <c r="AG55" i="14"/>
  <c r="AF55" i="14"/>
  <c r="AE55" i="14"/>
  <c r="AD55" i="14"/>
  <c r="AZ54" i="14"/>
  <c r="AY3" i="14"/>
  <c r="AY4" i="14"/>
  <c r="AY5" i="14"/>
  <c r="AY6" i="14"/>
  <c r="AY7" i="14"/>
  <c r="AY8" i="14"/>
  <c r="AY9" i="14"/>
  <c r="AY10" i="14"/>
  <c r="AY11" i="14"/>
  <c r="AY12" i="14"/>
  <c r="AY13" i="14"/>
  <c r="AY14" i="14"/>
  <c r="AY15" i="14"/>
  <c r="AY16" i="14"/>
  <c r="AY17" i="14"/>
  <c r="AY18" i="14"/>
  <c r="AY19" i="14"/>
  <c r="AY20" i="14"/>
  <c r="AY21" i="14"/>
  <c r="AY22" i="14"/>
  <c r="AY23" i="14"/>
  <c r="AY24" i="14"/>
  <c r="AY25" i="14"/>
  <c r="AY26" i="14"/>
  <c r="AY27" i="14"/>
  <c r="AY28" i="14"/>
  <c r="AY29" i="14"/>
  <c r="AY30" i="14"/>
  <c r="AY31" i="14"/>
  <c r="AY32" i="14"/>
  <c r="AY33" i="14"/>
  <c r="AY34" i="14"/>
  <c r="AY35" i="14"/>
  <c r="AY36" i="14"/>
  <c r="AY37" i="14"/>
  <c r="AY38" i="14"/>
  <c r="AY39" i="14"/>
  <c r="AY40" i="14"/>
  <c r="AY41" i="14"/>
  <c r="AY42" i="14"/>
  <c r="AY43" i="14"/>
  <c r="AY44" i="14"/>
  <c r="AY45" i="14"/>
  <c r="AY46" i="14"/>
  <c r="AY47" i="14"/>
  <c r="AY48" i="14"/>
  <c r="AY49" i="14"/>
  <c r="AY50" i="14"/>
  <c r="AY51" i="14"/>
  <c r="AY52" i="14"/>
  <c r="AY53" i="14"/>
  <c r="AY54" i="14"/>
  <c r="AX3" i="14"/>
  <c r="AX4" i="14"/>
  <c r="AX5" i="14"/>
  <c r="AX6" i="14"/>
  <c r="AX7" i="14"/>
  <c r="AX8" i="14"/>
  <c r="AX9" i="14"/>
  <c r="AX10" i="14"/>
  <c r="AX11" i="14"/>
  <c r="AX12" i="14"/>
  <c r="AX13" i="14"/>
  <c r="AX14" i="14"/>
  <c r="AX15" i="14"/>
  <c r="AX16" i="14"/>
  <c r="AX17" i="14"/>
  <c r="AX18" i="14"/>
  <c r="AX19" i="14"/>
  <c r="AX20" i="14"/>
  <c r="AX21" i="14"/>
  <c r="AX22" i="14"/>
  <c r="AX23" i="14"/>
  <c r="AX24" i="14"/>
  <c r="AX25" i="14"/>
  <c r="AX26" i="14"/>
  <c r="AX27" i="14"/>
  <c r="AX28" i="14"/>
  <c r="AX29" i="14"/>
  <c r="AX30" i="14"/>
  <c r="AX31" i="14"/>
  <c r="AX32" i="14"/>
  <c r="AX33" i="14"/>
  <c r="AX34" i="14"/>
  <c r="AX35" i="14"/>
  <c r="AX36" i="14"/>
  <c r="AX37" i="14"/>
  <c r="AX38" i="14"/>
  <c r="AX39" i="14"/>
  <c r="AX40" i="14"/>
  <c r="AX41" i="14"/>
  <c r="AX42" i="14"/>
  <c r="AX43" i="14"/>
  <c r="AX44" i="14"/>
  <c r="AX45" i="14"/>
  <c r="AX46" i="14"/>
  <c r="AX47" i="14"/>
  <c r="AX48" i="14"/>
  <c r="AX49" i="14"/>
  <c r="AX50" i="14"/>
  <c r="AX51" i="14"/>
  <c r="AX52" i="14"/>
  <c r="AX53" i="14"/>
  <c r="AX54" i="14"/>
  <c r="AQ54" i="14"/>
  <c r="AP54" i="14"/>
  <c r="AO54" i="14"/>
  <c r="AN54" i="14"/>
  <c r="AM54" i="14"/>
  <c r="AL54" i="14"/>
  <c r="AK54" i="14"/>
  <c r="AJ54" i="14"/>
  <c r="AI54" i="14"/>
  <c r="AH54" i="14"/>
  <c r="AG54" i="14"/>
  <c r="AF54" i="14"/>
  <c r="AE54" i="14"/>
  <c r="AD54" i="14"/>
  <c r="AR53" i="14"/>
  <c r="AZ53" i="14"/>
  <c r="AR52" i="14"/>
  <c r="AZ52" i="14"/>
  <c r="AR51" i="14"/>
  <c r="AZ51" i="14"/>
  <c r="AZ50" i="14"/>
  <c r="AR49" i="14"/>
  <c r="AZ49" i="14"/>
  <c r="AR48" i="14"/>
  <c r="AZ48" i="14"/>
  <c r="AR47" i="14"/>
  <c r="AZ47" i="14"/>
  <c r="AR46" i="14"/>
  <c r="AZ46" i="14"/>
  <c r="AR45" i="14"/>
  <c r="AZ45" i="14"/>
  <c r="AR44" i="14"/>
  <c r="AZ44" i="14"/>
  <c r="AR43" i="14"/>
  <c r="AZ43" i="14"/>
  <c r="AZ42" i="14"/>
  <c r="AS42" i="14"/>
  <c r="AZ41" i="14"/>
  <c r="AS41" i="14"/>
  <c r="AZ40" i="14"/>
  <c r="AR39" i="14"/>
  <c r="AZ39" i="14"/>
  <c r="AR38" i="14"/>
  <c r="AZ38" i="14"/>
  <c r="AR37" i="14"/>
  <c r="AZ37" i="14"/>
  <c r="AZ36" i="14"/>
  <c r="AS36" i="14"/>
  <c r="AZ35" i="14"/>
  <c r="AS35" i="14"/>
  <c r="AR34" i="14"/>
  <c r="AZ34" i="14"/>
  <c r="AZ33" i="14"/>
  <c r="AS33" i="14"/>
  <c r="AR32" i="14"/>
  <c r="AZ32" i="14"/>
  <c r="AR31" i="14"/>
  <c r="AZ31" i="14"/>
  <c r="AZ30" i="14"/>
  <c r="AS30" i="14"/>
  <c r="AR29" i="14"/>
  <c r="AZ29" i="14"/>
  <c r="AR28" i="14"/>
  <c r="AZ28" i="14"/>
  <c r="AR27" i="14"/>
  <c r="AZ27" i="14"/>
  <c r="AR26" i="14"/>
  <c r="AZ26" i="14"/>
  <c r="AZ25" i="14"/>
  <c r="AS25" i="14"/>
  <c r="AZ24" i="14"/>
  <c r="AS24" i="14"/>
  <c r="AZ23" i="14"/>
  <c r="AS23" i="14"/>
  <c r="AR22" i="14"/>
  <c r="AZ22" i="14"/>
  <c r="AR21" i="14"/>
  <c r="AZ21" i="14"/>
  <c r="AR20" i="14"/>
  <c r="AZ20" i="14"/>
  <c r="AR19" i="14"/>
  <c r="AZ19" i="14"/>
  <c r="AZ18" i="14"/>
  <c r="AS18" i="14"/>
  <c r="AR17" i="14"/>
  <c r="AZ17" i="14"/>
  <c r="AZ16" i="14"/>
  <c r="AS16" i="14"/>
  <c r="AR15" i="14"/>
  <c r="AZ15" i="14"/>
  <c r="AZ14" i="14"/>
  <c r="AS14" i="14"/>
  <c r="AR13" i="14"/>
  <c r="AZ13" i="14"/>
  <c r="AR12" i="14"/>
  <c r="AZ12" i="14"/>
  <c r="AZ11" i="14"/>
  <c r="AS11" i="14"/>
  <c r="AZ10" i="14"/>
  <c r="AS10" i="14"/>
  <c r="AZ9" i="14"/>
  <c r="AS9" i="14"/>
  <c r="AZ8" i="14"/>
  <c r="AZ7" i="14"/>
  <c r="AS7" i="14"/>
  <c r="AR6" i="14"/>
  <c r="AZ6" i="14"/>
  <c r="AR5" i="14"/>
  <c r="AZ5" i="14"/>
  <c r="AR4" i="14"/>
  <c r="AZ4" i="14"/>
  <c r="AR3" i="14"/>
  <c r="AZ3" i="14"/>
  <c r="B76" i="5"/>
  <c r="B77" i="5"/>
  <c r="B67" i="5"/>
  <c r="I2" i="5"/>
  <c r="I3" i="5"/>
  <c r="I4" i="5"/>
  <c r="I14" i="5"/>
  <c r="B68" i="5"/>
  <c r="H76" i="5"/>
  <c r="B63" i="5"/>
  <c r="B64" i="5"/>
  <c r="H74" i="5"/>
  <c r="B71" i="5"/>
  <c r="B72" i="5"/>
  <c r="B73" i="5"/>
  <c r="B59" i="5"/>
  <c r="B60" i="5"/>
  <c r="H72" i="5"/>
  <c r="B51" i="5"/>
  <c r="B52" i="5"/>
  <c r="H68" i="5"/>
  <c r="B47" i="5"/>
  <c r="B46" i="5"/>
  <c r="B48" i="5"/>
  <c r="H66" i="5"/>
  <c r="H60" i="5"/>
  <c r="D37" i="5"/>
  <c r="B37" i="5"/>
  <c r="E37" i="5"/>
  <c r="D38" i="5"/>
  <c r="B38" i="5"/>
  <c r="E38" i="5"/>
  <c r="E39" i="5"/>
  <c r="H58" i="5"/>
  <c r="B2" i="5"/>
  <c r="B3" i="5"/>
  <c r="B4" i="5"/>
  <c r="B5" i="5"/>
  <c r="B6" i="5"/>
  <c r="B7" i="5"/>
  <c r="B8" i="5"/>
  <c r="B9" i="5"/>
  <c r="B10" i="5"/>
  <c r="B11" i="5"/>
  <c r="B12" i="5"/>
  <c r="B13" i="5"/>
  <c r="B14" i="5"/>
  <c r="C2" i="5"/>
  <c r="C3" i="5"/>
  <c r="C4" i="5"/>
  <c r="C5" i="5"/>
  <c r="C6" i="5"/>
  <c r="C7" i="5"/>
  <c r="C8" i="5"/>
  <c r="C9" i="5"/>
  <c r="C10" i="5"/>
  <c r="C11" i="5"/>
  <c r="C12" i="5"/>
  <c r="C13" i="5"/>
  <c r="C14" i="5"/>
  <c r="D2" i="5"/>
  <c r="D3" i="5"/>
  <c r="D4" i="5"/>
  <c r="D5" i="5"/>
  <c r="D6" i="5"/>
  <c r="D7" i="5"/>
  <c r="D8" i="5"/>
  <c r="D9" i="5"/>
  <c r="D10" i="5"/>
  <c r="D11" i="5"/>
  <c r="D12" i="5"/>
  <c r="D13" i="5"/>
  <c r="D14" i="5"/>
  <c r="E2" i="5"/>
  <c r="E3" i="5"/>
  <c r="E4" i="5"/>
  <c r="E5" i="5"/>
  <c r="E6" i="5"/>
  <c r="E7" i="5"/>
  <c r="E8" i="5"/>
  <c r="E9" i="5"/>
  <c r="E10" i="5"/>
  <c r="E11" i="5"/>
  <c r="E12" i="5"/>
  <c r="E13" i="5"/>
  <c r="E14" i="5"/>
  <c r="F2" i="5"/>
  <c r="F3" i="5"/>
  <c r="F4" i="5"/>
  <c r="F5" i="5"/>
  <c r="F6" i="5"/>
  <c r="F7" i="5"/>
  <c r="F8" i="5"/>
  <c r="F9" i="5"/>
  <c r="F10" i="5"/>
  <c r="F11" i="5"/>
  <c r="F12" i="5"/>
  <c r="F13" i="5"/>
  <c r="F14" i="5"/>
  <c r="G2" i="5"/>
  <c r="G3" i="5"/>
  <c r="G4" i="5"/>
  <c r="G5" i="5"/>
  <c r="G6" i="5"/>
  <c r="G7" i="5"/>
  <c r="G8" i="5"/>
  <c r="G9" i="5"/>
  <c r="G10" i="5"/>
  <c r="G11" i="5"/>
  <c r="G12" i="5"/>
  <c r="G13" i="5"/>
  <c r="G14" i="5"/>
  <c r="H2" i="5"/>
  <c r="H3" i="5"/>
  <c r="H4" i="5"/>
  <c r="H5" i="5"/>
  <c r="H6" i="5"/>
  <c r="H7" i="5"/>
  <c r="H8" i="5"/>
  <c r="H9" i="5"/>
  <c r="H10" i="5"/>
  <c r="H11" i="5"/>
  <c r="H12" i="5"/>
  <c r="H13" i="5"/>
  <c r="H14" i="5"/>
  <c r="J14" i="5"/>
  <c r="C37" i="5"/>
  <c r="H56" i="5"/>
  <c r="B55" i="5"/>
  <c r="B56" i="5"/>
  <c r="B31" i="5"/>
  <c r="B30" i="5"/>
  <c r="B32" i="5"/>
  <c r="H52" i="5"/>
  <c r="B22" i="5"/>
  <c r="B23" i="5"/>
  <c r="H50" i="5"/>
  <c r="B42" i="5"/>
  <c r="B43" i="5"/>
  <c r="F37" i="5"/>
  <c r="G37" i="5"/>
  <c r="F38" i="5"/>
  <c r="G38" i="5"/>
  <c r="G39" i="5"/>
  <c r="C38" i="5"/>
  <c r="B34" i="5"/>
  <c r="B33" i="5"/>
  <c r="B26" i="5"/>
  <c r="B27" i="5"/>
  <c r="B24" i="5"/>
  <c r="B25" i="5"/>
  <c r="H19" i="5"/>
  <c r="B19" i="5"/>
  <c r="D19" i="5"/>
  <c r="F19" i="5"/>
  <c r="G19" i="5"/>
  <c r="I19" i="5"/>
  <c r="E19" i="5"/>
  <c r="C19" i="5"/>
  <c r="F18" i="5"/>
  <c r="D18" i="5"/>
  <c r="B18" i="5"/>
  <c r="G18" i="5"/>
  <c r="E18" i="5"/>
  <c r="C18" i="5"/>
  <c r="J13" i="5"/>
  <c r="J12" i="5"/>
  <c r="J11" i="5"/>
  <c r="J10" i="5"/>
  <c r="J9" i="5"/>
  <c r="J8" i="5"/>
  <c r="J7" i="5"/>
  <c r="J6" i="5"/>
  <c r="J5" i="5"/>
  <c r="J4" i="5"/>
  <c r="J3" i="5"/>
  <c r="J2" i="5"/>
  <c r="W3" i="14"/>
  <c r="X3" i="14"/>
  <c r="Y3" i="14"/>
  <c r="Z3" i="14"/>
  <c r="AA3" i="14"/>
  <c r="AB3" i="14"/>
  <c r="AC3" i="14"/>
  <c r="AW3" i="14"/>
  <c r="B3" i="14"/>
  <c r="C3" i="14"/>
  <c r="D3" i="14"/>
  <c r="E3" i="14"/>
  <c r="F3" i="14"/>
  <c r="G3" i="14"/>
  <c r="H3" i="14"/>
  <c r="AS3" i="14"/>
  <c r="AT3" i="14"/>
  <c r="BA3" i="14"/>
  <c r="I3" i="14"/>
  <c r="J3" i="14"/>
  <c r="K3" i="14"/>
  <c r="L3" i="14"/>
  <c r="M3" i="14"/>
  <c r="N3" i="14"/>
  <c r="O3" i="14"/>
  <c r="AU3" i="14"/>
  <c r="BB3" i="14"/>
  <c r="P3" i="14"/>
  <c r="Q3" i="14"/>
  <c r="R3" i="14"/>
  <c r="S3" i="14"/>
  <c r="T3" i="14"/>
  <c r="U3" i="14"/>
  <c r="V3" i="14"/>
  <c r="AV3" i="14"/>
  <c r="BC3" i="14"/>
  <c r="C4" i="14"/>
  <c r="D4" i="14"/>
  <c r="E4" i="14"/>
  <c r="F4" i="14"/>
  <c r="G4" i="14"/>
  <c r="H4" i="14"/>
  <c r="J4" i="14"/>
  <c r="K4" i="14"/>
  <c r="L4" i="14"/>
  <c r="M4" i="14"/>
  <c r="N4" i="14"/>
  <c r="O4" i="14"/>
  <c r="Q4" i="14"/>
  <c r="R4" i="14"/>
  <c r="S4" i="14"/>
  <c r="T4" i="14"/>
  <c r="U4" i="14"/>
  <c r="V4" i="14"/>
  <c r="X4" i="14"/>
  <c r="Y4" i="14"/>
  <c r="Z4" i="14"/>
  <c r="AA4" i="14"/>
  <c r="AB4" i="14"/>
  <c r="AC4" i="14"/>
  <c r="W4" i="14"/>
  <c r="AW4" i="14"/>
  <c r="B4" i="14"/>
  <c r="AS4" i="14"/>
  <c r="AT4" i="14"/>
  <c r="BA4" i="14"/>
  <c r="I4" i="14"/>
  <c r="AU4" i="14"/>
  <c r="BB4" i="14"/>
  <c r="P4" i="14"/>
  <c r="AV4" i="14"/>
  <c r="BC4" i="14"/>
  <c r="C5" i="14"/>
  <c r="D5" i="14"/>
  <c r="E5" i="14"/>
  <c r="F5" i="14"/>
  <c r="G5" i="14"/>
  <c r="H5" i="14"/>
  <c r="J5" i="14"/>
  <c r="K5" i="14"/>
  <c r="L5" i="14"/>
  <c r="M5" i="14"/>
  <c r="N5" i="14"/>
  <c r="O5" i="14"/>
  <c r="Q5" i="14"/>
  <c r="R5" i="14"/>
  <c r="S5" i="14"/>
  <c r="T5" i="14"/>
  <c r="U5" i="14"/>
  <c r="V5" i="14"/>
  <c r="X5" i="14"/>
  <c r="Y5" i="14"/>
  <c r="Z5" i="14"/>
  <c r="AA5" i="14"/>
  <c r="AB5" i="14"/>
  <c r="AC5" i="14"/>
  <c r="W5" i="14"/>
  <c r="AW5" i="14"/>
  <c r="B5" i="14"/>
  <c r="AS5" i="14"/>
  <c r="AT5" i="14"/>
  <c r="BA5" i="14"/>
  <c r="I5" i="14"/>
  <c r="AU5" i="14"/>
  <c r="BB5" i="14"/>
  <c r="P5" i="14"/>
  <c r="AV5" i="14"/>
  <c r="BC5" i="14"/>
  <c r="C6" i="14"/>
  <c r="D6" i="14"/>
  <c r="E6" i="14"/>
  <c r="F6" i="14"/>
  <c r="G6" i="14"/>
  <c r="H6" i="14"/>
  <c r="J6" i="14"/>
  <c r="K6" i="14"/>
  <c r="L6" i="14"/>
  <c r="M6" i="14"/>
  <c r="N6" i="14"/>
  <c r="O6" i="14"/>
  <c r="Q6" i="14"/>
  <c r="R6" i="14"/>
  <c r="S6" i="14"/>
  <c r="T6" i="14"/>
  <c r="U6" i="14"/>
  <c r="V6" i="14"/>
  <c r="X6" i="14"/>
  <c r="Y6" i="14"/>
  <c r="Z6" i="14"/>
  <c r="AA6" i="14"/>
  <c r="AB6" i="14"/>
  <c r="AC6" i="14"/>
  <c r="W6" i="14"/>
  <c r="AW6" i="14"/>
  <c r="B6" i="14"/>
  <c r="AS6" i="14"/>
  <c r="AT6" i="14"/>
  <c r="BA6" i="14"/>
  <c r="I6" i="14"/>
  <c r="AU6" i="14"/>
  <c r="BB6" i="14"/>
  <c r="P6" i="14"/>
  <c r="AV6" i="14"/>
  <c r="BC6" i="14"/>
  <c r="W7" i="14"/>
  <c r="X7" i="14"/>
  <c r="Y7" i="14"/>
  <c r="Z7" i="14"/>
  <c r="AA7" i="14"/>
  <c r="AB7" i="14"/>
  <c r="AC7" i="14"/>
  <c r="AW7" i="14"/>
  <c r="B7" i="14"/>
  <c r="C7" i="14"/>
  <c r="D7" i="14"/>
  <c r="E7" i="14"/>
  <c r="F7" i="14"/>
  <c r="G7" i="14"/>
  <c r="H7" i="14"/>
  <c r="AR7" i="14"/>
  <c r="AT7" i="14"/>
  <c r="BA7" i="14"/>
  <c r="I7" i="14"/>
  <c r="J7" i="14"/>
  <c r="K7" i="14"/>
  <c r="L7" i="14"/>
  <c r="M7" i="14"/>
  <c r="N7" i="14"/>
  <c r="O7" i="14"/>
  <c r="AU7" i="14"/>
  <c r="BB7" i="14"/>
  <c r="P7" i="14"/>
  <c r="Q7" i="14"/>
  <c r="R7" i="14"/>
  <c r="S7" i="14"/>
  <c r="T7" i="14"/>
  <c r="U7" i="14"/>
  <c r="V7" i="14"/>
  <c r="AV7" i="14"/>
  <c r="BC7" i="14"/>
  <c r="C8" i="14"/>
  <c r="D8" i="14"/>
  <c r="E8" i="14"/>
  <c r="G8" i="14"/>
  <c r="H8" i="14"/>
  <c r="J8" i="14"/>
  <c r="K8" i="14"/>
  <c r="L8" i="14"/>
  <c r="M8" i="14"/>
  <c r="N8" i="14"/>
  <c r="O8" i="14"/>
  <c r="Q8" i="14"/>
  <c r="R8" i="14"/>
  <c r="S8" i="14"/>
  <c r="T8" i="14"/>
  <c r="U8" i="14"/>
  <c r="V8" i="14"/>
  <c r="X8" i="14"/>
  <c r="Y8" i="14"/>
  <c r="Z8" i="14"/>
  <c r="AA8" i="14"/>
  <c r="AB8" i="14"/>
  <c r="AC8" i="14"/>
  <c r="B8" i="14"/>
  <c r="AS8" i="14"/>
  <c r="W8" i="14"/>
  <c r="AW8" i="14"/>
  <c r="F8" i="14"/>
  <c r="AR8" i="14"/>
  <c r="AT8" i="14"/>
  <c r="BA8" i="14"/>
  <c r="I8" i="14"/>
  <c r="AU8" i="14"/>
  <c r="BB8" i="14"/>
  <c r="P8" i="14"/>
  <c r="AV8" i="14"/>
  <c r="BC8" i="14"/>
  <c r="C9" i="14"/>
  <c r="D9" i="14"/>
  <c r="E9" i="14"/>
  <c r="F9" i="14"/>
  <c r="G9" i="14"/>
  <c r="H9" i="14"/>
  <c r="J9" i="14"/>
  <c r="K9" i="14"/>
  <c r="L9" i="14"/>
  <c r="M9" i="14"/>
  <c r="N9" i="14"/>
  <c r="O9" i="14"/>
  <c r="Q9" i="14"/>
  <c r="R9" i="14"/>
  <c r="S9" i="14"/>
  <c r="T9" i="14"/>
  <c r="U9" i="14"/>
  <c r="V9" i="14"/>
  <c r="X9" i="14"/>
  <c r="Y9" i="14"/>
  <c r="Z9" i="14"/>
  <c r="AA9" i="14"/>
  <c r="AB9" i="14"/>
  <c r="AC9" i="14"/>
  <c r="W9" i="14"/>
  <c r="AW9" i="14"/>
  <c r="B9" i="14"/>
  <c r="AR9" i="14"/>
  <c r="AT9" i="14"/>
  <c r="BA9" i="14"/>
  <c r="I9" i="14"/>
  <c r="AU9" i="14"/>
  <c r="BB9" i="14"/>
  <c r="P9" i="14"/>
  <c r="AV9" i="14"/>
  <c r="BC9" i="14"/>
  <c r="C10" i="14"/>
  <c r="D10" i="14"/>
  <c r="E10" i="14"/>
  <c r="F10" i="14"/>
  <c r="G10" i="14"/>
  <c r="H10" i="14"/>
  <c r="J10" i="14"/>
  <c r="K10" i="14"/>
  <c r="L10" i="14"/>
  <c r="M10" i="14"/>
  <c r="N10" i="14"/>
  <c r="O10" i="14"/>
  <c r="Q10" i="14"/>
  <c r="R10" i="14"/>
  <c r="S10" i="14"/>
  <c r="T10" i="14"/>
  <c r="U10" i="14"/>
  <c r="V10" i="14"/>
  <c r="X10" i="14"/>
  <c r="Y10" i="14"/>
  <c r="Z10" i="14"/>
  <c r="AA10" i="14"/>
  <c r="AB10" i="14"/>
  <c r="AC10" i="14"/>
  <c r="W10" i="14"/>
  <c r="AW10" i="14"/>
  <c r="B10" i="14"/>
  <c r="AR10" i="14"/>
  <c r="AT10" i="14"/>
  <c r="BA10" i="14"/>
  <c r="I10" i="14"/>
  <c r="AU10" i="14"/>
  <c r="BB10" i="14"/>
  <c r="P10" i="14"/>
  <c r="AV10" i="14"/>
  <c r="BC10" i="14"/>
  <c r="C11" i="14"/>
  <c r="D11" i="14"/>
  <c r="E11" i="14"/>
  <c r="F11" i="14"/>
  <c r="G11" i="14"/>
  <c r="H11" i="14"/>
  <c r="J11" i="14"/>
  <c r="K11" i="14"/>
  <c r="L11" i="14"/>
  <c r="M11" i="14"/>
  <c r="N11" i="14"/>
  <c r="O11" i="14"/>
  <c r="Q11" i="14"/>
  <c r="R11" i="14"/>
  <c r="S11" i="14"/>
  <c r="T11" i="14"/>
  <c r="U11" i="14"/>
  <c r="V11" i="14"/>
  <c r="X11" i="14"/>
  <c r="Y11" i="14"/>
  <c r="Z11" i="14"/>
  <c r="AA11" i="14"/>
  <c r="AB11" i="14"/>
  <c r="AC11" i="14"/>
  <c r="W11" i="14"/>
  <c r="AW11" i="14"/>
  <c r="B11" i="14"/>
  <c r="AR11" i="14"/>
  <c r="AT11" i="14"/>
  <c r="BA11" i="14"/>
  <c r="I11" i="14"/>
  <c r="AU11" i="14"/>
  <c r="BB11" i="14"/>
  <c r="P11" i="14"/>
  <c r="AV11" i="14"/>
  <c r="BC11" i="14"/>
  <c r="C12" i="14"/>
  <c r="D12" i="14"/>
  <c r="E12" i="14"/>
  <c r="F12" i="14"/>
  <c r="G12" i="14"/>
  <c r="H12" i="14"/>
  <c r="J12" i="14"/>
  <c r="K12" i="14"/>
  <c r="L12" i="14"/>
  <c r="M12" i="14"/>
  <c r="N12" i="14"/>
  <c r="O12" i="14"/>
  <c r="Q12" i="14"/>
  <c r="R12" i="14"/>
  <c r="S12" i="14"/>
  <c r="T12" i="14"/>
  <c r="U12" i="14"/>
  <c r="V12" i="14"/>
  <c r="X12" i="14"/>
  <c r="Y12" i="14"/>
  <c r="Z12" i="14"/>
  <c r="AA12" i="14"/>
  <c r="AB12" i="14"/>
  <c r="AC12" i="14"/>
  <c r="W12" i="14"/>
  <c r="AW12" i="14"/>
  <c r="B12" i="14"/>
  <c r="AS12" i="14"/>
  <c r="AT12" i="14"/>
  <c r="BA12" i="14"/>
  <c r="I12" i="14"/>
  <c r="AU12" i="14"/>
  <c r="BB12" i="14"/>
  <c r="P12" i="14"/>
  <c r="AV12" i="14"/>
  <c r="BC12" i="14"/>
  <c r="C13" i="14"/>
  <c r="D13" i="14"/>
  <c r="E13" i="14"/>
  <c r="F13" i="14"/>
  <c r="G13" i="14"/>
  <c r="H13" i="14"/>
  <c r="J13" i="14"/>
  <c r="K13" i="14"/>
  <c r="L13" i="14"/>
  <c r="M13" i="14"/>
  <c r="N13" i="14"/>
  <c r="O13" i="14"/>
  <c r="Q13" i="14"/>
  <c r="R13" i="14"/>
  <c r="S13" i="14"/>
  <c r="T13" i="14"/>
  <c r="U13" i="14"/>
  <c r="V13" i="14"/>
  <c r="X13" i="14"/>
  <c r="Y13" i="14"/>
  <c r="Z13" i="14"/>
  <c r="AA13" i="14"/>
  <c r="AB13" i="14"/>
  <c r="AC13" i="14"/>
  <c r="W13" i="14"/>
  <c r="AW13" i="14"/>
  <c r="B13" i="14"/>
  <c r="AS13" i="14"/>
  <c r="AT13" i="14"/>
  <c r="BA13" i="14"/>
  <c r="I13" i="14"/>
  <c r="AU13" i="14"/>
  <c r="BB13" i="14"/>
  <c r="P13" i="14"/>
  <c r="AV13" i="14"/>
  <c r="BC13" i="14"/>
  <c r="C14" i="14"/>
  <c r="D14" i="14"/>
  <c r="E14" i="14"/>
  <c r="F14" i="14"/>
  <c r="G14" i="14"/>
  <c r="H14" i="14"/>
  <c r="J14" i="14"/>
  <c r="K14" i="14"/>
  <c r="L14" i="14"/>
  <c r="M14" i="14"/>
  <c r="N14" i="14"/>
  <c r="O14" i="14"/>
  <c r="Q14" i="14"/>
  <c r="R14" i="14"/>
  <c r="S14" i="14"/>
  <c r="T14" i="14"/>
  <c r="U14" i="14"/>
  <c r="V14" i="14"/>
  <c r="X14" i="14"/>
  <c r="Y14" i="14"/>
  <c r="Z14" i="14"/>
  <c r="AA14" i="14"/>
  <c r="AB14" i="14"/>
  <c r="AC14" i="14"/>
  <c r="W14" i="14"/>
  <c r="AW14" i="14"/>
  <c r="B14" i="14"/>
  <c r="AR14" i="14"/>
  <c r="AT14" i="14"/>
  <c r="BA14" i="14"/>
  <c r="I14" i="14"/>
  <c r="AU14" i="14"/>
  <c r="BB14" i="14"/>
  <c r="P14" i="14"/>
  <c r="AV14" i="14"/>
  <c r="BC14" i="14"/>
  <c r="C15" i="14"/>
  <c r="D15" i="14"/>
  <c r="E15" i="14"/>
  <c r="F15" i="14"/>
  <c r="G15" i="14"/>
  <c r="H15" i="14"/>
  <c r="J15" i="14"/>
  <c r="K15" i="14"/>
  <c r="L15" i="14"/>
  <c r="M15" i="14"/>
  <c r="N15" i="14"/>
  <c r="O15" i="14"/>
  <c r="Q15" i="14"/>
  <c r="R15" i="14"/>
  <c r="S15" i="14"/>
  <c r="T15" i="14"/>
  <c r="U15" i="14"/>
  <c r="V15" i="14"/>
  <c r="X15" i="14"/>
  <c r="Y15" i="14"/>
  <c r="Z15" i="14"/>
  <c r="AA15" i="14"/>
  <c r="AB15" i="14"/>
  <c r="AC15" i="14"/>
  <c r="W15" i="14"/>
  <c r="AW15" i="14"/>
  <c r="B15" i="14"/>
  <c r="AS15" i="14"/>
  <c r="AT15" i="14"/>
  <c r="BA15" i="14"/>
  <c r="I15" i="14"/>
  <c r="AU15" i="14"/>
  <c r="BB15" i="14"/>
  <c r="P15" i="14"/>
  <c r="AV15" i="14"/>
  <c r="BC15" i="14"/>
  <c r="C16" i="14"/>
  <c r="D16" i="14"/>
  <c r="E16" i="14"/>
  <c r="F16" i="14"/>
  <c r="G16" i="14"/>
  <c r="H16" i="14"/>
  <c r="J16" i="14"/>
  <c r="K16" i="14"/>
  <c r="L16" i="14"/>
  <c r="M16" i="14"/>
  <c r="N16" i="14"/>
  <c r="O16" i="14"/>
  <c r="Q16" i="14"/>
  <c r="R16" i="14"/>
  <c r="S16" i="14"/>
  <c r="T16" i="14"/>
  <c r="U16" i="14"/>
  <c r="V16" i="14"/>
  <c r="X16" i="14"/>
  <c r="Y16" i="14"/>
  <c r="Z16" i="14"/>
  <c r="AA16" i="14"/>
  <c r="AB16" i="14"/>
  <c r="AC16" i="14"/>
  <c r="W16" i="14"/>
  <c r="AW16" i="14"/>
  <c r="B16" i="14"/>
  <c r="AR16" i="14"/>
  <c r="AT16" i="14"/>
  <c r="BA16" i="14"/>
  <c r="I16" i="14"/>
  <c r="AU16" i="14"/>
  <c r="BB16" i="14"/>
  <c r="P16" i="14"/>
  <c r="AV16" i="14"/>
  <c r="BC16" i="14"/>
  <c r="C17" i="14"/>
  <c r="D17" i="14"/>
  <c r="E17" i="14"/>
  <c r="F17" i="14"/>
  <c r="G17" i="14"/>
  <c r="H17" i="14"/>
  <c r="J17" i="14"/>
  <c r="K17" i="14"/>
  <c r="L17" i="14"/>
  <c r="M17" i="14"/>
  <c r="N17" i="14"/>
  <c r="O17" i="14"/>
  <c r="Q17" i="14"/>
  <c r="R17" i="14"/>
  <c r="S17" i="14"/>
  <c r="T17" i="14"/>
  <c r="U17" i="14"/>
  <c r="V17" i="14"/>
  <c r="X17" i="14"/>
  <c r="Y17" i="14"/>
  <c r="Z17" i="14"/>
  <c r="AA17" i="14"/>
  <c r="AB17" i="14"/>
  <c r="AC17" i="14"/>
  <c r="W17" i="14"/>
  <c r="AW17" i="14"/>
  <c r="B17" i="14"/>
  <c r="AS17" i="14"/>
  <c r="AT17" i="14"/>
  <c r="BA17" i="14"/>
  <c r="I17" i="14"/>
  <c r="AU17" i="14"/>
  <c r="BB17" i="14"/>
  <c r="P17" i="14"/>
  <c r="AV17" i="14"/>
  <c r="BC17" i="14"/>
  <c r="C18" i="14"/>
  <c r="D18" i="14"/>
  <c r="E18" i="14"/>
  <c r="F18" i="14"/>
  <c r="G18" i="14"/>
  <c r="H18" i="14"/>
  <c r="J18" i="14"/>
  <c r="K18" i="14"/>
  <c r="L18" i="14"/>
  <c r="M18" i="14"/>
  <c r="N18" i="14"/>
  <c r="O18" i="14"/>
  <c r="Q18" i="14"/>
  <c r="R18" i="14"/>
  <c r="S18" i="14"/>
  <c r="T18" i="14"/>
  <c r="U18" i="14"/>
  <c r="V18" i="14"/>
  <c r="X18" i="14"/>
  <c r="Y18" i="14"/>
  <c r="Z18" i="14"/>
  <c r="AA18" i="14"/>
  <c r="AB18" i="14"/>
  <c r="AC18" i="14"/>
  <c r="W18" i="14"/>
  <c r="AW18" i="14"/>
  <c r="B18" i="14"/>
  <c r="AR18" i="14"/>
  <c r="AT18" i="14"/>
  <c r="BA18" i="14"/>
  <c r="I18" i="14"/>
  <c r="AU18" i="14"/>
  <c r="BB18" i="14"/>
  <c r="P18" i="14"/>
  <c r="AV18" i="14"/>
  <c r="BC18" i="14"/>
  <c r="C19" i="14"/>
  <c r="D19" i="14"/>
  <c r="E19" i="14"/>
  <c r="F19" i="14"/>
  <c r="G19" i="14"/>
  <c r="H19" i="14"/>
  <c r="J19" i="14"/>
  <c r="K19" i="14"/>
  <c r="L19" i="14"/>
  <c r="M19" i="14"/>
  <c r="N19" i="14"/>
  <c r="O19" i="14"/>
  <c r="Q19" i="14"/>
  <c r="R19" i="14"/>
  <c r="S19" i="14"/>
  <c r="T19" i="14"/>
  <c r="U19" i="14"/>
  <c r="V19" i="14"/>
  <c r="X19" i="14"/>
  <c r="Y19" i="14"/>
  <c r="Z19" i="14"/>
  <c r="AA19" i="14"/>
  <c r="AB19" i="14"/>
  <c r="AC19" i="14"/>
  <c r="W19" i="14"/>
  <c r="AW19" i="14"/>
  <c r="B19" i="14"/>
  <c r="AS19" i="14"/>
  <c r="AT19" i="14"/>
  <c r="BA19" i="14"/>
  <c r="I19" i="14"/>
  <c r="AU19" i="14"/>
  <c r="BB19" i="14"/>
  <c r="P19" i="14"/>
  <c r="AV19" i="14"/>
  <c r="BC19" i="14"/>
  <c r="C20" i="14"/>
  <c r="D20" i="14"/>
  <c r="E20" i="14"/>
  <c r="F20" i="14"/>
  <c r="G20" i="14"/>
  <c r="H20" i="14"/>
  <c r="J20" i="14"/>
  <c r="K20" i="14"/>
  <c r="L20" i="14"/>
  <c r="M20" i="14"/>
  <c r="N20" i="14"/>
  <c r="O20" i="14"/>
  <c r="Q20" i="14"/>
  <c r="R20" i="14"/>
  <c r="S20" i="14"/>
  <c r="T20" i="14"/>
  <c r="U20" i="14"/>
  <c r="V20" i="14"/>
  <c r="X20" i="14"/>
  <c r="Y20" i="14"/>
  <c r="Z20" i="14"/>
  <c r="AA20" i="14"/>
  <c r="AB20" i="14"/>
  <c r="AC20" i="14"/>
  <c r="W20" i="14"/>
  <c r="AW20" i="14"/>
  <c r="B20" i="14"/>
  <c r="AS20" i="14"/>
  <c r="AT20" i="14"/>
  <c r="BA20" i="14"/>
  <c r="I20" i="14"/>
  <c r="AU20" i="14"/>
  <c r="BB20" i="14"/>
  <c r="P20" i="14"/>
  <c r="AV20" i="14"/>
  <c r="BC20" i="14"/>
  <c r="C21" i="14"/>
  <c r="D21" i="14"/>
  <c r="E21" i="14"/>
  <c r="F21" i="14"/>
  <c r="G21" i="14"/>
  <c r="H21" i="14"/>
  <c r="J21" i="14"/>
  <c r="K21" i="14"/>
  <c r="L21" i="14"/>
  <c r="M21" i="14"/>
  <c r="N21" i="14"/>
  <c r="O21" i="14"/>
  <c r="Q21" i="14"/>
  <c r="R21" i="14"/>
  <c r="S21" i="14"/>
  <c r="T21" i="14"/>
  <c r="U21" i="14"/>
  <c r="V21" i="14"/>
  <c r="X21" i="14"/>
  <c r="Y21" i="14"/>
  <c r="Z21" i="14"/>
  <c r="AA21" i="14"/>
  <c r="AB21" i="14"/>
  <c r="AC21" i="14"/>
  <c r="W21" i="14"/>
  <c r="AW21" i="14"/>
  <c r="B21" i="14"/>
  <c r="AS21" i="14"/>
  <c r="AT21" i="14"/>
  <c r="BA21" i="14"/>
  <c r="I21" i="14"/>
  <c r="AU21" i="14"/>
  <c r="BB21" i="14"/>
  <c r="P21" i="14"/>
  <c r="AV21" i="14"/>
  <c r="BC21" i="14"/>
  <c r="C22" i="14"/>
  <c r="D22" i="14"/>
  <c r="E22" i="14"/>
  <c r="F22" i="14"/>
  <c r="G22" i="14"/>
  <c r="H22" i="14"/>
  <c r="J22" i="14"/>
  <c r="K22" i="14"/>
  <c r="L22" i="14"/>
  <c r="M22" i="14"/>
  <c r="N22" i="14"/>
  <c r="O22" i="14"/>
  <c r="Q22" i="14"/>
  <c r="R22" i="14"/>
  <c r="S22" i="14"/>
  <c r="T22" i="14"/>
  <c r="U22" i="14"/>
  <c r="V22" i="14"/>
  <c r="X22" i="14"/>
  <c r="Y22" i="14"/>
  <c r="Z22" i="14"/>
  <c r="AA22" i="14"/>
  <c r="AB22" i="14"/>
  <c r="AC22" i="14"/>
  <c r="W22" i="14"/>
  <c r="AW22" i="14"/>
  <c r="B22" i="14"/>
  <c r="AS22" i="14"/>
  <c r="AT22" i="14"/>
  <c r="BA22" i="14"/>
  <c r="I22" i="14"/>
  <c r="AU22" i="14"/>
  <c r="BB22" i="14"/>
  <c r="P22" i="14"/>
  <c r="AV22" i="14"/>
  <c r="BC22" i="14"/>
  <c r="C23" i="14"/>
  <c r="D23" i="14"/>
  <c r="E23" i="14"/>
  <c r="F23" i="14"/>
  <c r="G23" i="14"/>
  <c r="H23" i="14"/>
  <c r="J23" i="14"/>
  <c r="K23" i="14"/>
  <c r="L23" i="14"/>
  <c r="M23" i="14"/>
  <c r="N23" i="14"/>
  <c r="O23" i="14"/>
  <c r="Q23" i="14"/>
  <c r="R23" i="14"/>
  <c r="S23" i="14"/>
  <c r="T23" i="14"/>
  <c r="U23" i="14"/>
  <c r="V23" i="14"/>
  <c r="X23" i="14"/>
  <c r="Y23" i="14"/>
  <c r="Z23" i="14"/>
  <c r="AA23" i="14"/>
  <c r="AB23" i="14"/>
  <c r="AC23" i="14"/>
  <c r="W23" i="14"/>
  <c r="AW23" i="14"/>
  <c r="B23" i="14"/>
  <c r="AR23" i="14"/>
  <c r="AT23" i="14"/>
  <c r="BA23" i="14"/>
  <c r="I23" i="14"/>
  <c r="AU23" i="14"/>
  <c r="BB23" i="14"/>
  <c r="P23" i="14"/>
  <c r="AV23" i="14"/>
  <c r="BC23" i="14"/>
  <c r="C24" i="14"/>
  <c r="D24" i="14"/>
  <c r="E24" i="14"/>
  <c r="F24" i="14"/>
  <c r="G24" i="14"/>
  <c r="H24" i="14"/>
  <c r="J24" i="14"/>
  <c r="K24" i="14"/>
  <c r="L24" i="14"/>
  <c r="M24" i="14"/>
  <c r="N24" i="14"/>
  <c r="O24" i="14"/>
  <c r="Q24" i="14"/>
  <c r="R24" i="14"/>
  <c r="S24" i="14"/>
  <c r="T24" i="14"/>
  <c r="U24" i="14"/>
  <c r="V24" i="14"/>
  <c r="X24" i="14"/>
  <c r="Y24" i="14"/>
  <c r="Z24" i="14"/>
  <c r="AA24" i="14"/>
  <c r="AB24" i="14"/>
  <c r="AC24" i="14"/>
  <c r="W24" i="14"/>
  <c r="AW24" i="14"/>
  <c r="B24" i="14"/>
  <c r="AR24" i="14"/>
  <c r="AT24" i="14"/>
  <c r="BA24" i="14"/>
  <c r="I24" i="14"/>
  <c r="AU24" i="14"/>
  <c r="BB24" i="14"/>
  <c r="P24" i="14"/>
  <c r="AV24" i="14"/>
  <c r="BC24" i="14"/>
  <c r="C25" i="14"/>
  <c r="D25" i="14"/>
  <c r="E25" i="14"/>
  <c r="F25" i="14"/>
  <c r="G25" i="14"/>
  <c r="H25" i="14"/>
  <c r="J25" i="14"/>
  <c r="K25" i="14"/>
  <c r="L25" i="14"/>
  <c r="M25" i="14"/>
  <c r="N25" i="14"/>
  <c r="O25" i="14"/>
  <c r="Q25" i="14"/>
  <c r="R25" i="14"/>
  <c r="S25" i="14"/>
  <c r="T25" i="14"/>
  <c r="U25" i="14"/>
  <c r="V25" i="14"/>
  <c r="X25" i="14"/>
  <c r="Y25" i="14"/>
  <c r="Z25" i="14"/>
  <c r="AA25" i="14"/>
  <c r="AB25" i="14"/>
  <c r="AC25" i="14"/>
  <c r="W25" i="14"/>
  <c r="AW25" i="14"/>
  <c r="B25" i="14"/>
  <c r="AR25" i="14"/>
  <c r="AT25" i="14"/>
  <c r="BA25" i="14"/>
  <c r="I25" i="14"/>
  <c r="AU25" i="14"/>
  <c r="BB25" i="14"/>
  <c r="P25" i="14"/>
  <c r="AV25" i="14"/>
  <c r="BC25" i="14"/>
  <c r="C26" i="14"/>
  <c r="D26" i="14"/>
  <c r="E26" i="14"/>
  <c r="F26" i="14"/>
  <c r="G26" i="14"/>
  <c r="H26" i="14"/>
  <c r="J26" i="14"/>
  <c r="K26" i="14"/>
  <c r="L26" i="14"/>
  <c r="M26" i="14"/>
  <c r="N26" i="14"/>
  <c r="O26" i="14"/>
  <c r="Q26" i="14"/>
  <c r="R26" i="14"/>
  <c r="S26" i="14"/>
  <c r="T26" i="14"/>
  <c r="U26" i="14"/>
  <c r="V26" i="14"/>
  <c r="X26" i="14"/>
  <c r="Y26" i="14"/>
  <c r="Z26" i="14"/>
  <c r="AA26" i="14"/>
  <c r="AB26" i="14"/>
  <c r="AC26" i="14"/>
  <c r="W26" i="14"/>
  <c r="AW26" i="14"/>
  <c r="B26" i="14"/>
  <c r="AS26" i="14"/>
  <c r="AT26" i="14"/>
  <c r="BA26" i="14"/>
  <c r="I26" i="14"/>
  <c r="AU26" i="14"/>
  <c r="BB26" i="14"/>
  <c r="P26" i="14"/>
  <c r="AV26" i="14"/>
  <c r="BC26" i="14"/>
  <c r="C27" i="14"/>
  <c r="D27" i="14"/>
  <c r="E27" i="14"/>
  <c r="F27" i="14"/>
  <c r="G27" i="14"/>
  <c r="H27" i="14"/>
  <c r="J27" i="14"/>
  <c r="K27" i="14"/>
  <c r="L27" i="14"/>
  <c r="M27" i="14"/>
  <c r="N27" i="14"/>
  <c r="O27" i="14"/>
  <c r="Q27" i="14"/>
  <c r="R27" i="14"/>
  <c r="S27" i="14"/>
  <c r="T27" i="14"/>
  <c r="U27" i="14"/>
  <c r="V27" i="14"/>
  <c r="X27" i="14"/>
  <c r="Y27" i="14"/>
  <c r="Z27" i="14"/>
  <c r="AA27" i="14"/>
  <c r="AB27" i="14"/>
  <c r="AC27" i="14"/>
  <c r="W27" i="14"/>
  <c r="AW27" i="14"/>
  <c r="B27" i="14"/>
  <c r="AS27" i="14"/>
  <c r="AT27" i="14"/>
  <c r="BA27" i="14"/>
  <c r="I27" i="14"/>
  <c r="AU27" i="14"/>
  <c r="BB27" i="14"/>
  <c r="P27" i="14"/>
  <c r="AV27" i="14"/>
  <c r="BC27" i="14"/>
  <c r="C28" i="14"/>
  <c r="D28" i="14"/>
  <c r="E28" i="14"/>
  <c r="F28" i="14"/>
  <c r="G28" i="14"/>
  <c r="H28" i="14"/>
  <c r="J28" i="14"/>
  <c r="K28" i="14"/>
  <c r="L28" i="14"/>
  <c r="M28" i="14"/>
  <c r="N28" i="14"/>
  <c r="O28" i="14"/>
  <c r="Q28" i="14"/>
  <c r="R28" i="14"/>
  <c r="S28" i="14"/>
  <c r="T28" i="14"/>
  <c r="U28" i="14"/>
  <c r="V28" i="14"/>
  <c r="X28" i="14"/>
  <c r="Y28" i="14"/>
  <c r="Z28" i="14"/>
  <c r="AA28" i="14"/>
  <c r="AB28" i="14"/>
  <c r="AC28" i="14"/>
  <c r="W28" i="14"/>
  <c r="AW28" i="14"/>
  <c r="B28" i="14"/>
  <c r="AS28" i="14"/>
  <c r="AT28" i="14"/>
  <c r="BA28" i="14"/>
  <c r="I28" i="14"/>
  <c r="AU28" i="14"/>
  <c r="BB28" i="14"/>
  <c r="P28" i="14"/>
  <c r="AV28" i="14"/>
  <c r="BC28" i="14"/>
  <c r="C29" i="14"/>
  <c r="D29" i="14"/>
  <c r="E29" i="14"/>
  <c r="F29" i="14"/>
  <c r="G29" i="14"/>
  <c r="H29" i="14"/>
  <c r="J29" i="14"/>
  <c r="K29" i="14"/>
  <c r="L29" i="14"/>
  <c r="M29" i="14"/>
  <c r="N29" i="14"/>
  <c r="O29" i="14"/>
  <c r="Q29" i="14"/>
  <c r="R29" i="14"/>
  <c r="S29" i="14"/>
  <c r="T29" i="14"/>
  <c r="U29" i="14"/>
  <c r="V29" i="14"/>
  <c r="X29" i="14"/>
  <c r="Y29" i="14"/>
  <c r="Z29" i="14"/>
  <c r="AA29" i="14"/>
  <c r="AB29" i="14"/>
  <c r="AC29" i="14"/>
  <c r="W29" i="14"/>
  <c r="AW29" i="14"/>
  <c r="B29" i="14"/>
  <c r="AS29" i="14"/>
  <c r="AT29" i="14"/>
  <c r="BA29" i="14"/>
  <c r="I29" i="14"/>
  <c r="AU29" i="14"/>
  <c r="BB29" i="14"/>
  <c r="P29" i="14"/>
  <c r="AV29" i="14"/>
  <c r="BC29" i="14"/>
  <c r="C30" i="14"/>
  <c r="D30" i="14"/>
  <c r="E30" i="14"/>
  <c r="F30" i="14"/>
  <c r="G30" i="14"/>
  <c r="H30" i="14"/>
  <c r="J30" i="14"/>
  <c r="K30" i="14"/>
  <c r="L30" i="14"/>
  <c r="M30" i="14"/>
  <c r="N30" i="14"/>
  <c r="O30" i="14"/>
  <c r="Q30" i="14"/>
  <c r="R30" i="14"/>
  <c r="S30" i="14"/>
  <c r="T30" i="14"/>
  <c r="U30" i="14"/>
  <c r="V30" i="14"/>
  <c r="X30" i="14"/>
  <c r="Y30" i="14"/>
  <c r="Z30" i="14"/>
  <c r="AA30" i="14"/>
  <c r="AB30" i="14"/>
  <c r="AC30" i="14"/>
  <c r="W30" i="14"/>
  <c r="AW30" i="14"/>
  <c r="B30" i="14"/>
  <c r="AR30" i="14"/>
  <c r="AT30" i="14"/>
  <c r="BA30" i="14"/>
  <c r="I30" i="14"/>
  <c r="AU30" i="14"/>
  <c r="BB30" i="14"/>
  <c r="P30" i="14"/>
  <c r="AV30" i="14"/>
  <c r="BC30" i="14"/>
  <c r="C31" i="14"/>
  <c r="D31" i="14"/>
  <c r="E31" i="14"/>
  <c r="F31" i="14"/>
  <c r="G31" i="14"/>
  <c r="H31" i="14"/>
  <c r="J31" i="14"/>
  <c r="K31" i="14"/>
  <c r="L31" i="14"/>
  <c r="M31" i="14"/>
  <c r="N31" i="14"/>
  <c r="O31" i="14"/>
  <c r="Q31" i="14"/>
  <c r="R31" i="14"/>
  <c r="S31" i="14"/>
  <c r="T31" i="14"/>
  <c r="U31" i="14"/>
  <c r="V31" i="14"/>
  <c r="X31" i="14"/>
  <c r="Y31" i="14"/>
  <c r="Z31" i="14"/>
  <c r="AA31" i="14"/>
  <c r="AB31" i="14"/>
  <c r="AC31" i="14"/>
  <c r="W31" i="14"/>
  <c r="AW31" i="14"/>
  <c r="B31" i="14"/>
  <c r="AS31" i="14"/>
  <c r="AT31" i="14"/>
  <c r="BA31" i="14"/>
  <c r="I31" i="14"/>
  <c r="AU31" i="14"/>
  <c r="BB31" i="14"/>
  <c r="P31" i="14"/>
  <c r="AV31" i="14"/>
  <c r="BC31" i="14"/>
  <c r="C32" i="14"/>
  <c r="D32" i="14"/>
  <c r="E32" i="14"/>
  <c r="F32" i="14"/>
  <c r="G32" i="14"/>
  <c r="H32" i="14"/>
  <c r="J32" i="14"/>
  <c r="K32" i="14"/>
  <c r="L32" i="14"/>
  <c r="M32" i="14"/>
  <c r="N32" i="14"/>
  <c r="O32" i="14"/>
  <c r="Q32" i="14"/>
  <c r="R32" i="14"/>
  <c r="S32" i="14"/>
  <c r="T32" i="14"/>
  <c r="U32" i="14"/>
  <c r="V32" i="14"/>
  <c r="X32" i="14"/>
  <c r="Y32" i="14"/>
  <c r="Z32" i="14"/>
  <c r="AA32" i="14"/>
  <c r="AB32" i="14"/>
  <c r="AC32" i="14"/>
  <c r="W32" i="14"/>
  <c r="AW32" i="14"/>
  <c r="B32" i="14"/>
  <c r="AS32" i="14"/>
  <c r="AT32" i="14"/>
  <c r="BA32" i="14"/>
  <c r="I32" i="14"/>
  <c r="AU32" i="14"/>
  <c r="BB32" i="14"/>
  <c r="P32" i="14"/>
  <c r="AV32" i="14"/>
  <c r="BC32" i="14"/>
  <c r="C33" i="14"/>
  <c r="D33" i="14"/>
  <c r="E33" i="14"/>
  <c r="F33" i="14"/>
  <c r="G33" i="14"/>
  <c r="H33" i="14"/>
  <c r="J33" i="14"/>
  <c r="K33" i="14"/>
  <c r="L33" i="14"/>
  <c r="M33" i="14"/>
  <c r="N33" i="14"/>
  <c r="O33" i="14"/>
  <c r="Q33" i="14"/>
  <c r="R33" i="14"/>
  <c r="S33" i="14"/>
  <c r="T33" i="14"/>
  <c r="U33" i="14"/>
  <c r="V33" i="14"/>
  <c r="X33" i="14"/>
  <c r="Y33" i="14"/>
  <c r="Z33" i="14"/>
  <c r="AA33" i="14"/>
  <c r="AB33" i="14"/>
  <c r="AC33" i="14"/>
  <c r="W33" i="14"/>
  <c r="AW33" i="14"/>
  <c r="B33" i="14"/>
  <c r="AR33" i="14"/>
  <c r="AT33" i="14"/>
  <c r="BA33" i="14"/>
  <c r="I33" i="14"/>
  <c r="AU33" i="14"/>
  <c r="BB33" i="14"/>
  <c r="P33" i="14"/>
  <c r="AV33" i="14"/>
  <c r="BC33" i="14"/>
  <c r="C34" i="14"/>
  <c r="D34" i="14"/>
  <c r="E34" i="14"/>
  <c r="F34" i="14"/>
  <c r="G34" i="14"/>
  <c r="H34" i="14"/>
  <c r="J34" i="14"/>
  <c r="K34" i="14"/>
  <c r="L34" i="14"/>
  <c r="M34" i="14"/>
  <c r="N34" i="14"/>
  <c r="O34" i="14"/>
  <c r="Q34" i="14"/>
  <c r="R34" i="14"/>
  <c r="S34" i="14"/>
  <c r="T34" i="14"/>
  <c r="U34" i="14"/>
  <c r="V34" i="14"/>
  <c r="X34" i="14"/>
  <c r="Y34" i="14"/>
  <c r="Z34" i="14"/>
  <c r="AA34" i="14"/>
  <c r="AB34" i="14"/>
  <c r="AC34" i="14"/>
  <c r="W34" i="14"/>
  <c r="AW34" i="14"/>
  <c r="B34" i="14"/>
  <c r="AS34" i="14"/>
  <c r="AT34" i="14"/>
  <c r="BA34" i="14"/>
  <c r="I34" i="14"/>
  <c r="AU34" i="14"/>
  <c r="BB34" i="14"/>
  <c r="P34" i="14"/>
  <c r="AV34" i="14"/>
  <c r="BC34" i="14"/>
  <c r="C35" i="14"/>
  <c r="D35" i="14"/>
  <c r="E35" i="14"/>
  <c r="F35" i="14"/>
  <c r="G35" i="14"/>
  <c r="H35" i="14"/>
  <c r="J35" i="14"/>
  <c r="K35" i="14"/>
  <c r="L35" i="14"/>
  <c r="M35" i="14"/>
  <c r="N35" i="14"/>
  <c r="O35" i="14"/>
  <c r="Q35" i="14"/>
  <c r="R35" i="14"/>
  <c r="S35" i="14"/>
  <c r="T35" i="14"/>
  <c r="U35" i="14"/>
  <c r="V35" i="14"/>
  <c r="X35" i="14"/>
  <c r="Y35" i="14"/>
  <c r="Z35" i="14"/>
  <c r="AA35" i="14"/>
  <c r="AB35" i="14"/>
  <c r="AC35" i="14"/>
  <c r="W35" i="14"/>
  <c r="AW35" i="14"/>
  <c r="B35" i="14"/>
  <c r="AR35" i="14"/>
  <c r="AT35" i="14"/>
  <c r="BA35" i="14"/>
  <c r="I35" i="14"/>
  <c r="AU35" i="14"/>
  <c r="BB35" i="14"/>
  <c r="P35" i="14"/>
  <c r="AV35" i="14"/>
  <c r="BC35" i="14"/>
  <c r="C36" i="14"/>
  <c r="D36" i="14"/>
  <c r="E36" i="14"/>
  <c r="F36" i="14"/>
  <c r="G36" i="14"/>
  <c r="H36" i="14"/>
  <c r="J36" i="14"/>
  <c r="K36" i="14"/>
  <c r="L36" i="14"/>
  <c r="M36" i="14"/>
  <c r="N36" i="14"/>
  <c r="O36" i="14"/>
  <c r="Q36" i="14"/>
  <c r="R36" i="14"/>
  <c r="S36" i="14"/>
  <c r="T36" i="14"/>
  <c r="U36" i="14"/>
  <c r="V36" i="14"/>
  <c r="X36" i="14"/>
  <c r="Y36" i="14"/>
  <c r="Z36" i="14"/>
  <c r="AA36" i="14"/>
  <c r="AB36" i="14"/>
  <c r="AC36" i="14"/>
  <c r="W36" i="14"/>
  <c r="AW36" i="14"/>
  <c r="B36" i="14"/>
  <c r="AR36" i="14"/>
  <c r="AT36" i="14"/>
  <c r="BA36" i="14"/>
  <c r="I36" i="14"/>
  <c r="AU36" i="14"/>
  <c r="BB36" i="14"/>
  <c r="P36" i="14"/>
  <c r="AV36" i="14"/>
  <c r="BC36" i="14"/>
  <c r="C37" i="14"/>
  <c r="D37" i="14"/>
  <c r="E37" i="14"/>
  <c r="F37" i="14"/>
  <c r="G37" i="14"/>
  <c r="H37" i="14"/>
  <c r="J37" i="14"/>
  <c r="K37" i="14"/>
  <c r="L37" i="14"/>
  <c r="M37" i="14"/>
  <c r="N37" i="14"/>
  <c r="O37" i="14"/>
  <c r="Q37" i="14"/>
  <c r="R37" i="14"/>
  <c r="S37" i="14"/>
  <c r="T37" i="14"/>
  <c r="U37" i="14"/>
  <c r="V37" i="14"/>
  <c r="X37" i="14"/>
  <c r="Y37" i="14"/>
  <c r="Z37" i="14"/>
  <c r="AA37" i="14"/>
  <c r="AB37" i="14"/>
  <c r="AC37" i="14"/>
  <c r="W37" i="14"/>
  <c r="AW37" i="14"/>
  <c r="B37" i="14"/>
  <c r="AS37" i="14"/>
  <c r="AT37" i="14"/>
  <c r="BA37" i="14"/>
  <c r="I37" i="14"/>
  <c r="AU37" i="14"/>
  <c r="BB37" i="14"/>
  <c r="P37" i="14"/>
  <c r="AV37" i="14"/>
  <c r="BC37" i="14"/>
  <c r="C38" i="14"/>
  <c r="D38" i="14"/>
  <c r="E38" i="14"/>
  <c r="F38" i="14"/>
  <c r="G38" i="14"/>
  <c r="H38" i="14"/>
  <c r="J38" i="14"/>
  <c r="K38" i="14"/>
  <c r="L38" i="14"/>
  <c r="M38" i="14"/>
  <c r="N38" i="14"/>
  <c r="O38" i="14"/>
  <c r="Q38" i="14"/>
  <c r="R38" i="14"/>
  <c r="S38" i="14"/>
  <c r="T38" i="14"/>
  <c r="U38" i="14"/>
  <c r="V38" i="14"/>
  <c r="X38" i="14"/>
  <c r="Y38" i="14"/>
  <c r="Z38" i="14"/>
  <c r="AA38" i="14"/>
  <c r="AB38" i="14"/>
  <c r="AC38" i="14"/>
  <c r="W38" i="14"/>
  <c r="AW38" i="14"/>
  <c r="B38" i="14"/>
  <c r="AS38" i="14"/>
  <c r="AT38" i="14"/>
  <c r="BA38" i="14"/>
  <c r="I38" i="14"/>
  <c r="AU38" i="14"/>
  <c r="BB38" i="14"/>
  <c r="P38" i="14"/>
  <c r="AV38" i="14"/>
  <c r="BC38" i="14"/>
  <c r="C39" i="14"/>
  <c r="D39" i="14"/>
  <c r="E39" i="14"/>
  <c r="F39" i="14"/>
  <c r="G39" i="14"/>
  <c r="H39" i="14"/>
  <c r="J39" i="14"/>
  <c r="K39" i="14"/>
  <c r="L39" i="14"/>
  <c r="M39" i="14"/>
  <c r="N39" i="14"/>
  <c r="O39" i="14"/>
  <c r="Q39" i="14"/>
  <c r="R39" i="14"/>
  <c r="S39" i="14"/>
  <c r="T39" i="14"/>
  <c r="U39" i="14"/>
  <c r="V39" i="14"/>
  <c r="X39" i="14"/>
  <c r="Y39" i="14"/>
  <c r="Z39" i="14"/>
  <c r="AA39" i="14"/>
  <c r="AB39" i="14"/>
  <c r="AC39" i="14"/>
  <c r="W39" i="14"/>
  <c r="AW39" i="14"/>
  <c r="B39" i="14"/>
  <c r="AS39" i="14"/>
  <c r="AT39" i="14"/>
  <c r="BA39" i="14"/>
  <c r="I39" i="14"/>
  <c r="AU39" i="14"/>
  <c r="BB39" i="14"/>
  <c r="P39" i="14"/>
  <c r="AV39" i="14"/>
  <c r="BC39" i="14"/>
  <c r="C40" i="14"/>
  <c r="D40" i="14"/>
  <c r="E40" i="14"/>
  <c r="F40" i="14"/>
  <c r="G40" i="14"/>
  <c r="J40" i="14"/>
  <c r="K40" i="14"/>
  <c r="L40" i="14"/>
  <c r="M40" i="14"/>
  <c r="N40" i="14"/>
  <c r="O40" i="14"/>
  <c r="Q40" i="14"/>
  <c r="R40" i="14"/>
  <c r="S40" i="14"/>
  <c r="T40" i="14"/>
  <c r="U40" i="14"/>
  <c r="V40" i="14"/>
  <c r="X40" i="14"/>
  <c r="Y40" i="14"/>
  <c r="Z40" i="14"/>
  <c r="AA40" i="14"/>
  <c r="AB40" i="14"/>
  <c r="AC40" i="14"/>
  <c r="B40" i="14"/>
  <c r="AS40" i="14"/>
  <c r="W40" i="14"/>
  <c r="AW40" i="14"/>
  <c r="H40" i="14"/>
  <c r="AR40" i="14"/>
  <c r="AT40" i="14"/>
  <c r="BA40" i="14"/>
  <c r="I40" i="14"/>
  <c r="AU40" i="14"/>
  <c r="BB40" i="14"/>
  <c r="P40" i="14"/>
  <c r="AV40" i="14"/>
  <c r="BC40" i="14"/>
  <c r="C41" i="14"/>
  <c r="D41" i="14"/>
  <c r="E41" i="14"/>
  <c r="F41" i="14"/>
  <c r="G41" i="14"/>
  <c r="H41" i="14"/>
  <c r="J41" i="14"/>
  <c r="K41" i="14"/>
  <c r="L41" i="14"/>
  <c r="M41" i="14"/>
  <c r="N41" i="14"/>
  <c r="O41" i="14"/>
  <c r="Q41" i="14"/>
  <c r="R41" i="14"/>
  <c r="S41" i="14"/>
  <c r="T41" i="14"/>
  <c r="U41" i="14"/>
  <c r="V41" i="14"/>
  <c r="X41" i="14"/>
  <c r="Y41" i="14"/>
  <c r="Z41" i="14"/>
  <c r="AA41" i="14"/>
  <c r="AB41" i="14"/>
  <c r="AC41" i="14"/>
  <c r="W41" i="14"/>
  <c r="AW41" i="14"/>
  <c r="B41" i="14"/>
  <c r="AR41" i="14"/>
  <c r="AT41" i="14"/>
  <c r="BA41" i="14"/>
  <c r="I41" i="14"/>
  <c r="AU41" i="14"/>
  <c r="BB41" i="14"/>
  <c r="P41" i="14"/>
  <c r="AV41" i="14"/>
  <c r="BC41" i="14"/>
  <c r="C42" i="14"/>
  <c r="D42" i="14"/>
  <c r="E42" i="14"/>
  <c r="F42" i="14"/>
  <c r="G42" i="14"/>
  <c r="H42" i="14"/>
  <c r="J42" i="14"/>
  <c r="K42" i="14"/>
  <c r="L42" i="14"/>
  <c r="M42" i="14"/>
  <c r="N42" i="14"/>
  <c r="O42" i="14"/>
  <c r="Q42" i="14"/>
  <c r="R42" i="14"/>
  <c r="S42" i="14"/>
  <c r="T42" i="14"/>
  <c r="U42" i="14"/>
  <c r="V42" i="14"/>
  <c r="X42" i="14"/>
  <c r="Y42" i="14"/>
  <c r="Z42" i="14"/>
  <c r="AA42" i="14"/>
  <c r="AB42" i="14"/>
  <c r="AC42" i="14"/>
  <c r="W42" i="14"/>
  <c r="AW42" i="14"/>
  <c r="B42" i="14"/>
  <c r="AR42" i="14"/>
  <c r="AT42" i="14"/>
  <c r="BA42" i="14"/>
  <c r="I42" i="14"/>
  <c r="AU42" i="14"/>
  <c r="BB42" i="14"/>
  <c r="P42" i="14"/>
  <c r="AV42" i="14"/>
  <c r="BC42" i="14"/>
  <c r="C43" i="14"/>
  <c r="D43" i="14"/>
  <c r="E43" i="14"/>
  <c r="F43" i="14"/>
  <c r="G43" i="14"/>
  <c r="H43" i="14"/>
  <c r="J43" i="14"/>
  <c r="K43" i="14"/>
  <c r="L43" i="14"/>
  <c r="M43" i="14"/>
  <c r="N43" i="14"/>
  <c r="O43" i="14"/>
  <c r="Q43" i="14"/>
  <c r="R43" i="14"/>
  <c r="S43" i="14"/>
  <c r="T43" i="14"/>
  <c r="U43" i="14"/>
  <c r="V43" i="14"/>
  <c r="X43" i="14"/>
  <c r="Y43" i="14"/>
  <c r="Z43" i="14"/>
  <c r="AA43" i="14"/>
  <c r="AB43" i="14"/>
  <c r="AC43" i="14"/>
  <c r="W43" i="14"/>
  <c r="AW43" i="14"/>
  <c r="B43" i="14"/>
  <c r="AS43" i="14"/>
  <c r="AT43" i="14"/>
  <c r="BA43" i="14"/>
  <c r="I43" i="14"/>
  <c r="AU43" i="14"/>
  <c r="BB43" i="14"/>
  <c r="P43" i="14"/>
  <c r="AV43" i="14"/>
  <c r="BC43" i="14"/>
  <c r="C44" i="14"/>
  <c r="D44" i="14"/>
  <c r="E44" i="14"/>
  <c r="F44" i="14"/>
  <c r="G44" i="14"/>
  <c r="H44" i="14"/>
  <c r="J44" i="14"/>
  <c r="K44" i="14"/>
  <c r="L44" i="14"/>
  <c r="M44" i="14"/>
  <c r="N44" i="14"/>
  <c r="O44" i="14"/>
  <c r="Q44" i="14"/>
  <c r="R44" i="14"/>
  <c r="S44" i="14"/>
  <c r="T44" i="14"/>
  <c r="U44" i="14"/>
  <c r="V44" i="14"/>
  <c r="X44" i="14"/>
  <c r="Y44" i="14"/>
  <c r="Z44" i="14"/>
  <c r="AA44" i="14"/>
  <c r="AB44" i="14"/>
  <c r="AC44" i="14"/>
  <c r="W44" i="14"/>
  <c r="AW44" i="14"/>
  <c r="B44" i="14"/>
  <c r="AS44" i="14"/>
  <c r="AT44" i="14"/>
  <c r="BA44" i="14"/>
  <c r="I44" i="14"/>
  <c r="AU44" i="14"/>
  <c r="BB44" i="14"/>
  <c r="P44" i="14"/>
  <c r="AV44" i="14"/>
  <c r="BC44" i="14"/>
  <c r="C45" i="14"/>
  <c r="D45" i="14"/>
  <c r="E45" i="14"/>
  <c r="F45" i="14"/>
  <c r="G45" i="14"/>
  <c r="H45" i="14"/>
  <c r="J45" i="14"/>
  <c r="K45" i="14"/>
  <c r="L45" i="14"/>
  <c r="M45" i="14"/>
  <c r="N45" i="14"/>
  <c r="O45" i="14"/>
  <c r="Q45" i="14"/>
  <c r="R45" i="14"/>
  <c r="S45" i="14"/>
  <c r="T45" i="14"/>
  <c r="U45" i="14"/>
  <c r="V45" i="14"/>
  <c r="X45" i="14"/>
  <c r="Y45" i="14"/>
  <c r="Z45" i="14"/>
  <c r="AA45" i="14"/>
  <c r="AB45" i="14"/>
  <c r="AC45" i="14"/>
  <c r="W45" i="14"/>
  <c r="AW45" i="14"/>
  <c r="B45" i="14"/>
  <c r="AS45" i="14"/>
  <c r="AT45" i="14"/>
  <c r="BA45" i="14"/>
  <c r="I45" i="14"/>
  <c r="AU45" i="14"/>
  <c r="BB45" i="14"/>
  <c r="P45" i="14"/>
  <c r="AV45" i="14"/>
  <c r="BC45" i="14"/>
  <c r="C46" i="14"/>
  <c r="D46" i="14"/>
  <c r="E46" i="14"/>
  <c r="F46" i="14"/>
  <c r="G46" i="14"/>
  <c r="H46" i="14"/>
  <c r="J46" i="14"/>
  <c r="K46" i="14"/>
  <c r="L46" i="14"/>
  <c r="M46" i="14"/>
  <c r="N46" i="14"/>
  <c r="O46" i="14"/>
  <c r="Q46" i="14"/>
  <c r="R46" i="14"/>
  <c r="S46" i="14"/>
  <c r="T46" i="14"/>
  <c r="U46" i="14"/>
  <c r="V46" i="14"/>
  <c r="X46" i="14"/>
  <c r="Y46" i="14"/>
  <c r="Z46" i="14"/>
  <c r="AA46" i="14"/>
  <c r="AB46" i="14"/>
  <c r="AC46" i="14"/>
  <c r="W46" i="14"/>
  <c r="AW46" i="14"/>
  <c r="B46" i="14"/>
  <c r="AS46" i="14"/>
  <c r="AT46" i="14"/>
  <c r="BA46" i="14"/>
  <c r="I46" i="14"/>
  <c r="AU46" i="14"/>
  <c r="BB46" i="14"/>
  <c r="P46" i="14"/>
  <c r="AV46" i="14"/>
  <c r="BC46" i="14"/>
  <c r="C47" i="14"/>
  <c r="D47" i="14"/>
  <c r="E47" i="14"/>
  <c r="F47" i="14"/>
  <c r="G47" i="14"/>
  <c r="H47" i="14"/>
  <c r="J47" i="14"/>
  <c r="K47" i="14"/>
  <c r="L47" i="14"/>
  <c r="M47" i="14"/>
  <c r="N47" i="14"/>
  <c r="O47" i="14"/>
  <c r="Q47" i="14"/>
  <c r="R47" i="14"/>
  <c r="S47" i="14"/>
  <c r="T47" i="14"/>
  <c r="U47" i="14"/>
  <c r="V47" i="14"/>
  <c r="X47" i="14"/>
  <c r="Y47" i="14"/>
  <c r="Z47" i="14"/>
  <c r="AA47" i="14"/>
  <c r="AB47" i="14"/>
  <c r="AC47" i="14"/>
  <c r="W47" i="14"/>
  <c r="AW47" i="14"/>
  <c r="B47" i="14"/>
  <c r="AS47" i="14"/>
  <c r="AT47" i="14"/>
  <c r="BA47" i="14"/>
  <c r="I47" i="14"/>
  <c r="AU47" i="14"/>
  <c r="BB47" i="14"/>
  <c r="P47" i="14"/>
  <c r="AV47" i="14"/>
  <c r="BC47" i="14"/>
  <c r="C48" i="14"/>
  <c r="D48" i="14"/>
  <c r="E48" i="14"/>
  <c r="F48" i="14"/>
  <c r="G48" i="14"/>
  <c r="H48" i="14"/>
  <c r="J48" i="14"/>
  <c r="K48" i="14"/>
  <c r="L48" i="14"/>
  <c r="M48" i="14"/>
  <c r="N48" i="14"/>
  <c r="O48" i="14"/>
  <c r="Q48" i="14"/>
  <c r="R48" i="14"/>
  <c r="S48" i="14"/>
  <c r="T48" i="14"/>
  <c r="U48" i="14"/>
  <c r="V48" i="14"/>
  <c r="X48" i="14"/>
  <c r="Y48" i="14"/>
  <c r="Z48" i="14"/>
  <c r="AA48" i="14"/>
  <c r="AB48" i="14"/>
  <c r="AC48" i="14"/>
  <c r="W48" i="14"/>
  <c r="AW48" i="14"/>
  <c r="B48" i="14"/>
  <c r="AS48" i="14"/>
  <c r="AT48" i="14"/>
  <c r="BA48" i="14"/>
  <c r="I48" i="14"/>
  <c r="AU48" i="14"/>
  <c r="BB48" i="14"/>
  <c r="P48" i="14"/>
  <c r="AV48" i="14"/>
  <c r="BC48" i="14"/>
  <c r="C49" i="14"/>
  <c r="D49" i="14"/>
  <c r="E49" i="14"/>
  <c r="F49" i="14"/>
  <c r="G49" i="14"/>
  <c r="H49" i="14"/>
  <c r="J49" i="14"/>
  <c r="K49" i="14"/>
  <c r="L49" i="14"/>
  <c r="M49" i="14"/>
  <c r="N49" i="14"/>
  <c r="O49" i="14"/>
  <c r="Q49" i="14"/>
  <c r="R49" i="14"/>
  <c r="S49" i="14"/>
  <c r="T49" i="14"/>
  <c r="U49" i="14"/>
  <c r="V49" i="14"/>
  <c r="X49" i="14"/>
  <c r="Y49" i="14"/>
  <c r="Z49" i="14"/>
  <c r="AA49" i="14"/>
  <c r="AB49" i="14"/>
  <c r="AC49" i="14"/>
  <c r="W49" i="14"/>
  <c r="AW49" i="14"/>
  <c r="B49" i="14"/>
  <c r="AS49" i="14"/>
  <c r="AT49" i="14"/>
  <c r="BA49" i="14"/>
  <c r="I49" i="14"/>
  <c r="AU49" i="14"/>
  <c r="BB49" i="14"/>
  <c r="P49" i="14"/>
  <c r="AV49" i="14"/>
  <c r="BC49" i="14"/>
  <c r="C50" i="14"/>
  <c r="D50" i="14"/>
  <c r="E50" i="14"/>
  <c r="F50" i="14"/>
  <c r="G50" i="14"/>
  <c r="J50" i="14"/>
  <c r="K50" i="14"/>
  <c r="L50" i="14"/>
  <c r="M50" i="14"/>
  <c r="N50" i="14"/>
  <c r="O50" i="14"/>
  <c r="Q50" i="14"/>
  <c r="R50" i="14"/>
  <c r="S50" i="14"/>
  <c r="T50" i="14"/>
  <c r="U50" i="14"/>
  <c r="V50" i="14"/>
  <c r="X50" i="14"/>
  <c r="Y50" i="14"/>
  <c r="Z50" i="14"/>
  <c r="AA50" i="14"/>
  <c r="AB50" i="14"/>
  <c r="AC50" i="14"/>
  <c r="B50" i="14"/>
  <c r="AS50" i="14"/>
  <c r="W50" i="14"/>
  <c r="AW50" i="14"/>
  <c r="H50" i="14"/>
  <c r="AR50" i="14"/>
  <c r="AT50" i="14"/>
  <c r="BA50" i="14"/>
  <c r="I50" i="14"/>
  <c r="AU50" i="14"/>
  <c r="BB50" i="14"/>
  <c r="P50" i="14"/>
  <c r="AV50" i="14"/>
  <c r="BC50" i="14"/>
  <c r="C51" i="14"/>
  <c r="D51" i="14"/>
  <c r="E51" i="14"/>
  <c r="F51" i="14"/>
  <c r="G51" i="14"/>
  <c r="H51" i="14"/>
  <c r="J51" i="14"/>
  <c r="K51" i="14"/>
  <c r="L51" i="14"/>
  <c r="M51" i="14"/>
  <c r="N51" i="14"/>
  <c r="O51" i="14"/>
  <c r="Q51" i="14"/>
  <c r="R51" i="14"/>
  <c r="S51" i="14"/>
  <c r="T51" i="14"/>
  <c r="U51" i="14"/>
  <c r="V51" i="14"/>
  <c r="X51" i="14"/>
  <c r="Y51" i="14"/>
  <c r="Z51" i="14"/>
  <c r="AA51" i="14"/>
  <c r="AB51" i="14"/>
  <c r="AC51" i="14"/>
  <c r="W51" i="14"/>
  <c r="AW51" i="14"/>
  <c r="B51" i="14"/>
  <c r="AS51" i="14"/>
  <c r="AT51" i="14"/>
  <c r="BA51" i="14"/>
  <c r="I51" i="14"/>
  <c r="AU51" i="14"/>
  <c r="BB51" i="14"/>
  <c r="P51" i="14"/>
  <c r="AV51" i="14"/>
  <c r="BC51" i="14"/>
  <c r="C52" i="14"/>
  <c r="D52" i="14"/>
  <c r="E52" i="14"/>
  <c r="F52" i="14"/>
  <c r="G52" i="14"/>
  <c r="H52" i="14"/>
  <c r="J52" i="14"/>
  <c r="K52" i="14"/>
  <c r="L52" i="14"/>
  <c r="M52" i="14"/>
  <c r="N52" i="14"/>
  <c r="O52" i="14"/>
  <c r="Q52" i="14"/>
  <c r="R52" i="14"/>
  <c r="S52" i="14"/>
  <c r="T52" i="14"/>
  <c r="U52" i="14"/>
  <c r="V52" i="14"/>
  <c r="X52" i="14"/>
  <c r="Y52" i="14"/>
  <c r="Z52" i="14"/>
  <c r="AA52" i="14"/>
  <c r="AB52" i="14"/>
  <c r="AC52" i="14"/>
  <c r="W52" i="14"/>
  <c r="AW52" i="14"/>
  <c r="B52" i="14"/>
  <c r="AS52" i="14"/>
  <c r="AT52" i="14"/>
  <c r="BA52" i="14"/>
  <c r="I52" i="14"/>
  <c r="AU52" i="14"/>
  <c r="BB52" i="14"/>
  <c r="P52" i="14"/>
  <c r="AV52" i="14"/>
  <c r="BC52" i="14"/>
  <c r="C53" i="14"/>
  <c r="D53" i="14"/>
  <c r="E53" i="14"/>
  <c r="F53" i="14"/>
  <c r="G53" i="14"/>
  <c r="H53" i="14"/>
  <c r="J53" i="14"/>
  <c r="K53" i="14"/>
  <c r="L53" i="14"/>
  <c r="M53" i="14"/>
  <c r="N53" i="14"/>
  <c r="O53" i="14"/>
  <c r="Q53" i="14"/>
  <c r="R53" i="14"/>
  <c r="S53" i="14"/>
  <c r="T53" i="14"/>
  <c r="U53" i="14"/>
  <c r="V53" i="14"/>
  <c r="X53" i="14"/>
  <c r="Y53" i="14"/>
  <c r="Z53" i="14"/>
  <c r="AA53" i="14"/>
  <c r="AB53" i="14"/>
  <c r="AC53" i="14"/>
  <c r="W53" i="14"/>
  <c r="AW53" i="14"/>
  <c r="B53" i="14"/>
  <c r="AS53" i="14"/>
  <c r="AT53" i="14"/>
  <c r="BA53" i="14"/>
  <c r="I53" i="14"/>
  <c r="AU53" i="14"/>
  <c r="BB53" i="14"/>
  <c r="P53" i="14"/>
  <c r="AV53" i="14"/>
  <c r="BC53" i="14"/>
  <c r="C54" i="14"/>
  <c r="D54" i="14"/>
  <c r="E54" i="14"/>
  <c r="F54" i="14"/>
  <c r="G54" i="14"/>
  <c r="H54" i="14"/>
  <c r="J54" i="14"/>
  <c r="K54" i="14"/>
  <c r="L54" i="14"/>
  <c r="M54" i="14"/>
  <c r="N54" i="14"/>
  <c r="O54" i="14"/>
  <c r="Q54" i="14"/>
  <c r="R54" i="14"/>
  <c r="S54" i="14"/>
  <c r="T54" i="14"/>
  <c r="U54" i="14"/>
  <c r="V54" i="14"/>
  <c r="X54" i="14"/>
  <c r="Y54" i="14"/>
  <c r="Z54" i="14"/>
  <c r="AA54" i="14"/>
  <c r="AB54" i="14"/>
  <c r="AC54" i="14"/>
  <c r="W54" i="14"/>
  <c r="AW54" i="14"/>
  <c r="B54" i="14"/>
  <c r="AT54" i="14"/>
  <c r="BA54" i="14"/>
  <c r="I54" i="14"/>
  <c r="AU54" i="14"/>
  <c r="BB54" i="14"/>
  <c r="P54" i="14"/>
  <c r="AV54" i="14"/>
  <c r="BC54" i="14"/>
  <c r="C55" i="14"/>
  <c r="D55" i="14"/>
  <c r="E55" i="14"/>
  <c r="F55" i="14"/>
  <c r="G55" i="14"/>
  <c r="H55" i="14"/>
  <c r="J55" i="14"/>
  <c r="K55" i="14"/>
  <c r="L55" i="14"/>
  <c r="M55" i="14"/>
  <c r="N55" i="14"/>
  <c r="O55" i="14"/>
  <c r="Q55" i="14"/>
  <c r="R55" i="14"/>
  <c r="S55" i="14"/>
  <c r="T55" i="14"/>
  <c r="U55" i="14"/>
  <c r="V55" i="14"/>
  <c r="X55" i="14"/>
  <c r="Y55" i="14"/>
  <c r="Z55" i="14"/>
  <c r="AA55" i="14"/>
  <c r="AB55" i="14"/>
  <c r="AC55" i="14"/>
  <c r="W55" i="14"/>
  <c r="AW55" i="14"/>
  <c r="C56" i="14"/>
  <c r="D56" i="14"/>
  <c r="E56" i="14"/>
  <c r="F56" i="14"/>
  <c r="G56" i="14"/>
  <c r="H56" i="14"/>
  <c r="J56" i="14"/>
  <c r="K56" i="14"/>
  <c r="L56" i="14"/>
  <c r="M56" i="14"/>
  <c r="N56" i="14"/>
  <c r="O56" i="14"/>
  <c r="Q56" i="14"/>
  <c r="R56" i="14"/>
  <c r="S56" i="14"/>
  <c r="T56" i="14"/>
  <c r="U56" i="14"/>
  <c r="V56" i="14"/>
  <c r="X56" i="14"/>
  <c r="Y56" i="14"/>
  <c r="Z56" i="14"/>
  <c r="AA56" i="14"/>
  <c r="AB56" i="14"/>
  <c r="AC56" i="14"/>
  <c r="W56" i="14"/>
  <c r="AW56" i="14"/>
  <c r="B56" i="14"/>
  <c r="AT56" i="14"/>
  <c r="BA56" i="14"/>
  <c r="I56" i="14"/>
  <c r="AU56" i="14"/>
  <c r="BB56" i="14"/>
  <c r="P56" i="14"/>
  <c r="AV56" i="14"/>
  <c r="BC56" i="14"/>
  <c r="B55" i="14"/>
  <c r="AT55" i="14"/>
  <c r="BA55" i="14"/>
  <c r="BA57" i="14"/>
  <c r="I55" i="14"/>
  <c r="AU55" i="14"/>
  <c r="BB55" i="14"/>
  <c r="BB57" i="14"/>
  <c r="P55" i="14"/>
  <c r="AV55" i="14"/>
  <c r="BC55" i="14"/>
  <c r="BC57" i="14"/>
</calcChain>
</file>

<file path=xl/sharedStrings.xml><?xml version="1.0" encoding="utf-8"?>
<sst xmlns="http://schemas.openxmlformats.org/spreadsheetml/2006/main" count="754" uniqueCount="255">
  <si>
    <t>Date</t>
  </si>
  <si>
    <t>City</t>
  </si>
  <si>
    <t>State</t>
  </si>
  <si>
    <t>Shooter 1 Name</t>
  </si>
  <si>
    <t>Shooter 1 Prohibited</t>
  </si>
  <si>
    <t>Red Flag</t>
  </si>
  <si>
    <t>January</t>
  </si>
  <si>
    <t>IN</t>
  </si>
  <si>
    <t>February</t>
  </si>
  <si>
    <t>MO</t>
  </si>
  <si>
    <t>CA</t>
  </si>
  <si>
    <t>WI</t>
  </si>
  <si>
    <t>TN</t>
  </si>
  <si>
    <t>OK</t>
  </si>
  <si>
    <t>MD</t>
  </si>
  <si>
    <t>Other</t>
  </si>
  <si>
    <t>March</t>
  </si>
  <si>
    <t>No</t>
  </si>
  <si>
    <t>NC</t>
  </si>
  <si>
    <t>April</t>
  </si>
  <si>
    <t>Chicago</t>
  </si>
  <si>
    <t>IL</t>
  </si>
  <si>
    <t>SC</t>
  </si>
  <si>
    <t>May</t>
  </si>
  <si>
    <t>TX</t>
  </si>
  <si>
    <t>June</t>
  </si>
  <si>
    <t>KY</t>
  </si>
  <si>
    <t>MS</t>
  </si>
  <si>
    <t>Yes</t>
  </si>
  <si>
    <t>July</t>
  </si>
  <si>
    <t>August</t>
  </si>
  <si>
    <t>WV</t>
  </si>
  <si>
    <t>September</t>
  </si>
  <si>
    <t>WA</t>
  </si>
  <si>
    <t>OR</t>
  </si>
  <si>
    <t>NJ</t>
  </si>
  <si>
    <t>OH</t>
  </si>
  <si>
    <t>October</t>
  </si>
  <si>
    <t>LA</t>
  </si>
  <si>
    <t>December</t>
  </si>
  <si>
    <t>Number Killed [CALCULATED]</t>
  </si>
  <si>
    <t>Number Injured</t>
  </si>
  <si>
    <t>Females Killed</t>
  </si>
  <si>
    <t>Males Killed</t>
  </si>
  <si>
    <t>Children Killed (17 and Under)</t>
  </si>
  <si>
    <t>Shooter Suicide</t>
  </si>
  <si>
    <t>Handgun</t>
  </si>
  <si>
    <t>Assault Weapon</t>
  </si>
  <si>
    <t>Unknown</t>
  </si>
  <si>
    <t>Shooter 1 Age</t>
  </si>
  <si>
    <t>Shooter 1 Gender</t>
  </si>
  <si>
    <t>Shooter 2 Name</t>
  </si>
  <si>
    <t>Shooter 2 Age</t>
  </si>
  <si>
    <t>Shooter 2 Gender</t>
  </si>
  <si>
    <t>Shooter 2 Prohibited</t>
  </si>
  <si>
    <t>Shooter 3 Name</t>
  </si>
  <si>
    <t>Shooter 3 Age</t>
  </si>
  <si>
    <t>Shooter 3 Gender</t>
  </si>
  <si>
    <t>Shooter 3 Prohibited</t>
  </si>
  <si>
    <t>Shot Current/ Former Intimate Partner, Including Marriage</t>
  </si>
  <si>
    <t>Shot Current/Former Partner by Marriage</t>
  </si>
  <si>
    <t>Shooter/Victim Had Children In Common</t>
  </si>
  <si>
    <t>Killed Other Family</t>
  </si>
  <si>
    <t>Previous DV Arrest or DV Restraining Order</t>
  </si>
  <si>
    <t>Prior history of DV</t>
  </si>
  <si>
    <t>Notes on DV history</t>
  </si>
  <si>
    <t xml:space="preserve">Killed Intimate Partner or Family [CALCULATED] </t>
  </si>
  <si>
    <t>NY</t>
  </si>
  <si>
    <t>MI</t>
  </si>
  <si>
    <t>Law Enforcement Directly Threatened</t>
  </si>
  <si>
    <t>Law Enforcement Injured/Killed</t>
  </si>
  <si>
    <t>Home</t>
  </si>
  <si>
    <t>KS</t>
  </si>
  <si>
    <t>School</t>
  </si>
  <si>
    <t>Workplace</t>
  </si>
  <si>
    <t>Multiple</t>
  </si>
  <si>
    <t>Other (Note)</t>
  </si>
  <si>
    <t>Solely Home But Not DV [CALCULATED]</t>
  </si>
  <si>
    <t>GA</t>
  </si>
  <si>
    <t>Subsequent FBI Terrorism Investigation</t>
  </si>
  <si>
    <t>Public Space</t>
  </si>
  <si>
    <t>Gun-Free Zone</t>
  </si>
  <si>
    <t>November</t>
  </si>
  <si>
    <t>AR</t>
  </si>
  <si>
    <t>VA</t>
  </si>
  <si>
    <t>DC</t>
  </si>
  <si>
    <t>AL</t>
  </si>
  <si>
    <t>AZ</t>
  </si>
  <si>
    <t>CT</t>
  </si>
  <si>
    <t>Male</t>
  </si>
  <si>
    <t>MA</t>
  </si>
  <si>
    <t xml:space="preserve"> </t>
  </si>
  <si>
    <t>ID</t>
  </si>
  <si>
    <t>WY</t>
  </si>
  <si>
    <t>NV</t>
  </si>
  <si>
    <t>MN</t>
  </si>
  <si>
    <t>UT</t>
  </si>
  <si>
    <t>Average Killed</t>
  </si>
  <si>
    <t>Average Shot</t>
  </si>
  <si>
    <t>Suicide</t>
  </si>
  <si>
    <t>FL</t>
  </si>
  <si>
    <t>Total</t>
  </si>
  <si>
    <t>Share</t>
  </si>
  <si>
    <t>Gender</t>
  </si>
  <si>
    <t>Percentage</t>
  </si>
  <si>
    <t>Female</t>
  </si>
  <si>
    <t>Mental Health</t>
  </si>
  <si>
    <t>Prohibited Possessor</t>
  </si>
  <si>
    <t>Law Enforcement Shot</t>
  </si>
  <si>
    <t>Workplace Shootings</t>
  </si>
  <si>
    <t>School Shootings</t>
  </si>
  <si>
    <t>Incidents</t>
  </si>
  <si>
    <t>Victims of Mass Shootings</t>
  </si>
  <si>
    <t>ND</t>
  </si>
  <si>
    <t>Children</t>
  </si>
  <si>
    <t>Shooter</t>
  </si>
  <si>
    <t>Victims (killed)</t>
  </si>
  <si>
    <t>Evidence of Domestic Violence</t>
  </si>
  <si>
    <t>Prior DV Arrest</t>
  </si>
  <si>
    <t>Prior DV Charge</t>
  </si>
  <si>
    <t>Evidence Marriage/Child</t>
  </si>
  <si>
    <t>Shot Partner</t>
  </si>
  <si>
    <t>No Married/Child</t>
  </si>
  <si>
    <t>Killed Family Not Spouse</t>
  </si>
  <si>
    <t>Familicide with Previous DV History</t>
  </si>
  <si>
    <t>Number Shot</t>
  </si>
  <si>
    <t>Number Killed</t>
  </si>
  <si>
    <t>HCM</t>
  </si>
  <si>
    <t>Non-HCM</t>
  </si>
  <si>
    <t>Increase by HCM</t>
  </si>
  <si>
    <t>Old Numbers</t>
  </si>
  <si>
    <t>New Numbers</t>
  </si>
  <si>
    <t>Total to Judge</t>
  </si>
  <si>
    <t>Total Prohibited</t>
  </si>
  <si>
    <t>51% Female</t>
  </si>
  <si>
    <t>50% Female</t>
  </si>
  <si>
    <t>49% Male</t>
  </si>
  <si>
    <t>50% Male</t>
  </si>
  <si>
    <t>Never Married Evidence</t>
  </si>
  <si>
    <t>Married Evidence</t>
  </si>
  <si>
    <t>High Capacity Magazines</t>
  </si>
  <si>
    <t>Percent More Shot</t>
  </si>
  <si>
    <t>Percent More Killed</t>
  </si>
  <si>
    <t>Sufficient Evidence to Judge P.P.</t>
  </si>
  <si>
    <t>86/110 (78%)</t>
  </si>
  <si>
    <t>(100/134) 75%</t>
  </si>
  <si>
    <t>Gun Free Zones</t>
  </si>
  <si>
    <t>Public Places - Gun Free Zones (GFZ)</t>
  </si>
  <si>
    <t>Not GFZ</t>
  </si>
  <si>
    <t>Total Public Places</t>
  </si>
  <si>
    <t xml:space="preserve">Private Homes </t>
  </si>
  <si>
    <t>Solely in Home</t>
  </si>
  <si>
    <t>CO</t>
  </si>
  <si>
    <t>ME</t>
  </si>
  <si>
    <t>MT</t>
  </si>
  <si>
    <t>NM</t>
  </si>
  <si>
    <t>PA</t>
  </si>
  <si>
    <t>AK</t>
  </si>
  <si>
    <t>DE</t>
  </si>
  <si>
    <t>HI</t>
  </si>
  <si>
    <t>IA</t>
  </si>
  <si>
    <t>NE</t>
  </si>
  <si>
    <t>NH</t>
  </si>
  <si>
    <t>RI</t>
  </si>
  <si>
    <t>SD</t>
  </si>
  <si>
    <t>VT</t>
  </si>
  <si>
    <t>States</t>
  </si>
  <si>
    <t>Mass Shootings</t>
  </si>
  <si>
    <t>DV Mass Shootings</t>
  </si>
  <si>
    <t>Prohibited Mass Shootings</t>
  </si>
  <si>
    <t>Non-Prohibited Mass Shootings</t>
  </si>
  <si>
    <t xml:space="preserve">State Populations </t>
  </si>
  <si>
    <t>Person-Years (2009-15)</t>
  </si>
  <si>
    <t>Mass Shootings per 100M Residents</t>
  </si>
  <si>
    <t>DV Mass Shootings per 100M Residents</t>
  </si>
  <si>
    <t>Prohibited Mass Shootings per 100M Residents</t>
  </si>
  <si>
    <t>2015 (est)</t>
  </si>
  <si>
    <t>Background Check Laws</t>
  </si>
  <si>
    <t>Mass Shootings (2009-15): BC</t>
  </si>
  <si>
    <t>Mass Shootings (2009-15): No BC</t>
  </si>
  <si>
    <t>Mass Shootings (2009-15)</t>
  </si>
  <si>
    <t>Prohibited Mass Shooting</t>
  </si>
  <si>
    <t>Non-Prohibited Mass Shooting</t>
  </si>
  <si>
    <t>Person-Years (2009-15): BC</t>
  </si>
  <si>
    <t>Person-Years (2009-15): No BC</t>
  </si>
  <si>
    <t>Non-BC States</t>
  </si>
  <si>
    <t>Years Without BC</t>
  </si>
  <si>
    <t>Person-Years Without BC 2009-2015</t>
  </si>
  <si>
    <t>Rate</t>
  </si>
  <si>
    <t>2009-2015</t>
  </si>
  <si>
    <t>CO*</t>
  </si>
  <si>
    <t>2009-2012</t>
  </si>
  <si>
    <t>OR*</t>
  </si>
  <si>
    <t>2009-2014</t>
  </si>
  <si>
    <t>WA*</t>
  </si>
  <si>
    <t>* Background check laws changed in state during period</t>
  </si>
  <si>
    <t>BC States</t>
  </si>
  <si>
    <t>Years with BC</t>
  </si>
  <si>
    <t>Person-Years with BC 2009-2015</t>
  </si>
  <si>
    <t>2013-2013</t>
  </si>
  <si>
    <t xml:space="preserve">Narrative </t>
  </si>
  <si>
    <t>Shooter Status</t>
  </si>
  <si>
    <t xml:space="preserve">Request Made? </t>
  </si>
  <si>
    <t>Cleveland, OH, 11/21/14 The shooter fatally shot his close friend, a woman who was seven months pregnant, and two other victims inside a residence. He also shot and injured a nine-year- old girl.
• SHOOTER NAME: James Sparks-Henderson, 19
• GUN DETAILS: 9mm pistol
• GUNACQUIRED:Unknown
• PROHIBITING CRITERIA: The shooter was prohibited from possessing firearms due to a 2010 felony
conviction for aggravated robbery.</t>
  </si>
  <si>
    <t>East Oakland, CA, 3/21/09 The shooter used a semiautomatic handgun to kill two police officers after they stopped his car and then fled on foot to an apartment where he killed two SWAT officers with an assault weapon and injured a third before being killed by police.
SHOOTER NAME: Lovelle Mixon, 27
GUN DETAILS: 9mm semiautomatic handgun and SKS assault-style rifle AMMO DETAILS: Police said the assault weapon had a high-capacity magazine.
GUN ACQUIRED: The shooter took part in a home invasion robbery in Modesto, CA, on February 21 2009 in which a rifle was reported stolen. Police did not comment on whether the stolen rifle was the one used in the shooting.
PROHIBITING CRITERIA: The shooter had a lengthy criminal history, including a conviction for armed battery, which would have prohibited him from possessing a gun, and he was on parole for assault with a deadly weapon at the time of the shootings.</t>
  </si>
  <si>
    <t>Kansas City, KS, 6/22/09 The shooter killed a woman with whom he had been romantically linked and three others at the house where she was staying. He had argued with the woman and followed her to the house.
• SHOOTER NAME: Adrian Burks, 37
• GUNDETAILS:Unknown
• GUNACQUIRED:Unknown
• PROHIBITING CRITERIA: The shooter was prohibited from possessing firearms. He had served 10 years in Kansas prisons for robbery, aggravated assault, and burglary. He also fatally shot a man in March 2009, but he was not charged in the incident, which his cousin later described as “self defense.” In April 2009, he was charged with battery and a criminal threat against the sister of the man he killed and was ordered not to possess firearms.</t>
  </si>
  <si>
    <t>Mount Airy, NC, 11/1/09 The shooter killed four people outside a television store before eventually surrendering to the police.
• SHOOTER NAME: Marcos Chavez Gonzalez, 29
• GUN DETAILS: Assault rifle
• GUNACQUIRED:Unknown
• PROHIBITING CRITERIA: The shooter was a prohibited purchaser, having been convicted of kidnapping a minor in 2002.</t>
  </si>
  <si>
    <t>Oklahoma City, OK, 11/9/2009 The shooter or shooters killed four people in a house before setting the building on fire. Two of the victims were pregnant. The crime was premeditated by two conspirators, and related to drugs they sold for one of the victims. It is unclear whether just one or both of the conspirators were present for the shooting, but both were charged with six counts of murder. Tyner surrendered to authorities a week after the killings. Phillips was arrested in Tulsa in April 2010 after allegedly attempting to sell two guns stolen from a police sergeant’s home.
• SHOOTERS: David Allen Tyner (pled guilty), 31 and Denny Edward Phillips (pled not guilty), 34
• GUNDETAILS:Handgun
• AMMO DETAILS: Two types of bullet cases were recovered at the crime scene.
• GUNACQUIRED:Unknown
• PROHIBITING CRITERIA: Phillips was prohibited due to a lengthy criminal history including multiple felony convictions. Phillips was convicted in 1996 for assault with a deadly weapon, and other crimes including
a jail escape. He was also convicted in 2010 for possession of a firearm by a felon. He was also convicted of aggravated assault and battery. There is no indication that Tyner was prohibited, though he was reportedly a member of a prison gang.</t>
  </si>
  <si>
    <t>Jupiter, FL, 11/26/09 The shooter killed his two twin sisters, his aunt, and his cousin’s daughter, and injured two other family members, during a Thanksgiving celebration. He eluded capture for over a month before authorities apprehended him.
• SHOOTER NAME: Paul Merhige, 40
• GUN DETAILS: He used at least two handguns during the shooting.
• GUN ACQUIRED: Purchased at least six guns (including a .22-caliber handgun and a .40-caliber semiautomatic handgun), a high-powered rifle with a scope, and ammunition from two gun stores in South Florida.
• PROHIBITING CRITERIA: The shooter was involuntarily committed to mental health facilities at least three times in the decade before the killing, which prohibited him under federal law from possessing guns.
But his records were not submitted to the NICS database. His parents reportedly knew he had ceased taking prescribed psychotropic medication in the weeks leading up the shooting. In addition, his sister Carla Merhige had requested a restraining order against him in 2006, but later withdrew the request. The shooter was able to obtain a concealed weapons permit.</t>
  </si>
  <si>
    <t>Osage, KS, 11/28/09 The shooter killed his estranged wife, her grandmother, and his two
daughters in their home.
• SHOOTER NAME: James Kahler, 46
• GUN DETAILS: Assault rifle
• GUNACQUIRED:Unknown
• PROHIBITING CRITERIA: Kahler was charged with a misdemeanor domestic violence assault in March 2009. If convicted, he would have been prohibited from purchasing a firearm.</t>
  </si>
  <si>
    <t xml:space="preserve">The record for domestic violence is no longer public record. after reading the case number on the phone, I was told that the case was dismissed. </t>
  </si>
  <si>
    <t>Lakewood, WA, 11/29/09 The shooter killed four police officers in a Tacoma Coffee shop, eluding police for two days before being killed as he fled.
• SHOOTER NAME: Maurice Clemmons, 37
• GUN DETAILS: When he was killed, he was in possession of the handgun of one of the officers he had killed.
• GUNACQUIRED:Unknown
• PROHIBITING CRITERIA: The shooter was prohibited from purchasing a firearm, having been charged with at least 13 felonies across two states. He had posted bail for raping a child just six days before the attack</t>
  </si>
  <si>
    <t>Madison, WI, 12/3/09 The shooter killed two women with whom he was involved in paternity cases, along with their daughters, before shooting himself in his car.
SHOOTER NAME: Tyrone Adair, 38
GUN DETAILS: Two handguns were found inside the vehicle where Adair died, one of which matched the
caliber of the ammunition used in the murders.
GUN ACQUIRED: Police report that Adair bought a 9mm gun that was advertised on Craigslist. This gun was likely transferred in a private sale.
PROHIBITING CRITERIA: The shooter was prohibiting from possessing firearms due to an active restraining order involving a third woman. He had also been arrested in March 2009 after a domestic incident, but charges were not filed in that case.</t>
  </si>
  <si>
    <t>New Orleans, LA, 3/26/10 The shooter killed his ex-girlfriend, her sister, and two children.
SHOOTER NAME: Damian Jordan, 22 GUNDETAILS:Handgun GUNACQUIRED:Unknown
PROHIBITING CRITERIA: Jordan was likely prohibited from possessing a gun due to a lengthy history of domestic abuse, though he had repeatedly pled down the crimes to simple battery.</t>
  </si>
  <si>
    <t xml:space="preserve">Washington, DC, 3/30/10 Three gunmen killed four and wounded five in retaliation for another murder.
• SHOOTER NAME: Nathaniel D. Simms, 26; Orlando Carter, 20, and unnamed 14-year-old juvenile.
• GUN DETAILS: An AK-47 assault rifle and 9mm and .45-caliber handguns
• GUNACQUIRED:Unknown
• PROHIBITING CRITERIA: The adults were reported to have lengthy criminal histories, which prohibited them from purchasing guns, and the 14-year-old was too young to purchase or own a gun.
</t>
  </si>
  <si>
    <t>Chicago, IL, 4/14/10 The shooter who had converted to Islam in prison killed his family for not going along with his conversion, fatally shooting his mother, pregnant wife, infant son, and two nieces, and injuring one other.
• SHOOTER NAME: James A. Larry, 33
• GUNDETAILS:Shotgun
• GUNACQUIRED:Unknown
• PROHIBITING CRITERIA: Larry was almost certainly prohibited from purchasing a gun, having recently served a prison term for a weapons charge. He had also recently pled no contest to misdemeanor battery against his wife.</t>
  </si>
  <si>
    <t>Buffalo, NY, 8/14/10 The shooter opened fire on a group of people outside a bar, killing four
and wounding four others.
• SHOOTER NAME: Riccardo McCray, 24
• GUNDETAILS:Unknown
• GUNACQUIRED:Unknown
• PROHIBITING CRITERIA: McCray had been arrested earlier that year on felony drug charges and the previous year for having a loaded rifle in his car. If he was found guilty of either crime, he would have been prohibited from possessing firearms.</t>
  </si>
  <si>
    <t>call in am</t>
  </si>
  <si>
    <t xml:space="preserve">
Lake Havasu City, AZ, 8/29/10 The shooter killed his ex-girlfriend, her boyfriend, and three others while they were celebrating her boyfriend’s birthday and took his own life later that night.
• SHOOTER NAME: Brian Diez, 26
• GUNDETAILS:Unknown
• GUNACQUIRED:Unknown
• PROHIBITING CRITERIA: The gunman’s girlfriend had taken out a restraining order against him earlier that year, which would likely prohibit him from purchasing or possessing a gun.</t>
  </si>
  <si>
    <t xml:space="preserve">Brian was prohibited from possessing a firearm at the time of the shooting due to a prior conviction: In July 2010, one month before the killings, he was convicted of assaulting his infant son. </t>
  </si>
  <si>
    <t>Riviera Beach, FL, 9/27/10 The shooter killed his estranged wife and four of his stepchildren
in their home, injured one other, and then shot and killed himself.
• SHOOTER NAME: Patrick Dell, 41
• GUNDETAILS:Handgun
• GUNACQUIRED:Unknown
• PROHIBITING CRITERIA: In May 2010, the shooter’s wife obtained a restraining order, which was active
at the time of the shooting and would have prohibited him from owning a gun. In December 2009, Dell has also been arrested on felony aggravated assault, and had been convicted of misdemeanor improper exhibition of a dangerous firearm. Police had responded to 34 calls from the household in the four years preceding the shooting. In April 2008, the shooter’s wife had taken out another restraining order against Dell for abusive behavior.</t>
  </si>
  <si>
    <t>Minot, ND 1/28/11 The shooter, a Somali national, killed the mother of his child at her home — and then her brother, her mother, and her mother’s boyfriend at a nearby home. The murder weapon was never recovered.
• SHOOTER NAME: Omar Mohamed Kalmio, 28
• GUN DETAILS: Believed to be a handgun.
• GUNACQUIRED:Unknown
• PROHIBITING CRITERIA: In 2006, Kalmio was convicted of second-degree assault with a dangerous weapon and sentenced to a year in prison, which offense prohibited him from legally possessing a firearm.</t>
  </si>
  <si>
    <t>Grand Rapids, MI, 7/7/11 The shooter killed seven people including his former girlfriend, his estranged wife, their daughter, and several of their respective family members. He killed himself after an extensive police chase in which three hostages were involved. Investigators suspected that he was targeting former girlfriends and that his rampage was prompted by his recent separation from his wife.
• SHOOTER NAME: Rodrick Shonte Dantzler, 34
• GUN DETAILS: 9mm Glock 19 handgun
• GUN ACQUIRED: The handgun used in the shooting spree was apparently stolen two years before from a home in Kent County, MI.
• PROHIBITING CRITERIA: The shooter was a convicted felon who was prohibited from legally owning a firearm. He had previously served a three-to-ten year sentence for felony assault with intent to murder,
￼Analysis of Recent MASS SHOOTINGS 31
￼￼￼￼￼￼￼been convicted of crimes of domestic violence, and had a series of protection orders issued against him. He also had a history of mental illness and reportedly was not taking his medication for bipolar disorder at the time of the shooting.</t>
  </si>
  <si>
    <t>Monongalia County, WV, 9/6/11 The shooter killed five people and injured one before fleeing from the police and then killing himself.
• SHOOTER NAME: Shayne Riggleman, 22
• GUN DETAILS: A .30-.30 rifle was used. A second rifle and a .22-caliber pistol were also recovered.
• GUNACQUIRED:Unknown
• PROHIBITING CRITERIA: In 2008, Riggleman was sentenced to 14 months in prison for armed robbery, an offense that would prohibit him from possessing firearms, though it is possible his rights were restored under West Virginia law. He had also been diagnosed with bipolar disorder and schizophrenia at Chestnut Ridge Hospital and his family had him committed on several occasions.</t>
  </si>
  <si>
    <t>Laurel, IN, 9/26/11 The shooter killed a man, the man’s estranged wife, their two children, and a neighbor. The male victim reportedly had sold the addictive pain-reliever Oxycontin to the shooter, and on the day of the murders they had argued over the price.
SHOOTER NAME: David E. Ison, 46
GUN DETAILS: A .380 caliber handgun was used in the slayings. Another stolen .380 handgun and an AK-
47 were recovered during the investigation.
GUNACQUIRED:Unknown
PROHIBITING CRITERIA: The shooter had a lengthy criminal record, including a conviction for armed robbery, which would have prohibited him from possessing a gun, and at the time of the murders was on probation for 10 counts of burglary.</t>
  </si>
  <si>
    <t>Bay City, TX, 11/30/11 The shooter and his wife argued in their mobile home, and when she exited he shot her three times in the front yard, injuring her, before killing his four children aged 2 to 5 and then killing himself.
• SHOOTER NAME: Jose Avila-Alva, 24
• GUN DETAILS: .22-caliber revolver
• GUN ACQUIRED: The handgun was reported stolen in 2010.
• PROHIBITING CRITERIA: The shooter was not a legal resident of the U.S., and had been deported to Mexico in 2006 for unlawful entry, which would have prohibited him from purchasing a gun. One week earlier, on November 22, 2011, the shooter’s wife filed an assault report against him and was taken to a crisis center by police, but she did not press charges.</t>
  </si>
  <si>
    <t>Villa Park, IL, 1/17/12 The shooter killed his girlfriend, her two sons, and her niece while they slept. After leaving the scene of the crime he shot himself and died of his injuries.
• SHOOTER NAME: Cedric Anderson, 42
• GUN DETAILS: .357 Magnum handgun
• GUNACQUIRED:Unknown
• PROHIBITING CRITERIA: Anderson has several drug-related offenses dating back to 1990, and in 2008 received probation for possessing a firearm without the required license. On December 29, 2011 was convicted of felony heroin possession, and was awaiting sentencing at the time of the massacre. He was therefore prohibited from possessing a gun.</t>
  </si>
  <si>
    <t xml:space="preserve">Leivasy, WV, 5/19/12 The shooter killed a man after a dispute over a debt for drugs, as well as his girlfriend and their two children.
• SHOOTER NAME: James Roy Belknap, 27
• GUNDETAILS:Unknown
• GUNACQUIRED:Unknown
• PROHIBITING CRITERIA: In 2007, Belknap pled guilty on charges of conspiracy to deliver cocaine and was sentenced to 5 years in prison. In exchange, prosecutors dismissed a grand jury indictment charging him with murder. He was therefore prohibited from possessing a gun.
</t>
  </si>
  <si>
    <t xml:space="preserve">New Town, ND, 11/18/12 The shooter murdered a woman and her three grandchildren in their home on Fort Berthold Indian Reservation. When confronted by police he stabbed himself in the neck and died of his injuries.
• SHOOTER NAME: Kalcie Eagle, 21
• GUN DETAILS: .25-06 hunting rifle
• GUN ACQUIRED: The rifle did not belong to the shooter; police speculated that it may have belonged to a family member.
• PROHIBITING CRITERIA: In March 2012, Eagle was arrested in a stolen pickup truck after a high-speed chase with police. He pled guilty to felony unauthorized use of a vehicle, and was sentenced to a year in jail, with more than three years of supervised probation and more than $45,000 in fines and restitution. Because of this offense, he was likely prohibited from possessing a firearm.
</t>
  </si>
  <si>
    <t>Northridge, CA, 12/2/12 The shooter arrived at an unlicensed boarding house on Devonshire street, reportedly in search of his girlfriend, and after a dispute shot and killed four people outside.
• SHOOTER NAME: Ka Pasasouk, 31
• GUN DETAILS: semiautomatic handgun
• GUNACQUIRED:Unknown
• PROHIBITING CRITERIA: The shooter was prohibited from possessing guns, having been convicted for car theft and felony robbery. While on probation in September 2012, he was arrested again for possession of methamphetamine. According to the district attorney, a prosecutor then released him on probation over the objection of probation officials, who believed he posed a threat to the safety of the community.</t>
  </si>
  <si>
    <t>Tule River Reservation, CA, 12/8/12 The shooter killed his mother and two uncles in the travel trailer where they lived and injured his young son; he then shot his two daughters, one fatally, while fleeing with them from the police. The gunman died after a shootout with police in which he also shot himself in the head.
• SHOOTER NAME: Hector Celaya, 31
• GUN DETAILS: .38-caliber revolver
• GUNACQUIRED:Unknown
• PROHIBITING CRITERIA: Celaya had been imprisoned in 2008 for an assault and battery charge and was prohibited from having weapons as a condition of three years’ probation. He was subsequently arrested multiple times for driving while intoxicated, and was due in court in January 2013 to face a misdemeanor drug possession charge.</t>
  </si>
  <si>
    <t>Change in text</t>
  </si>
  <si>
    <t xml:space="preserve">
Newtown, CT, 12/14/12 The shooter killed his mother in her home and then traveled to a nearby elementary school where he shot twenty-eight people, killing twenty-six of them, including twenty children, before killing himself.
SHOOTER NAME: Adam Peter Lanza, 20
GUN DETAILS: A Bushmaster .223 assault-style rifle was used in the attack at the elementary school. A
10mm Glock handgun, a 9mm SIG Sauer handgun, and a shotgun were also recovered at the crime scene.
AMMO DETAILS: Lanza was carrying multiple high-capacity clips, reportedly enough ammunition to kill nearly every student at school.
GUN ACQUIRED: The guns were legally registered to Lanza’s mother, who he shot and killed earlier in the
￼22
day and with whom he lived.
PROHIBITING CRITERIA: Under Connecticut law, Lanza would have been prohibited from possessing handguns because he had not reached the legal age, 21. However, he would not have been prohibited from possessing a long gun like the Bushmaster rifle used in the shooting. Lanza’s mental health was also scrutinized after the shooting, and while his social isolation had been noted, we did not find evidence that concerns had been brought to the attention of a public authority.</t>
  </si>
  <si>
    <t>Tulsa, OK, 1/7/13 During a robbery the shooters bound the hands of four women in an apartment at the Fairmont Terrace complex and shot each one in the head. The 3-year-old son of one of the victims was in the apartment at the time of the incident but was unharmed.
• SHOOTER NAME: Cedric Dwayne Poore, 39 and James Stanford Poore, 32
• GUN DETAILS: .40-caliber pistol
• GUNACQUIRED:Unknown
• PROHIBITING CRITERIA: Both shooters had extensive criminal histories: Cedric Poore received a 35-year prison sentences in 1995 for armed robbery and James Poore received a 12-year sentence in 2000 for armed robbery with a firearm. Both were released in 2011, but likely remained prohibited from possessing firearms.</t>
  </si>
  <si>
    <t>Akron, OH, 4/18/13 The shooters killed four people inside a townhouse; the initial motive for the crime was reportedly robbery.
• SHOOTER NAME: Derrick Brantley, 21 and Deshanon Haywood, 21
• GUNDETAILS:Unknown
• GUNACQUIRED:Unknown
• PROHIBITING CRITERIA: One shooter, Brantley, was free on bond awaiting trial on felony charges of heroin trafficking. The other, Haywood, was paroled from prison in February 2012 after serving part of a two-year sentence for cocaine trafficking and heroin possession. He immediately violated his parole and was sentenced to 45 days of house arrest. Both were likely prohibited from possessing firearms by their criminal histories.</t>
  </si>
  <si>
    <t>Manchester, IL, 4/24/13 The shooter broke into a home and killed the grandmother of his child and four of her family members including two young children, apparently related to a custody dispute over his 3-year-old daughter. The shooter was subsequently killed in a gunfight with law enforcement.
• •
• •
SHOOTER NAME: Rick Odell Smith, 43
GUN DETAILS: All of the victims were killed with a Winchester 20-gauge pump-action shotgun. A .270 Bolt
Action Winchester rifle and Ruger carbine rifle were also recovered.
GUNACQUIRED:Unknown
PROHIBITING CRITERIA: The shooter had been previously convicted for felony reckless homicide, which would likely have prohibited from possessing guns, along with drug possession and writing bad checks.</t>
  </si>
  <si>
    <t>Ottawa, KS, 4/28/13 The shooter raped and killed a woman, as well as killing her 18-month old daughter and two men who were with her at a farm in eastern Kansas.
• SHOOTER NAME: Kyle Flack, 27
• GUNDETAILS:Unknown
• GUNACQUIRED:Unknown
• PROHIBITING CRITERIA: In 2005 the shooter was convicted of attempted murder in the 2nd degree, having shot a man five times with a pistol, but he only served two years of a five-year sentence and was paroled
in July 2009. He was required to register as a violent offender until 2024 and was prohibited from buying guns. His mother also sought mental health treatment on his behalf; her concerns were dismissed, but Flack ultimately submitted to a mental health evaluation.</t>
  </si>
  <si>
    <t>Waynesville, IN, 5/11/13 The shooter killed four people in a home where methamphetamine was subsequently discovered, leading police to believe the crime was drug-related.
• SHOOTER NAME: Samuel Earl Sallee, 55
• GUN DETAILS: A Ruger 10/22 .22-caliber rifle was recovered.
• GUNACQUIRED:Unknown
• PROHIBITING CRITERIA: The alleged shooter, who had been at the location of the homicides just hours before the bodies were discovered, was taken into custody two days after the shooting. He was prohibited from possessing firearms due to several prior felony convictions including for intimidation, drunk driving (on multiple occasions), receipt of stolen property, and battery. Although authorities delayed in charging the shooter with a crime while they tried to determine a motive for the homicides, they charged him with illegal firearm possession.</t>
  </si>
  <si>
    <t>Fernley, NV, 5/13/13 The shooter killed five people in a spree following a home invasion, in which he stole $3,500 in cash and jewelry.
SHOOTER NAME: Jeremiah Bean, 25
GUN DETAILS: NEF Co. Model R92 .22-caliber handgun. The shooter also stole a Smith &amp; Wesson from one
of his victims.
GUNACQUIRED:Unknown
PROHIBITING CRITERIA: The shooter had been previously convicted for felony charges of burglary and grand larceny, and finished his parole in December 2012. This criminal record likely prohibited him from possessing firearms.</t>
  </si>
  <si>
    <t>Dallas, TX, 8/7/13 The gunman shot and killed his girlfriend and her daughter, and injured two others; and then in a separate attack shot and killed his estranged wife and her daughter, and injured another two people. He also detonated an explosive but it did not harm anyone.
• SHOOTER NAME: Erbie Lee Bowser, 44
• GUN DETAILS: .380 pistol
• GUNACQUIRED:Unknown
• PROHIBITING CRITERIA: The shooter’s estranged wife had obtained a protective order against Bowser in February 2011, citing family violence, and he was later arrested for violating the order. The order seems to have expired in February 2012, but would likely have been prohibiting while it was in place. A criminal conviction for domestic violence, which would also likely have been prohibiting, was expunged from his record after he completed a court program for veterans in the summer of 2012. Bowser was a veteran, but he had not served in combat — making him ineligible to enter the program. He apparently lied about his military history in order to enter the program.</t>
  </si>
  <si>
    <t>The shooter’s estranged wife had obtained a protective order against Bowser in February 2011, citing family violence, and he was later arrested for violating the order. The order seems to have expired in February 2012, but would likely have been prohibiting while it was in place. A criminal conviction for domestic violence, which would also likely have been prohibiting, was expunged from his record after he completed a court program for veterans in the summer of 2012. Bowser was a veteran, but he had not served in combat — making him ineligible to enter the program. He apparently lied about his military history in order to enter the program.</t>
  </si>
  <si>
    <t>Crab Orchard, TN, 9/11/13 The shooters killed a woman and three teenagers, apparently during an attempted robbery during a marijuana exchange. The victims’ bodies were discovered in a car parked along the side of the road in the Renegade Mountain resort community near Crossville.
• SHOOTER NAME: Jacob Allen Bennett, 26 and Brittany Lina Yvonn Moser, 25
• GUNDETAILS:Handgun
• GUNACQUIRED:Unknown
• PROHIBITING CRITERIA: Bennett was prohibited from possessing firearms. In 2010 he received a 6-year prison sentence for charges of theft, forgery, and possession of a handgun during a felony, but was paroled on March 4, 2013. The Cumberland County sheriff’s office estimated they had previously arrested Bennett five times.</t>
  </si>
  <si>
    <t>Terrell, TX, 10/28/13 The shooter shot and killed his mother, his aunt, two acquaintances, and a store clerk in a spree of attacks before he was captured by police. He killed the first four victims in their respective homes and the final one — the clerk — at Ali’s Market on W. Moore Avenue, apparently in an attempt to rob the store.
• SHOOTER NAME: Charles Everett Brownlow, Jr., 36
• GUNDETAILS:Unknown
• GUNACQUIRED:Unknown
• PROHIBITING CRITERIA: The shooter had a criminal record that prohibited him from possessing firearms. He was convicted of burglarizing a vehicle in 1996, a Class A misdemeanor, and convicted of felony burglary in 1997. In 2008 he was served a three-year sentence for unlawful possession of a firearm and in 2011 he was convicted of misdemeanor assault against a family member.</t>
  </si>
  <si>
    <t xml:space="preserve">
Callison, SC, 10/29/13 A man shot and killed the mother of his child, her parents, and her two nephews in their home before killing himself. The shooter and the mother had been engaged in a custody-battle over their 7-month-old daughter, and days before the incident he had written an ominous post on Facebook: “im [sic] about to lose it.”
• SHOOTER NAME: Bryan Eugene Sweatt, 27.
• GUN DETAILS: .44-caliber handgun
• GUN ACQUIRED: The gun belonged to the maternal grandfather of his child; Sweatt apparently stole it when he entered the house and took the family hostage.
• PROHIBITING CRITERIA: The shooter had a lengthy arrest record dating back ten years, which prohibited him from possessing guns.</t>
  </si>
  <si>
    <t xml:space="preserve">In 2010, he was convicted of and sentenced breaking into a motor vehicle, forgery, malicious injury to personal property. </t>
  </si>
  <si>
    <t>Spring, TX, 7/9/14 The shooter killed his the sister of his ex-wife, her husband, and four of their
children, injuring a fifth, before he was captured by police.
• SHOOTER NAME: Ronald Lee Haskell, 33
• GUNDETAILS:Handgun
• GUNACQUIRED:Unknown
• PROHIBITING CRITERIA: The shooter was likely prohibited from owning firearm due to a mutual restraining order enacted as part of his divorce proceedings in October 2013. He had also been charged with simple assault and domestic violence in the presence of a child in June 2008 but the charges were dismissed.</t>
  </si>
  <si>
    <t>Bell, FL, 9/18/14 The shooter fatally shot his daughter and his six grandchildren, ranging from two months to 11 years of age. When police responded to the crime scene, the shooter fatally shot himself.
• SHOOTER NAME: Don Charles Spirit, 51
• GUN DETAILS: .45-caliber handgun
• GUNACQUIRED:Unknown
• PROHIBITING CRITERIA: The shooter was prohibited from possessing firearms due to multiple felony convictions. In 1996 he was convicted of felony possession of marijuana and in 2001, after unintentionally shooting and killing his eight-year old son while on a hunting trip, he was convicted of felony possession of a firearm by a felon.</t>
  </si>
  <si>
    <t>Marysville, WA, 10/24/14 The shooter invited five friends to lunch and then shot them while they sat at the table together, killing four and injuring one. The shooter then fatally shot himself..
SHOOTER NAME: Jaylen Fryberg, 15
GUN DETAILS: .40-caliber Beretta
GUN ACQUIRED: The gun belonged to the shooter’s father, who was himself under a permanent restraining order that prohibited him from possessing firearms under federal law. But the order had been issued in a Tribal Court and was not entered into the federal criminal background check database, so the man was able to pass a background check at a licensed gun dealer and acquire the gun.
PROHIBITING CRITERIA: As a juvenile, the shooter was prohibited from possessing handguns.</t>
  </si>
  <si>
    <t>Total in BC States</t>
  </si>
  <si>
    <t>Total in No BC States</t>
  </si>
  <si>
    <t>Difference</t>
  </si>
  <si>
    <t>Prohibited shooter</t>
  </si>
  <si>
    <t>Casa Grande</t>
  </si>
  <si>
    <t>Whitakers</t>
  </si>
  <si>
    <t>TOTAL SHOT (Not Including Shooter)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</si>
</sst>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0.0%"/>
    <numFmt numFmtId="166" formatCode="0.0"/>
  </numFmts>
  <fonts count="22" x14ac:knownFonts="1">
    <font>
      <sz val="10"/>
      <color rgb="FF000000"/>
      <name val="Arial"/>
    </font>
    <font>
      <b/>
      <sz val="10"/>
      <name val="Arial"/>
    </font>
    <font>
      <b/>
      <sz val="9"/>
      <name val="Arial"/>
    </font>
    <font>
      <sz val="10"/>
      <name val="Arial"/>
    </font>
    <font>
      <sz val="9"/>
      <name val="Arial"/>
    </font>
    <font>
      <sz val="9"/>
      <color rgb="FF999999"/>
      <name val="Arial"/>
    </font>
    <font>
      <b/>
      <sz val="9"/>
      <color rgb="FF999999"/>
      <name val="Arial"/>
    </font>
    <font>
      <sz val="10"/>
      <name val="Arial"/>
    </font>
    <font>
      <sz val="9"/>
      <color rgb="FF666666"/>
      <name val="Arial"/>
    </font>
    <font>
      <sz val="11"/>
      <color rgb="FF000000"/>
      <name val="Arial"/>
    </font>
    <font>
      <b/>
      <sz val="10"/>
      <name val="Arial"/>
    </font>
    <font>
      <b/>
      <sz val="10"/>
      <color rgb="FF000000"/>
      <name val="Arial"/>
    </font>
    <font>
      <sz val="11"/>
      <name val="Arial"/>
    </font>
    <font>
      <b/>
      <sz val="10"/>
      <name val="Arial"/>
    </font>
    <font>
      <sz val="10"/>
      <name val="Arial"/>
    </font>
    <font>
      <sz val="10"/>
      <color rgb="FFB7B7B7"/>
      <name val="Arial"/>
    </font>
    <font>
      <sz val="9"/>
      <color rgb="FF222222"/>
      <name val="Arial"/>
    </font>
    <font>
      <sz val="10"/>
      <color rgb="FFFF0000"/>
      <name val="Arial"/>
    </font>
    <font>
      <sz val="10"/>
      <color rgb="FF000000"/>
      <name val="Arial"/>
    </font>
    <font>
      <sz val="10"/>
      <color rgb="FF4A86E8"/>
      <name val="Arial"/>
    </font>
    <font>
      <sz val="12"/>
      <color rgb="FFFF0000"/>
      <name val="Arial"/>
    </font>
    <font>
      <b/>
      <sz val="10"/>
      <color rgb="FFB7B7B7"/>
      <name val="Arial"/>
    </font>
  </fonts>
  <fills count="24">
    <fill>
      <patternFill patternType="none"/>
    </fill>
    <fill>
      <patternFill patternType="gray125"/>
    </fill>
    <fill>
      <patternFill patternType="solid">
        <fgColor rgb="FFD5A6BD"/>
        <bgColor rgb="FFD5A6BD"/>
      </patternFill>
    </fill>
    <fill>
      <patternFill patternType="solid">
        <fgColor rgb="FF9FC5E8"/>
        <bgColor rgb="FF9FC5E8"/>
      </patternFill>
    </fill>
    <fill>
      <patternFill patternType="solid">
        <fgColor rgb="FFB4A7D6"/>
        <bgColor rgb="FFB4A7D6"/>
      </patternFill>
    </fill>
    <fill>
      <patternFill patternType="solid">
        <fgColor rgb="FFF4CCCC"/>
        <bgColor rgb="FFF4CCCC"/>
      </patternFill>
    </fill>
    <fill>
      <patternFill patternType="solid">
        <fgColor rgb="FFB6D7A8"/>
        <bgColor rgb="FFB6D7A8"/>
      </patternFill>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EFEFEF"/>
        <bgColor rgb="FFEFEFEF"/>
      </patternFill>
    </fill>
    <fill>
      <patternFill patternType="solid">
        <fgColor rgb="FFFFE599"/>
        <bgColor rgb="FFFFE599"/>
      </patternFill>
    </fill>
    <fill>
      <patternFill patternType="solid">
        <fgColor rgb="FFD0E0E3"/>
        <bgColor rgb="FFD0E0E3"/>
      </patternFill>
    </fill>
    <fill>
      <patternFill patternType="solid">
        <fgColor rgb="FFDD7E6B"/>
        <bgColor rgb="FFDD7E6B"/>
      </patternFill>
    </fill>
    <fill>
      <patternFill patternType="solid">
        <fgColor rgb="FFA4C2F4"/>
        <bgColor rgb="FFA4C2F4"/>
      </patternFill>
    </fill>
    <fill>
      <patternFill patternType="solid">
        <fgColor rgb="FFFFFFFF"/>
        <bgColor rgb="FFFFFFF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EA9999"/>
        <bgColor rgb="FFEA9999"/>
      </patternFill>
    </fill>
    <fill>
      <patternFill patternType="solid">
        <fgColor rgb="FFFF0000"/>
        <bgColor rgb="FFFF0000"/>
      </patternFill>
    </fill>
    <fill>
      <patternFill patternType="solid">
        <fgColor rgb="FF00FF00"/>
        <bgColor rgb="FF00FF00"/>
      </patternFill>
    </fill>
    <fill>
      <patternFill patternType="solid">
        <fgColor rgb="FF999999"/>
        <bgColor rgb="FF999999"/>
      </patternFill>
    </fill>
  </fills>
  <borders count="1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style="thin">
        <color auto="1"/>
      </left>
      <right/>
      <top style="thin">
        <color auto="1"/>
      </top>
      <bottom style="thin">
        <color auto="1"/>
      </bottom>
      <diagonal/>
    </border>
  </borders>
  <cellStyleXfs count="1">
    <xf numFmtId="0" fontId="0" fillId="0" borderId="0"/>
  </cellStyleXfs>
  <cellXfs count="185">
    <xf numFmtId="0" fontId="0" fillId="0" borderId="0" xfId="0" applyFont="1" applyAlignment="1"/>
    <xf numFmtId="0" fontId="2" fillId="2"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164" fontId="4" fillId="0" borderId="2" xfId="0" applyNumberFormat="1"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center"/>
    </xf>
    <xf numFmtId="0" fontId="5" fillId="9" borderId="2" xfId="0" applyFont="1" applyFill="1" applyBorder="1" applyAlignment="1">
      <alignment horizontal="center"/>
    </xf>
    <xf numFmtId="0" fontId="4" fillId="15" borderId="2" xfId="0" applyFont="1" applyFill="1" applyBorder="1" applyAlignment="1">
      <alignment horizontal="center"/>
    </xf>
    <xf numFmtId="0" fontId="4" fillId="15" borderId="2" xfId="0" applyFont="1" applyFill="1" applyBorder="1" applyAlignment="1">
      <alignment horizontal="center"/>
    </xf>
    <xf numFmtId="0" fontId="5" fillId="15" borderId="2" xfId="0" applyFont="1" applyFill="1" applyBorder="1" applyAlignment="1">
      <alignment horizontal="center"/>
    </xf>
    <xf numFmtId="0" fontId="4" fillId="0" borderId="2" xfId="0" applyFont="1" applyBorder="1" applyAlignment="1">
      <alignment horizontal="left"/>
    </xf>
    <xf numFmtId="0" fontId="4" fillId="0" borderId="2" xfId="0" applyFont="1" applyBorder="1" applyAlignment="1">
      <alignment horizontal="left"/>
    </xf>
    <xf numFmtId="0" fontId="8" fillId="7" borderId="2" xfId="0" applyFont="1" applyFill="1" applyBorder="1" applyAlignment="1">
      <alignment horizontal="center"/>
    </xf>
    <xf numFmtId="0" fontId="9" fillId="0" borderId="0" xfId="0" applyFont="1" applyAlignment="1"/>
    <xf numFmtId="164" fontId="4" fillId="0" borderId="2" xfId="0" applyNumberFormat="1" applyFont="1" applyBorder="1" applyAlignment="1">
      <alignment horizontal="center"/>
    </xf>
    <xf numFmtId="0" fontId="4" fillId="15" borderId="2" xfId="0" applyFont="1" applyFill="1" applyBorder="1" applyAlignment="1">
      <alignment horizontal="center"/>
    </xf>
    <xf numFmtId="0" fontId="4" fillId="0" borderId="2" xfId="0" applyFont="1" applyBorder="1" applyAlignment="1">
      <alignment horizontal="left"/>
    </xf>
    <xf numFmtId="0" fontId="4" fillId="0" borderId="2" xfId="0" applyFont="1" applyBorder="1" applyAlignment="1">
      <alignment horizontal="left"/>
    </xf>
    <xf numFmtId="0" fontId="4" fillId="15" borderId="7" xfId="0" applyFont="1" applyFill="1" applyBorder="1" applyAlignment="1">
      <alignment horizontal="center"/>
    </xf>
    <xf numFmtId="0" fontId="4" fillId="0" borderId="2" xfId="0" applyFont="1" applyBorder="1" applyAlignment="1">
      <alignment horizontal="center"/>
    </xf>
    <xf numFmtId="0" fontId="10" fillId="10" borderId="2" xfId="0" applyFont="1" applyFill="1" applyBorder="1" applyAlignment="1">
      <alignment horizontal="center"/>
    </xf>
    <xf numFmtId="0" fontId="10" fillId="10" borderId="2" xfId="0" applyFont="1" applyFill="1" applyBorder="1" applyAlignment="1">
      <alignment horizontal="center"/>
    </xf>
    <xf numFmtId="0" fontId="10" fillId="10" borderId="2" xfId="0" applyFont="1" applyFill="1" applyBorder="1" applyAlignment="1">
      <alignment horizontal="center" vertical="center"/>
    </xf>
    <xf numFmtId="0" fontId="11" fillId="0" borderId="2" xfId="0" applyFont="1" applyBorder="1" applyAlignment="1">
      <alignment horizontal="center" vertical="center"/>
    </xf>
    <xf numFmtId="0" fontId="3" fillId="0" borderId="2" xfId="0" applyFont="1" applyBorder="1" applyAlignment="1">
      <alignment horizontal="center" vertical="center"/>
    </xf>
    <xf numFmtId="0" fontId="11" fillId="10" borderId="2" xfId="0" applyFont="1" applyFill="1" applyBorder="1" applyAlignment="1">
      <alignment horizontal="center" vertical="center"/>
    </xf>
    <xf numFmtId="0" fontId="11" fillId="0" borderId="2" xfId="0" applyFont="1" applyBorder="1" applyAlignment="1">
      <alignment horizontal="center" vertical="center"/>
    </xf>
    <xf numFmtId="0" fontId="11" fillId="10" borderId="2" xfId="0" applyFont="1" applyFill="1" applyBorder="1" applyAlignment="1">
      <alignment horizontal="center"/>
    </xf>
    <xf numFmtId="0" fontId="3" fillId="15" borderId="0" xfId="0" applyFont="1" applyFill="1"/>
    <xf numFmtId="0" fontId="10" fillId="0" borderId="0" xfId="0" applyFont="1" applyAlignment="1">
      <alignment horizontal="center"/>
    </xf>
    <xf numFmtId="0" fontId="10" fillId="10" borderId="2" xfId="0" applyFont="1" applyFill="1" applyBorder="1" applyAlignment="1">
      <alignment horizontal="center"/>
    </xf>
    <xf numFmtId="0" fontId="3" fillId="10" borderId="2" xfId="0" applyFont="1" applyFill="1" applyBorder="1" applyAlignment="1">
      <alignment horizontal="center" vertical="center"/>
    </xf>
    <xf numFmtId="0" fontId="3" fillId="10" borderId="2" xfId="0" applyFont="1" applyFill="1" applyBorder="1" applyAlignment="1">
      <alignment horizontal="center" vertical="center"/>
    </xf>
    <xf numFmtId="9" fontId="3" fillId="10" borderId="2" xfId="0" applyNumberFormat="1" applyFont="1" applyFill="1" applyBorder="1" applyAlignment="1">
      <alignment horizontal="center" vertical="center"/>
    </xf>
    <xf numFmtId="0" fontId="3" fillId="10" borderId="2" xfId="0" applyFont="1" applyFill="1" applyBorder="1" applyAlignment="1">
      <alignment horizontal="center"/>
    </xf>
    <xf numFmtId="0" fontId="3" fillId="0" borderId="0" xfId="0" applyFont="1" applyAlignment="1">
      <alignment horizontal="center"/>
    </xf>
    <xf numFmtId="0" fontId="12" fillId="10" borderId="2" xfId="0" applyFont="1" applyFill="1" applyBorder="1" applyAlignment="1">
      <alignment horizontal="center"/>
    </xf>
    <xf numFmtId="9" fontId="3" fillId="10" borderId="7" xfId="0" applyNumberFormat="1" applyFont="1" applyFill="1" applyBorder="1" applyAlignment="1">
      <alignment horizontal="center"/>
    </xf>
    <xf numFmtId="9" fontId="3" fillId="0" borderId="0" xfId="0" applyNumberFormat="1" applyFont="1" applyAlignment="1">
      <alignment horizontal="center"/>
    </xf>
    <xf numFmtId="0" fontId="3" fillId="0" borderId="0" xfId="0" applyFont="1" applyAlignment="1"/>
    <xf numFmtId="9" fontId="3" fillId="0" borderId="8" xfId="0" applyNumberFormat="1" applyFont="1" applyBorder="1" applyAlignment="1">
      <alignment horizontal="center"/>
    </xf>
    <xf numFmtId="0" fontId="3" fillId="10" borderId="2" xfId="0" applyFont="1" applyFill="1" applyBorder="1" applyAlignment="1">
      <alignment horizontal="center"/>
    </xf>
    <xf numFmtId="165" fontId="3" fillId="10" borderId="2" xfId="0" applyNumberFormat="1" applyFont="1" applyFill="1" applyBorder="1" applyAlignment="1">
      <alignment horizontal="center"/>
    </xf>
    <xf numFmtId="9" fontId="3" fillId="10" borderId="2" xfId="0" applyNumberFormat="1" applyFont="1" applyFill="1" applyBorder="1" applyAlignment="1">
      <alignment horizontal="center"/>
    </xf>
    <xf numFmtId="0" fontId="3" fillId="0" borderId="0" xfId="0" applyFont="1" applyAlignment="1">
      <alignment horizontal="center"/>
    </xf>
    <xf numFmtId="9" fontId="3" fillId="0" borderId="0" xfId="0" applyNumberFormat="1" applyFont="1" applyAlignment="1">
      <alignment horizontal="center"/>
    </xf>
    <xf numFmtId="0" fontId="3" fillId="10" borderId="2" xfId="0" applyFont="1" applyFill="1" applyBorder="1" applyAlignment="1">
      <alignment horizontal="center"/>
    </xf>
    <xf numFmtId="0" fontId="3" fillId="0" borderId="2" xfId="0" applyFont="1" applyBorder="1" applyAlignment="1">
      <alignment horizontal="center"/>
    </xf>
    <xf numFmtId="9" fontId="3" fillId="0" borderId="2" xfId="0" applyNumberFormat="1" applyFont="1" applyBorder="1" applyAlignment="1">
      <alignment horizontal="center"/>
    </xf>
    <xf numFmtId="0" fontId="3" fillId="0" borderId="2" xfId="0" applyFont="1" applyBorder="1" applyAlignment="1">
      <alignment horizontal="center"/>
    </xf>
    <xf numFmtId="166" fontId="3" fillId="0" borderId="2" xfId="0" applyNumberFormat="1" applyFont="1" applyBorder="1" applyAlignment="1">
      <alignment horizontal="center"/>
    </xf>
    <xf numFmtId="0" fontId="10" fillId="0" borderId="2" xfId="0" applyFont="1" applyBorder="1"/>
    <xf numFmtId="9" fontId="10" fillId="0" borderId="2" xfId="0" applyNumberFormat="1" applyFont="1" applyBorder="1" applyAlignment="1">
      <alignment horizontal="center"/>
    </xf>
    <xf numFmtId="0" fontId="10" fillId="0" borderId="0" xfId="0" applyFont="1"/>
    <xf numFmtId="9" fontId="3" fillId="0" borderId="0" xfId="0" applyNumberFormat="1" applyFont="1" applyAlignment="1">
      <alignment horizontal="center"/>
    </xf>
    <xf numFmtId="165" fontId="3" fillId="10" borderId="2" xfId="0" applyNumberFormat="1" applyFont="1" applyFill="1" applyBorder="1" applyAlignment="1">
      <alignment horizontal="center"/>
    </xf>
    <xf numFmtId="0" fontId="10" fillId="0" borderId="2" xfId="0" applyFont="1" applyBorder="1" applyAlignment="1">
      <alignment horizontal="center"/>
    </xf>
    <xf numFmtId="0" fontId="14" fillId="10" borderId="2" xfId="0" applyFont="1" applyFill="1" applyBorder="1" applyAlignment="1">
      <alignment horizontal="center"/>
    </xf>
    <xf numFmtId="0" fontId="14" fillId="10" borderId="2" xfId="0" applyFont="1" applyFill="1" applyBorder="1" applyAlignment="1">
      <alignment horizontal="center"/>
    </xf>
    <xf numFmtId="0" fontId="14" fillId="10" borderId="6" xfId="0" applyFont="1" applyFill="1" applyBorder="1" applyAlignment="1">
      <alignment horizontal="center"/>
    </xf>
    <xf numFmtId="0" fontId="14" fillId="10" borderId="9" xfId="0" applyFont="1" applyFill="1" applyBorder="1" applyAlignment="1">
      <alignment horizontal="center"/>
    </xf>
    <xf numFmtId="10" fontId="3" fillId="0" borderId="0" xfId="0" applyNumberFormat="1" applyFont="1" applyAlignment="1"/>
    <xf numFmtId="0" fontId="14" fillId="10" borderId="6" xfId="0" applyFont="1" applyFill="1" applyBorder="1" applyAlignment="1">
      <alignment horizontal="center"/>
    </xf>
    <xf numFmtId="165" fontId="14" fillId="10" borderId="9" xfId="0" applyNumberFormat="1" applyFont="1" applyFill="1" applyBorder="1" applyAlignment="1">
      <alignment horizontal="center"/>
    </xf>
    <xf numFmtId="9" fontId="3" fillId="10" borderId="2" xfId="0" applyNumberFormat="1" applyFont="1" applyFill="1" applyBorder="1" applyAlignment="1">
      <alignment horizontal="center"/>
    </xf>
    <xf numFmtId="0" fontId="4" fillId="0" borderId="2" xfId="0" applyFont="1" applyBorder="1" applyAlignment="1">
      <alignment horizontal="center"/>
    </xf>
    <xf numFmtId="10" fontId="3" fillId="0" borderId="0" xfId="0" applyNumberFormat="1" applyFont="1"/>
    <xf numFmtId="4" fontId="3" fillId="0" borderId="0" xfId="0" applyNumberFormat="1" applyFont="1"/>
    <xf numFmtId="14" fontId="3" fillId="0" borderId="0" xfId="0" applyNumberFormat="1" applyFont="1" applyAlignment="1"/>
    <xf numFmtId="0" fontId="4" fillId="0" borderId="2" xfId="0" applyFont="1" applyBorder="1" applyAlignment="1">
      <alignment horizontal="left"/>
    </xf>
    <xf numFmtId="0" fontId="10" fillId="0" borderId="2" xfId="0" applyFont="1" applyBorder="1" applyAlignment="1">
      <alignment horizontal="center" vertical="center"/>
    </xf>
    <xf numFmtId="4" fontId="10" fillId="0" borderId="2" xfId="0" applyNumberFormat="1" applyFont="1" applyBorder="1" applyAlignment="1">
      <alignment horizontal="center" vertical="center"/>
    </xf>
    <xf numFmtId="0" fontId="3" fillId="16" borderId="2"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17" borderId="2" xfId="0" applyFont="1" applyFill="1" applyBorder="1" applyAlignment="1">
      <alignment horizontal="center" vertical="center" wrapText="1"/>
    </xf>
    <xf numFmtId="0" fontId="3" fillId="17"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3" fillId="18" borderId="2" xfId="0" applyFont="1" applyFill="1" applyBorder="1" applyAlignment="1">
      <alignment horizontal="center" vertical="center" wrapText="1"/>
    </xf>
    <xf numFmtId="0" fontId="3" fillId="18" borderId="2" xfId="0" applyFont="1" applyFill="1" applyBorder="1" applyAlignment="1">
      <alignment horizontal="center" vertical="center"/>
    </xf>
    <xf numFmtId="0" fontId="3" fillId="19" borderId="2" xfId="0" applyFont="1" applyFill="1" applyBorder="1" applyAlignment="1">
      <alignment horizontal="center" vertical="center"/>
    </xf>
    <xf numFmtId="0" fontId="3" fillId="8" borderId="2" xfId="0" applyFont="1" applyFill="1" applyBorder="1" applyAlignment="1">
      <alignment horizontal="center" vertical="center"/>
    </xf>
    <xf numFmtId="0" fontId="15" fillId="8" borderId="2" xfId="0" applyFont="1" applyFill="1" applyBorder="1" applyAlignment="1">
      <alignment horizontal="center" vertical="center"/>
    </xf>
    <xf numFmtId="3" fontId="10" fillId="0" borderId="2" xfId="0" applyNumberFormat="1" applyFont="1" applyBorder="1" applyAlignment="1">
      <alignment horizontal="center"/>
    </xf>
    <xf numFmtId="0" fontId="3" fillId="16" borderId="2" xfId="0" applyFont="1" applyFill="1" applyBorder="1" applyAlignment="1">
      <alignment horizontal="center" wrapText="1"/>
    </xf>
    <xf numFmtId="0" fontId="3" fillId="17" borderId="2" xfId="0" applyFont="1" applyFill="1" applyBorder="1" applyAlignment="1">
      <alignment horizontal="center"/>
    </xf>
    <xf numFmtId="0" fontId="3" fillId="5" borderId="2" xfId="0" applyFont="1" applyFill="1" applyBorder="1" applyAlignment="1">
      <alignment horizontal="center"/>
    </xf>
    <xf numFmtId="0" fontId="3" fillId="18" borderId="2" xfId="0" applyFont="1" applyFill="1" applyBorder="1" applyAlignment="1">
      <alignment horizontal="center"/>
    </xf>
    <xf numFmtId="0" fontId="3" fillId="19" borderId="2" xfId="0" applyFont="1" applyFill="1" applyBorder="1" applyAlignment="1">
      <alignment horizontal="center"/>
    </xf>
    <xf numFmtId="3" fontId="3" fillId="8" borderId="2" xfId="0" applyNumberFormat="1" applyFont="1" applyFill="1" applyBorder="1" applyAlignment="1">
      <alignment horizontal="center"/>
    </xf>
    <xf numFmtId="3" fontId="15" fillId="8" borderId="2" xfId="0" applyNumberFormat="1" applyFont="1" applyFill="1" applyBorder="1" applyAlignment="1">
      <alignment horizontal="center"/>
    </xf>
    <xf numFmtId="3" fontId="3" fillId="20" borderId="2" xfId="0" applyNumberFormat="1" applyFont="1" applyFill="1" applyBorder="1" applyAlignment="1">
      <alignment horizontal="center"/>
    </xf>
    <xf numFmtId="4" fontId="3" fillId="20" borderId="2" xfId="0" applyNumberFormat="1" applyFont="1" applyFill="1" applyBorder="1" applyAlignment="1">
      <alignment horizontal="center"/>
    </xf>
    <xf numFmtId="0" fontId="16" fillId="15" borderId="2" xfId="0" applyFont="1" applyFill="1" applyBorder="1" applyAlignment="1">
      <alignment horizontal="center"/>
    </xf>
    <xf numFmtId="0" fontId="1" fillId="10" borderId="2" xfId="0" applyFont="1" applyFill="1" applyBorder="1" applyAlignment="1">
      <alignment horizont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4" fontId="1" fillId="10" borderId="2" xfId="0" applyNumberFormat="1" applyFont="1" applyFill="1" applyBorder="1" applyAlignment="1">
      <alignment horizontal="center" vertical="center"/>
    </xf>
    <xf numFmtId="3" fontId="7" fillId="15" borderId="2" xfId="0" applyNumberFormat="1" applyFont="1" applyFill="1" applyBorder="1" applyAlignment="1">
      <alignment horizontal="center"/>
    </xf>
    <xf numFmtId="0" fontId="7" fillId="15" borderId="2" xfId="0" applyFont="1" applyFill="1" applyBorder="1" applyAlignment="1">
      <alignment horizontal="center"/>
    </xf>
    <xf numFmtId="3" fontId="7" fillId="15" borderId="2" xfId="0" applyNumberFormat="1" applyFont="1" applyFill="1" applyBorder="1" applyAlignment="1">
      <alignment horizontal="center"/>
    </xf>
    <xf numFmtId="4" fontId="7" fillId="15" borderId="2" xfId="0" applyNumberFormat="1" applyFont="1" applyFill="1" applyBorder="1" applyAlignment="1">
      <alignment horizontal="center"/>
    </xf>
    <xf numFmtId="0" fontId="1" fillId="10" borderId="2" xfId="0" applyFont="1" applyFill="1" applyBorder="1" applyAlignment="1">
      <alignment horizontal="center"/>
    </xf>
    <xf numFmtId="3" fontId="1" fillId="10" borderId="2" xfId="0" applyNumberFormat="1" applyFont="1" applyFill="1" applyBorder="1" applyAlignment="1">
      <alignment horizontal="center"/>
    </xf>
    <xf numFmtId="4" fontId="1" fillId="10" borderId="2" xfId="0" applyNumberFormat="1" applyFont="1" applyFill="1" applyBorder="1" applyAlignment="1">
      <alignment horizontal="center"/>
    </xf>
    <xf numFmtId="0" fontId="10" fillId="15" borderId="0" xfId="0" applyFont="1" applyFill="1" applyAlignment="1"/>
    <xf numFmtId="3" fontId="1" fillId="10" borderId="2" xfId="0" applyNumberFormat="1" applyFont="1" applyFill="1" applyBorder="1" applyAlignment="1">
      <alignment horizontal="center" vertical="center"/>
    </xf>
    <xf numFmtId="0" fontId="10" fillId="0" borderId="0" xfId="0" applyFont="1" applyAlignment="1"/>
    <xf numFmtId="0" fontId="10" fillId="0" borderId="0" xfId="0" applyFont="1" applyAlignment="1">
      <alignment wrapText="1"/>
    </xf>
    <xf numFmtId="0" fontId="3" fillId="0" borderId="0" xfId="0" applyFont="1" applyAlignment="1">
      <alignment wrapText="1"/>
    </xf>
    <xf numFmtId="0" fontId="17" fillId="15" borderId="0" xfId="0" applyFont="1" applyFill="1"/>
    <xf numFmtId="0" fontId="18" fillId="15" borderId="0" xfId="0" applyFont="1" applyFill="1" applyAlignment="1">
      <alignment wrapText="1"/>
    </xf>
    <xf numFmtId="0" fontId="17" fillId="15" borderId="0" xfId="0" applyFont="1" applyFill="1" applyAlignment="1"/>
    <xf numFmtId="0" fontId="3" fillId="15" borderId="0" xfId="0" applyFont="1" applyFill="1" applyAlignment="1">
      <alignment wrapText="1"/>
    </xf>
    <xf numFmtId="0" fontId="3" fillId="22" borderId="0" xfId="0" applyFont="1" applyFill="1" applyAlignment="1"/>
    <xf numFmtId="0" fontId="3" fillId="21" borderId="0" xfId="0" applyFont="1" applyFill="1" applyAlignment="1">
      <alignment wrapText="1"/>
    </xf>
    <xf numFmtId="0" fontId="19" fillId="15" borderId="0" xfId="0" applyFont="1" applyFill="1" applyAlignment="1">
      <alignment wrapText="1"/>
    </xf>
    <xf numFmtId="0" fontId="18" fillId="0" borderId="0" xfId="0" applyFont="1" applyAlignment="1">
      <alignment wrapText="1"/>
    </xf>
    <xf numFmtId="0" fontId="19" fillId="0" borderId="0" xfId="0" applyFont="1" applyAlignment="1">
      <alignment wrapText="1"/>
    </xf>
    <xf numFmtId="0" fontId="17" fillId="15" borderId="0" xfId="0" applyFont="1" applyFill="1" applyAlignment="1">
      <alignment wrapText="1"/>
    </xf>
    <xf numFmtId="0" fontId="20" fillId="15" borderId="0" xfId="0" applyFont="1" applyFill="1" applyAlignment="1">
      <alignment horizontal="left" wrapText="1"/>
    </xf>
    <xf numFmtId="0" fontId="10" fillId="23" borderId="2" xfId="0" applyFont="1" applyFill="1" applyBorder="1" applyAlignment="1">
      <alignment horizontal="center"/>
    </xf>
    <xf numFmtId="0" fontId="10" fillId="23" borderId="2" xfId="0" applyFont="1" applyFill="1" applyBorder="1" applyAlignment="1">
      <alignment horizontal="center" wrapText="1"/>
    </xf>
    <xf numFmtId="0" fontId="10" fillId="23" borderId="2" xfId="0" applyFont="1" applyFill="1" applyBorder="1" applyAlignment="1">
      <alignment horizontal="center"/>
    </xf>
    <xf numFmtId="3" fontId="10" fillId="23" borderId="2" xfId="0" applyNumberFormat="1" applyFont="1" applyFill="1" applyBorder="1" applyAlignment="1">
      <alignment horizontal="center"/>
    </xf>
    <xf numFmtId="3" fontId="21" fillId="23" borderId="2" xfId="0" applyNumberFormat="1" applyFont="1" applyFill="1" applyBorder="1" applyAlignment="1">
      <alignment horizontal="center"/>
    </xf>
    <xf numFmtId="3" fontId="3" fillId="23" borderId="2" xfId="0" applyNumberFormat="1" applyFont="1" applyFill="1" applyBorder="1" applyAlignment="1">
      <alignment horizontal="center"/>
    </xf>
    <xf numFmtId="2" fontId="3" fillId="23" borderId="2" xfId="0" applyNumberFormat="1" applyFont="1" applyFill="1" applyBorder="1" applyAlignment="1">
      <alignment horizontal="center"/>
    </xf>
    <xf numFmtId="0" fontId="10" fillId="15" borderId="2" xfId="0" applyFont="1" applyFill="1" applyBorder="1" applyAlignment="1">
      <alignment horizontal="center"/>
    </xf>
    <xf numFmtId="0" fontId="3" fillId="15" borderId="2" xfId="0" applyFont="1" applyFill="1" applyBorder="1" applyAlignment="1">
      <alignment horizontal="center" wrapText="1"/>
    </xf>
    <xf numFmtId="0" fontId="3" fillId="15" borderId="2" xfId="0" applyFont="1" applyFill="1" applyBorder="1" applyAlignment="1">
      <alignment horizontal="center"/>
    </xf>
    <xf numFmtId="3" fontId="3" fillId="15" borderId="2" xfId="0" applyNumberFormat="1" applyFont="1" applyFill="1" applyBorder="1" applyAlignment="1">
      <alignment horizontal="center" wrapText="1"/>
    </xf>
    <xf numFmtId="3" fontId="15" fillId="15" borderId="2" xfId="0" applyNumberFormat="1" applyFont="1" applyFill="1" applyBorder="1" applyAlignment="1">
      <alignment horizontal="center" wrapText="1"/>
    </xf>
    <xf numFmtId="3" fontId="3" fillId="15" borderId="2" xfId="0" applyNumberFormat="1" applyFont="1" applyFill="1" applyBorder="1" applyAlignment="1">
      <alignment horizontal="center"/>
    </xf>
    <xf numFmtId="3" fontId="10" fillId="15" borderId="2" xfId="0" applyNumberFormat="1" applyFont="1" applyFill="1" applyBorder="1" applyAlignment="1">
      <alignment horizontal="center"/>
    </xf>
    <xf numFmtId="3" fontId="3" fillId="15" borderId="2" xfId="0" applyNumberFormat="1" applyFont="1" applyFill="1" applyBorder="1" applyAlignment="1">
      <alignment horizontal="center"/>
    </xf>
    <xf numFmtId="3" fontId="3" fillId="15" borderId="2" xfId="0" applyNumberFormat="1" applyFont="1" applyFill="1" applyBorder="1" applyAlignment="1">
      <alignment horizontal="center"/>
    </xf>
    <xf numFmtId="2" fontId="3" fillId="15" borderId="2" xfId="0" applyNumberFormat="1" applyFont="1" applyFill="1" applyBorder="1" applyAlignment="1">
      <alignment horizontal="center"/>
    </xf>
    <xf numFmtId="10" fontId="10" fillId="8" borderId="2" xfId="0" applyNumberFormat="1" applyFont="1" applyFill="1" applyBorder="1" applyAlignment="1">
      <alignment horizontal="center"/>
    </xf>
    <xf numFmtId="0" fontId="4" fillId="0" borderId="10" xfId="0" applyFont="1" applyFill="1" applyBorder="1" applyAlignment="1">
      <alignment horizontal="left"/>
    </xf>
    <xf numFmtId="164" fontId="4" fillId="0" borderId="7" xfId="0" applyNumberFormat="1" applyFont="1" applyBorder="1" applyAlignment="1">
      <alignment horizontal="center"/>
    </xf>
    <xf numFmtId="0" fontId="4" fillId="0" borderId="7" xfId="0" applyFont="1" applyBorder="1" applyAlignment="1">
      <alignment horizontal="center"/>
    </xf>
    <xf numFmtId="0" fontId="5" fillId="9" borderId="7" xfId="0" applyFont="1" applyFill="1" applyBorder="1" applyAlignment="1">
      <alignment horizontal="center"/>
    </xf>
    <xf numFmtId="0" fontId="5" fillId="15" borderId="7" xfId="0" applyFont="1" applyFill="1" applyBorder="1" applyAlignment="1">
      <alignment horizontal="center"/>
    </xf>
    <xf numFmtId="0" fontId="4" fillId="0" borderId="7" xfId="0" applyFont="1" applyBorder="1" applyAlignment="1">
      <alignment horizontal="left"/>
    </xf>
    <xf numFmtId="0" fontId="8" fillId="7" borderId="7" xfId="0" applyFont="1" applyFill="1" applyBorder="1" applyAlignment="1">
      <alignment horizontal="center"/>
    </xf>
    <xf numFmtId="164" fontId="4" fillId="0" borderId="11" xfId="0" applyNumberFormat="1" applyFont="1" applyBorder="1" applyAlignment="1">
      <alignment horizontal="center"/>
    </xf>
    <xf numFmtId="0" fontId="4" fillId="0" borderId="11" xfId="0" applyFont="1" applyBorder="1" applyAlignment="1">
      <alignment horizontal="center"/>
    </xf>
    <xf numFmtId="0" fontId="5" fillId="9" borderId="11" xfId="0" applyFont="1" applyFill="1" applyBorder="1" applyAlignment="1">
      <alignment horizontal="center"/>
    </xf>
    <xf numFmtId="0" fontId="4" fillId="15" borderId="11" xfId="0" applyFont="1" applyFill="1" applyBorder="1" applyAlignment="1">
      <alignment horizontal="center"/>
    </xf>
    <xf numFmtId="0" fontId="5" fillId="15" borderId="11" xfId="0" applyFont="1" applyFill="1" applyBorder="1" applyAlignment="1">
      <alignment horizontal="center"/>
    </xf>
    <xf numFmtId="0" fontId="4" fillId="0" borderId="11" xfId="0" applyFont="1" applyBorder="1" applyAlignment="1">
      <alignment horizontal="left"/>
    </xf>
    <xf numFmtId="0" fontId="8" fillId="7" borderId="11" xfId="0" applyFont="1" applyFill="1" applyBorder="1" applyAlignment="1">
      <alignment horizontal="center"/>
    </xf>
    <xf numFmtId="0" fontId="2" fillId="14" borderId="1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 xfId="0" applyFont="1" applyFill="1" applyBorder="1" applyAlignment="1">
      <alignment horizontal="center"/>
    </xf>
    <xf numFmtId="0" fontId="8" fillId="7" borderId="12" xfId="0" applyFont="1" applyFill="1" applyBorder="1" applyAlignment="1">
      <alignment horizontal="center"/>
    </xf>
    <xf numFmtId="0" fontId="8" fillId="7" borderId="13" xfId="0" applyFont="1" applyFill="1" applyBorder="1" applyAlignment="1">
      <alignment horizontal="center"/>
    </xf>
    <xf numFmtId="0" fontId="3" fillId="9" borderId="1" xfId="0" applyFont="1" applyFill="1" applyBorder="1" applyAlignment="1">
      <alignment horizontal="center"/>
    </xf>
    <xf numFmtId="0" fontId="3" fillId="0" borderId="3" xfId="0" applyFont="1" applyBorder="1"/>
    <xf numFmtId="0" fontId="10" fillId="0" borderId="0" xfId="0" applyFont="1" applyAlignment="1">
      <alignment horizontal="center"/>
    </xf>
    <xf numFmtId="0" fontId="0" fillId="0" borderId="0" xfId="0" applyFont="1" applyAlignment="1"/>
    <xf numFmtId="0" fontId="3" fillId="0" borderId="4" xfId="0" applyFont="1" applyBorder="1"/>
    <xf numFmtId="0" fontId="13" fillId="0" borderId="5" xfId="0" applyFont="1" applyBorder="1" applyAlignment="1">
      <alignment horizontal="center"/>
    </xf>
    <xf numFmtId="0" fontId="3" fillId="0" borderId="5" xfId="0" applyFont="1" applyBorder="1"/>
    <xf numFmtId="0" fontId="10" fillId="17"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0" fillId="20" borderId="7" xfId="0" applyFont="1" applyFill="1" applyBorder="1" applyAlignment="1">
      <alignment horizontal="center" vertical="center" wrapText="1"/>
    </xf>
    <xf numFmtId="0" fontId="3" fillId="0" borderId="6" xfId="0" applyFont="1" applyBorder="1"/>
    <xf numFmtId="0" fontId="10" fillId="5" borderId="1" xfId="0" applyFont="1" applyFill="1" applyBorder="1" applyAlignment="1">
      <alignment horizontal="center" vertical="center" wrapText="1"/>
    </xf>
    <xf numFmtId="0" fontId="10" fillId="18" borderId="1" xfId="0" applyFont="1" applyFill="1" applyBorder="1" applyAlignment="1">
      <alignment horizontal="center" vertical="center" wrapText="1"/>
    </xf>
    <xf numFmtId="0" fontId="10" fillId="8" borderId="1" xfId="0" applyFont="1" applyFill="1" applyBorder="1" applyAlignment="1">
      <alignment horizontal="center" vertical="center"/>
    </xf>
    <xf numFmtId="0" fontId="10" fillId="19" borderId="1" xfId="0" applyFont="1" applyFill="1" applyBorder="1" applyAlignment="1">
      <alignment horizontal="center" vertical="center"/>
    </xf>
    <xf numFmtId="0" fontId="3" fillId="0" borderId="10" xfId="0" applyFont="1" applyBorder="1"/>
    <xf numFmtId="0" fontId="7" fillId="15" borderId="0" xfId="0" applyFont="1" applyFill="1" applyAlignment="1">
      <alignment horizontal="left"/>
    </xf>
    <xf numFmtId="0" fontId="10" fillId="15" borderId="0" xfId="0" applyFont="1" applyFill="1" applyAlignment="1">
      <alignment horizontal="center"/>
    </xf>
    <xf numFmtId="0" fontId="1" fillId="15" borderId="0" xfId="0" applyFont="1" applyFill="1" applyAlignment="1">
      <alignment horizontal="center"/>
    </xf>
  </cellXfs>
  <cellStyles count="1">
    <cellStyle name="Normal" xfId="0" builtinId="0"/>
  </cellStyles>
  <dxfs count="1">
    <dxf>
      <fill>
        <patternFill patternType="solid">
          <fgColor rgb="FFFFFF00"/>
          <bgColor rgb="FFFFFF00"/>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65"/>
  <sheetViews>
    <sheetView tabSelected="1" workbookViewId="0">
      <pane xSplit="3" ySplit="1" topLeftCell="D3" activePane="bottomRight" state="frozen"/>
      <selection pane="topRight" activeCell="E1" sqref="E1"/>
      <selection pane="bottomLeft" activeCell="A3" sqref="A3"/>
      <selection pane="bottomRight" activeCell="D1" sqref="D1"/>
    </sheetView>
  </sheetViews>
  <sheetFormatPr baseColWidth="10" defaultColWidth="14.5" defaultRowHeight="15.75" customHeight="1" x14ac:dyDescent="0"/>
  <cols>
    <col min="1" max="1" width="9.5" customWidth="1"/>
    <col min="2" max="2" width="18.5" customWidth="1"/>
    <col min="3" max="3" width="5.83203125" hidden="1" customWidth="1"/>
    <col min="4" max="4" width="16" customWidth="1"/>
    <col min="5" max="5" width="15" customWidth="1"/>
    <col min="6" max="6" width="9.5" customWidth="1"/>
    <col min="7" max="7" width="9" customWidth="1"/>
    <col min="8" max="8" width="7.5" customWidth="1"/>
    <col min="9" max="9" width="9.1640625" customWidth="1"/>
    <col min="10" max="10" width="9.5" hidden="1" customWidth="1"/>
    <col min="11" max="11" width="10.5" hidden="1" customWidth="1"/>
    <col min="12" max="12" width="10.1640625" hidden="1" customWidth="1"/>
    <col min="13" max="13" width="6.6640625" hidden="1" customWidth="1"/>
    <col min="14" max="14" width="10.5" hidden="1" customWidth="1"/>
    <col min="15" max="15" width="25" hidden="1" customWidth="1"/>
    <col min="16" max="16" width="10.1640625" hidden="1" customWidth="1"/>
    <col min="17" max="17" width="12.33203125" hidden="1" customWidth="1"/>
    <col min="18" max="18" width="11.5" hidden="1" customWidth="1"/>
    <col min="19" max="19" width="21" hidden="1" customWidth="1"/>
    <col min="20" max="20" width="10.5" hidden="1" customWidth="1"/>
    <col min="21" max="22" width="13" hidden="1" customWidth="1"/>
    <col min="23" max="23" width="15.1640625" hidden="1" customWidth="1"/>
    <col min="24" max="24" width="10" hidden="1" customWidth="1"/>
    <col min="25" max="26" width="11" hidden="1" customWidth="1"/>
    <col min="27" max="27" width="13.33203125" hidden="1" customWidth="1"/>
    <col min="28" max="29" width="15.5" hidden="1" customWidth="1"/>
    <col min="30" max="32" width="0" hidden="1" customWidth="1"/>
    <col min="33" max="34" width="13.5" hidden="1" customWidth="1"/>
    <col min="35" max="35" width="16.5" customWidth="1"/>
    <col min="36" max="36" width="14" hidden="1" customWidth="1"/>
    <col min="37" max="37" width="13.1640625" hidden="1" customWidth="1"/>
    <col min="38" max="38" width="8.33203125" hidden="1" customWidth="1"/>
    <col min="39" max="39" width="9.5" hidden="1" customWidth="1"/>
    <col min="40" max="40" width="10.5" hidden="1" customWidth="1"/>
    <col min="41" max="41" width="9.33203125" hidden="1" customWidth="1"/>
    <col min="42" max="42" width="27.5" hidden="1" customWidth="1"/>
    <col min="43" max="43" width="15.5" hidden="1" customWidth="1"/>
    <col min="44" max="44" width="13.1640625" hidden="1" customWidth="1"/>
    <col min="45" max="47" width="0" hidden="1" customWidth="1"/>
  </cols>
  <sheetData>
    <row r="1" spans="1:47" ht="44">
      <c r="A1" s="1" t="s">
        <v>0</v>
      </c>
      <c r="B1" s="1" t="s">
        <v>1</v>
      </c>
      <c r="C1" s="1" t="s">
        <v>2</v>
      </c>
      <c r="D1" s="2" t="s">
        <v>254</v>
      </c>
      <c r="E1" s="3" t="s">
        <v>40</v>
      </c>
      <c r="F1" s="4" t="s">
        <v>41</v>
      </c>
      <c r="G1" s="4" t="s">
        <v>42</v>
      </c>
      <c r="H1" s="4" t="s">
        <v>43</v>
      </c>
      <c r="I1" s="4" t="s">
        <v>44</v>
      </c>
      <c r="J1" s="4" t="s">
        <v>45</v>
      </c>
      <c r="K1" s="5" t="s">
        <v>46</v>
      </c>
      <c r="L1" s="5" t="s">
        <v>47</v>
      </c>
      <c r="M1" s="5" t="s">
        <v>15</v>
      </c>
      <c r="N1" s="5" t="s">
        <v>48</v>
      </c>
      <c r="O1" s="6" t="s">
        <v>3</v>
      </c>
      <c r="P1" s="6" t="s">
        <v>49</v>
      </c>
      <c r="Q1" s="6" t="s">
        <v>50</v>
      </c>
      <c r="R1" s="6" t="s">
        <v>4</v>
      </c>
      <c r="S1" s="6" t="s">
        <v>51</v>
      </c>
      <c r="T1" s="6" t="s">
        <v>52</v>
      </c>
      <c r="U1" s="6" t="s">
        <v>53</v>
      </c>
      <c r="V1" s="6" t="s">
        <v>54</v>
      </c>
      <c r="W1" s="6" t="s">
        <v>55</v>
      </c>
      <c r="X1" s="6" t="s">
        <v>56</v>
      </c>
      <c r="Y1" s="6" t="s">
        <v>57</v>
      </c>
      <c r="Z1" s="6" t="s">
        <v>58</v>
      </c>
      <c r="AA1" s="7" t="s">
        <v>251</v>
      </c>
      <c r="AB1" s="8" t="s">
        <v>59</v>
      </c>
      <c r="AC1" s="8" t="s">
        <v>60</v>
      </c>
      <c r="AD1" s="8" t="s">
        <v>61</v>
      </c>
      <c r="AE1" s="8" t="s">
        <v>62</v>
      </c>
      <c r="AF1" s="8" t="s">
        <v>63</v>
      </c>
      <c r="AG1" s="8" t="s">
        <v>64</v>
      </c>
      <c r="AH1" s="8" t="s">
        <v>65</v>
      </c>
      <c r="AI1" s="9" t="s">
        <v>66</v>
      </c>
      <c r="AJ1" s="6" t="s">
        <v>69</v>
      </c>
      <c r="AK1" s="6" t="s">
        <v>70</v>
      </c>
      <c r="AL1" s="10" t="s">
        <v>71</v>
      </c>
      <c r="AM1" s="10" t="s">
        <v>73</v>
      </c>
      <c r="AN1" s="10" t="s">
        <v>74</v>
      </c>
      <c r="AO1" s="10" t="s">
        <v>75</v>
      </c>
      <c r="AP1" s="10" t="s">
        <v>76</v>
      </c>
      <c r="AQ1" s="162" t="s">
        <v>77</v>
      </c>
      <c r="AR1" s="161" t="s">
        <v>5</v>
      </c>
      <c r="AS1" s="161" t="s">
        <v>79</v>
      </c>
      <c r="AT1" s="161" t="s">
        <v>80</v>
      </c>
      <c r="AU1" s="161" t="s">
        <v>81</v>
      </c>
    </row>
    <row r="2" spans="1:47" ht="15.75" customHeight="1">
      <c r="A2" s="11">
        <v>42824</v>
      </c>
      <c r="B2" s="12" t="s">
        <v>20</v>
      </c>
      <c r="C2" s="12"/>
      <c r="D2" s="14">
        <f t="shared" ref="D2:D4" si="0">SUM(E2:F2)</f>
        <v>4</v>
      </c>
      <c r="E2" s="14">
        <f t="shared" ref="E2:E4" si="1">G2+H2</f>
        <v>4</v>
      </c>
      <c r="F2" s="12">
        <v>0</v>
      </c>
      <c r="G2" s="12">
        <v>0</v>
      </c>
      <c r="H2" s="12">
        <v>4</v>
      </c>
      <c r="I2" s="12">
        <v>0</v>
      </c>
      <c r="J2" s="12"/>
      <c r="K2" s="12"/>
      <c r="L2" s="12"/>
      <c r="M2" s="12"/>
      <c r="N2" s="12"/>
      <c r="O2" s="15"/>
      <c r="P2" s="16"/>
      <c r="Q2" s="16"/>
      <c r="R2" s="16"/>
      <c r="S2" s="15"/>
      <c r="T2" s="15"/>
      <c r="U2" s="15"/>
      <c r="V2" s="15"/>
      <c r="W2" s="15"/>
      <c r="X2" s="15"/>
      <c r="Y2" s="15"/>
      <c r="Z2" s="15"/>
      <c r="AA2" s="17"/>
      <c r="AB2" s="12"/>
      <c r="AC2" s="12"/>
      <c r="AD2" s="12"/>
      <c r="AE2" s="12"/>
      <c r="AF2" s="12"/>
      <c r="AG2" s="18"/>
      <c r="AH2" s="19"/>
      <c r="AI2" s="20" t="s">
        <v>17</v>
      </c>
      <c r="AJ2" s="12"/>
      <c r="AK2" s="12"/>
      <c r="AL2" s="12"/>
      <c r="AM2" s="12"/>
      <c r="AN2" s="12"/>
      <c r="AO2" s="12"/>
      <c r="AP2" s="18"/>
      <c r="AQ2" s="163"/>
      <c r="AR2" s="155"/>
      <c r="AS2" s="155"/>
      <c r="AT2" s="155"/>
      <c r="AU2" s="155"/>
    </row>
    <row r="3" spans="1:47" ht="15.75" customHeight="1">
      <c r="A3" s="11">
        <v>43013</v>
      </c>
      <c r="B3" s="12" t="s">
        <v>252</v>
      </c>
      <c r="C3" s="12"/>
      <c r="D3" s="14">
        <f t="shared" si="0"/>
        <v>4</v>
      </c>
      <c r="E3" s="14">
        <f t="shared" si="1"/>
        <v>4</v>
      </c>
      <c r="F3" s="12">
        <v>0</v>
      </c>
      <c r="G3" s="12">
        <v>0</v>
      </c>
      <c r="H3" s="12">
        <v>4</v>
      </c>
      <c r="I3" s="12">
        <v>0</v>
      </c>
      <c r="J3" s="12"/>
      <c r="K3" s="12"/>
      <c r="L3" s="12"/>
      <c r="M3" s="12"/>
      <c r="N3" s="12"/>
      <c r="O3" s="15"/>
      <c r="P3" s="16"/>
      <c r="Q3" s="16"/>
      <c r="R3" s="16"/>
      <c r="S3" s="15"/>
      <c r="T3" s="15"/>
      <c r="U3" s="15"/>
      <c r="V3" s="15"/>
      <c r="W3" s="15"/>
      <c r="X3" s="15"/>
      <c r="Y3" s="15"/>
      <c r="Z3" s="15"/>
      <c r="AA3" s="17"/>
      <c r="AB3" s="12"/>
      <c r="AC3" s="12"/>
      <c r="AD3" s="12"/>
      <c r="AE3" s="12"/>
      <c r="AF3" s="12"/>
      <c r="AG3" s="18"/>
      <c r="AH3" s="19"/>
      <c r="AI3" s="20" t="s">
        <v>28</v>
      </c>
      <c r="AJ3" s="12"/>
      <c r="AK3" s="12"/>
      <c r="AL3" s="12"/>
      <c r="AM3" s="12"/>
      <c r="AN3" s="12"/>
      <c r="AO3" s="12"/>
      <c r="AP3" s="19"/>
      <c r="AQ3" s="163"/>
      <c r="AR3" s="155"/>
      <c r="AS3" s="155"/>
      <c r="AT3" s="155"/>
      <c r="AU3" s="155"/>
    </row>
    <row r="4" spans="1:47" ht="15.75" customHeight="1">
      <c r="A4" s="11">
        <v>42968</v>
      </c>
      <c r="B4" s="12" t="s">
        <v>253</v>
      </c>
      <c r="C4" s="12"/>
      <c r="D4" s="14">
        <f t="shared" si="0"/>
        <v>4</v>
      </c>
      <c r="E4" s="14">
        <f t="shared" si="1"/>
        <v>4</v>
      </c>
      <c r="F4" s="12">
        <v>0</v>
      </c>
      <c r="G4" s="12">
        <v>0</v>
      </c>
      <c r="H4" s="12">
        <v>4</v>
      </c>
      <c r="I4" s="12">
        <v>0</v>
      </c>
      <c r="J4" s="12"/>
      <c r="K4" s="12"/>
      <c r="L4" s="12"/>
      <c r="M4" s="12"/>
      <c r="N4" s="12"/>
      <c r="O4" s="15"/>
      <c r="P4" s="16"/>
      <c r="Q4" s="16"/>
      <c r="R4" s="16"/>
      <c r="S4" s="15"/>
      <c r="T4" s="15"/>
      <c r="U4" s="15"/>
      <c r="V4" s="15"/>
      <c r="W4" s="15"/>
      <c r="X4" s="15"/>
      <c r="Y4" s="15"/>
      <c r="Z4" s="15"/>
      <c r="AA4" s="17"/>
      <c r="AB4" s="12"/>
      <c r="AC4" s="12"/>
      <c r="AD4" s="12"/>
      <c r="AE4" s="12"/>
      <c r="AF4" s="12"/>
      <c r="AG4" s="18"/>
      <c r="AH4" s="19"/>
      <c r="AI4" s="20" t="s">
        <v>17</v>
      </c>
      <c r="AJ4" s="12"/>
      <c r="AK4" s="12"/>
      <c r="AL4" s="12"/>
      <c r="AM4" s="12"/>
      <c r="AN4" s="12"/>
      <c r="AO4" s="12"/>
      <c r="AP4" s="18"/>
      <c r="AQ4" s="163"/>
      <c r="AR4" s="155"/>
      <c r="AS4" s="155"/>
      <c r="AT4" s="155"/>
      <c r="AU4" s="155"/>
    </row>
    <row r="5" spans="1:47" ht="15.75" customHeight="1">
      <c r="A5" s="11"/>
      <c r="B5" s="12"/>
      <c r="C5" s="12"/>
      <c r="D5" s="14"/>
      <c r="E5" s="14"/>
      <c r="F5" s="12"/>
      <c r="G5" s="12"/>
      <c r="H5" s="12"/>
      <c r="I5" s="12"/>
      <c r="J5" s="12"/>
      <c r="K5" s="12"/>
      <c r="L5" s="12"/>
      <c r="M5" s="12"/>
      <c r="N5" s="12"/>
      <c r="O5" s="15"/>
      <c r="P5" s="16"/>
      <c r="Q5" s="16"/>
      <c r="R5" s="16"/>
      <c r="S5" s="15"/>
      <c r="T5" s="15"/>
      <c r="U5" s="15"/>
      <c r="V5" s="15"/>
      <c r="W5" s="15"/>
      <c r="X5" s="15"/>
      <c r="Y5" s="15"/>
      <c r="Z5" s="15"/>
      <c r="AA5" s="17"/>
      <c r="AB5" s="12"/>
      <c r="AC5" s="12"/>
      <c r="AD5" s="12"/>
      <c r="AE5" s="12"/>
      <c r="AF5" s="12"/>
      <c r="AG5" s="18"/>
      <c r="AH5" s="19"/>
      <c r="AI5" s="20"/>
      <c r="AJ5" s="12"/>
      <c r="AK5" s="12"/>
      <c r="AL5" s="12"/>
      <c r="AM5" s="12"/>
      <c r="AN5" s="12"/>
      <c r="AO5" s="12"/>
      <c r="AP5" s="18"/>
      <c r="AQ5" s="163"/>
      <c r="AR5" s="155"/>
      <c r="AS5" s="155"/>
      <c r="AT5" s="155"/>
      <c r="AU5" s="155"/>
    </row>
    <row r="6" spans="1:47" ht="15.75" customHeight="1">
      <c r="A6" s="11"/>
      <c r="B6" s="12"/>
      <c r="C6" s="12"/>
      <c r="D6" s="14"/>
      <c r="E6" s="14"/>
      <c r="F6" s="12"/>
      <c r="G6" s="12"/>
      <c r="H6" s="12"/>
      <c r="I6" s="12"/>
      <c r="J6" s="12"/>
      <c r="K6" s="12"/>
      <c r="L6" s="12"/>
      <c r="M6" s="12"/>
      <c r="N6" s="12"/>
      <c r="O6" s="15"/>
      <c r="P6" s="16"/>
      <c r="Q6" s="16"/>
      <c r="R6" s="16"/>
      <c r="S6" s="15"/>
      <c r="T6" s="15"/>
      <c r="U6" s="15"/>
      <c r="V6" s="15"/>
      <c r="W6" s="15"/>
      <c r="X6" s="15"/>
      <c r="Y6" s="15"/>
      <c r="Z6" s="15"/>
      <c r="AA6" s="17"/>
      <c r="AB6" s="12"/>
      <c r="AC6" s="12"/>
      <c r="AD6" s="12"/>
      <c r="AE6" s="12"/>
      <c r="AF6" s="12"/>
      <c r="AG6" s="18"/>
      <c r="AH6" s="19"/>
      <c r="AI6" s="20"/>
      <c r="AJ6" s="12"/>
      <c r="AK6" s="12"/>
      <c r="AL6" s="12"/>
      <c r="AM6" s="12"/>
      <c r="AN6" s="12"/>
      <c r="AO6" s="12"/>
      <c r="AP6" s="19"/>
      <c r="AQ6" s="163"/>
      <c r="AR6" s="155"/>
      <c r="AS6" s="155"/>
      <c r="AT6" s="155"/>
      <c r="AU6" s="155"/>
    </row>
    <row r="7" spans="1:47" ht="15.75" customHeight="1">
      <c r="A7" s="22"/>
      <c r="B7" s="13"/>
      <c r="C7" s="13"/>
      <c r="D7" s="14"/>
      <c r="E7" s="14"/>
      <c r="F7" s="13"/>
      <c r="G7" s="12"/>
      <c r="H7" s="12"/>
      <c r="I7" s="13"/>
      <c r="J7" s="13"/>
      <c r="K7" s="13"/>
      <c r="L7" s="13"/>
      <c r="M7" s="12"/>
      <c r="N7" s="13"/>
      <c r="O7" s="15"/>
      <c r="P7" s="23"/>
      <c r="Q7" s="23"/>
      <c r="R7" s="23"/>
      <c r="S7" s="15"/>
      <c r="T7" s="15"/>
      <c r="U7" s="15"/>
      <c r="V7" s="15"/>
      <c r="W7" s="15"/>
      <c r="X7" s="15"/>
      <c r="Y7" s="15"/>
      <c r="Z7" s="15"/>
      <c r="AA7" s="17"/>
      <c r="AB7" s="13"/>
      <c r="AC7" s="12"/>
      <c r="AD7" s="12"/>
      <c r="AE7" s="12"/>
      <c r="AF7" s="12"/>
      <c r="AG7" s="24"/>
      <c r="AH7" s="25"/>
      <c r="AI7" s="20"/>
      <c r="AJ7" s="13"/>
      <c r="AK7" s="12"/>
      <c r="AL7" s="13"/>
      <c r="AM7" s="12"/>
      <c r="AN7" s="12"/>
      <c r="AO7" s="12"/>
      <c r="AP7" s="25"/>
      <c r="AQ7" s="163"/>
      <c r="AR7" s="155"/>
      <c r="AS7" s="155"/>
      <c r="AT7" s="155"/>
      <c r="AU7" s="155"/>
    </row>
    <row r="8" spans="1:47" ht="15.75" customHeight="1">
      <c r="A8" s="11"/>
      <c r="B8" s="12"/>
      <c r="C8" s="12"/>
      <c r="D8" s="14"/>
      <c r="E8" s="14"/>
      <c r="F8" s="12"/>
      <c r="G8" s="12"/>
      <c r="H8" s="12"/>
      <c r="I8" s="12"/>
      <c r="J8" s="12"/>
      <c r="K8" s="12"/>
      <c r="L8" s="12"/>
      <c r="M8" s="12"/>
      <c r="N8" s="13"/>
      <c r="O8" s="15"/>
      <c r="P8" s="16"/>
      <c r="Q8" s="16"/>
      <c r="R8" s="16"/>
      <c r="S8" s="15"/>
      <c r="T8" s="15"/>
      <c r="U8" s="15"/>
      <c r="V8" s="15"/>
      <c r="W8" s="15"/>
      <c r="X8" s="15"/>
      <c r="Y8" s="15"/>
      <c r="Z8" s="15"/>
      <c r="AA8" s="17"/>
      <c r="AB8" s="12"/>
      <c r="AC8" s="12"/>
      <c r="AD8" s="12"/>
      <c r="AE8" s="12"/>
      <c r="AF8" s="12"/>
      <c r="AG8" s="18"/>
      <c r="AH8" s="19"/>
      <c r="AI8" s="20"/>
      <c r="AJ8" s="12"/>
      <c r="AK8" s="12"/>
      <c r="AL8" s="12"/>
      <c r="AM8" s="12"/>
      <c r="AN8" s="12"/>
      <c r="AO8" s="12"/>
      <c r="AP8" s="19"/>
      <c r="AQ8" s="163"/>
      <c r="AR8" s="155"/>
      <c r="AS8" s="155"/>
      <c r="AT8" s="155"/>
      <c r="AU8" s="155"/>
    </row>
    <row r="9" spans="1:47" ht="15.75" customHeight="1">
      <c r="A9" s="11"/>
      <c r="B9" s="12"/>
      <c r="C9" s="12"/>
      <c r="D9" s="14"/>
      <c r="E9" s="14"/>
      <c r="F9" s="12"/>
      <c r="G9" s="12"/>
      <c r="H9" s="12"/>
      <c r="I9" s="12"/>
      <c r="J9" s="12"/>
      <c r="K9" s="12"/>
      <c r="L9" s="12"/>
      <c r="M9" s="12"/>
      <c r="N9" s="13"/>
      <c r="O9" s="15"/>
      <c r="P9" s="16"/>
      <c r="Q9" s="16"/>
      <c r="R9" s="16"/>
      <c r="S9" s="15"/>
      <c r="T9" s="15"/>
      <c r="U9" s="15"/>
      <c r="V9" s="15"/>
      <c r="W9" s="15"/>
      <c r="X9" s="15"/>
      <c r="Y9" s="15"/>
      <c r="Z9" s="15"/>
      <c r="AA9" s="17"/>
      <c r="AB9" s="12"/>
      <c r="AC9" s="12"/>
      <c r="AD9" s="12"/>
      <c r="AE9" s="12"/>
      <c r="AF9" s="12"/>
      <c r="AG9" s="18"/>
      <c r="AH9" s="19"/>
      <c r="AI9" s="20"/>
      <c r="AJ9" s="12"/>
      <c r="AK9" s="12"/>
      <c r="AL9" s="12"/>
      <c r="AM9" s="12"/>
      <c r="AN9" s="12"/>
      <c r="AO9" s="12"/>
      <c r="AP9" s="18"/>
      <c r="AQ9" s="163"/>
      <c r="AR9" s="155"/>
      <c r="AS9" s="155"/>
      <c r="AT9" s="155"/>
      <c r="AU9" s="155"/>
    </row>
    <row r="10" spans="1:47" ht="15.75" customHeight="1">
      <c r="A10" s="11"/>
      <c r="B10" s="12"/>
      <c r="C10" s="12"/>
      <c r="D10" s="14"/>
      <c r="E10" s="14"/>
      <c r="F10" s="12"/>
      <c r="G10" s="12"/>
      <c r="H10" s="12"/>
      <c r="I10" s="12"/>
      <c r="J10" s="12"/>
      <c r="K10" s="12"/>
      <c r="L10" s="12"/>
      <c r="M10" s="12"/>
      <c r="N10" s="13"/>
      <c r="O10" s="15"/>
      <c r="P10" s="16"/>
      <c r="Q10" s="16"/>
      <c r="R10" s="16"/>
      <c r="S10" s="15"/>
      <c r="T10" s="15"/>
      <c r="U10" s="15"/>
      <c r="V10" s="15"/>
      <c r="W10" s="15"/>
      <c r="X10" s="15"/>
      <c r="Y10" s="15"/>
      <c r="Z10" s="15"/>
      <c r="AA10" s="17"/>
      <c r="AB10" s="12"/>
      <c r="AC10" s="12"/>
      <c r="AD10" s="12"/>
      <c r="AE10" s="12"/>
      <c r="AF10" s="12"/>
      <c r="AG10" s="18"/>
      <c r="AH10" s="19"/>
      <c r="AI10" s="20"/>
      <c r="AJ10" s="12"/>
      <c r="AK10" s="12"/>
      <c r="AL10" s="12"/>
      <c r="AM10" s="12"/>
      <c r="AN10" s="12"/>
      <c r="AO10" s="12"/>
      <c r="AP10" s="19"/>
      <c r="AQ10" s="163"/>
      <c r="AR10" s="155"/>
      <c r="AS10" s="155"/>
      <c r="AT10" s="155"/>
      <c r="AU10" s="155"/>
    </row>
    <row r="11" spans="1:47" ht="15.75" customHeight="1">
      <c r="A11" s="11"/>
      <c r="B11" s="12"/>
      <c r="C11" s="12"/>
      <c r="D11" s="14"/>
      <c r="E11" s="14"/>
      <c r="F11" s="12"/>
      <c r="G11" s="12"/>
      <c r="H11" s="12"/>
      <c r="I11" s="12"/>
      <c r="J11" s="12"/>
      <c r="K11" s="12"/>
      <c r="L11" s="12"/>
      <c r="M11" s="12"/>
      <c r="N11" s="13"/>
      <c r="O11" s="15"/>
      <c r="P11" s="16"/>
      <c r="Q11" s="16"/>
      <c r="R11" s="16"/>
      <c r="S11" s="15"/>
      <c r="T11" s="15"/>
      <c r="U11" s="15"/>
      <c r="V11" s="15"/>
      <c r="W11" s="15"/>
      <c r="X11" s="15"/>
      <c r="Y11" s="15"/>
      <c r="Z11" s="15"/>
      <c r="AA11" s="17"/>
      <c r="AB11" s="12"/>
      <c r="AC11" s="12"/>
      <c r="AD11" s="12"/>
      <c r="AE11" s="12"/>
      <c r="AF11" s="12"/>
      <c r="AG11" s="18"/>
      <c r="AH11" s="18"/>
      <c r="AI11" s="20"/>
      <c r="AJ11" s="12"/>
      <c r="AK11" s="12"/>
      <c r="AL11" s="12"/>
      <c r="AM11" s="12"/>
      <c r="AN11" s="12"/>
      <c r="AO11" s="12"/>
      <c r="AP11" s="19"/>
      <c r="AQ11" s="163"/>
      <c r="AR11" s="155"/>
      <c r="AS11" s="155"/>
      <c r="AT11" s="155"/>
      <c r="AU11" s="155"/>
    </row>
    <row r="12" spans="1:47" ht="15.75" customHeight="1">
      <c r="A12" s="11"/>
      <c r="B12" s="12"/>
      <c r="C12" s="12"/>
      <c r="D12" s="14"/>
      <c r="E12" s="14"/>
      <c r="F12" s="12"/>
      <c r="G12" s="12"/>
      <c r="H12" s="12"/>
      <c r="I12" s="12"/>
      <c r="J12" s="12"/>
      <c r="K12" s="12"/>
      <c r="L12" s="12"/>
      <c r="M12" s="12"/>
      <c r="N12" s="13"/>
      <c r="O12" s="15"/>
      <c r="P12" s="16"/>
      <c r="Q12" s="16"/>
      <c r="R12" s="16"/>
      <c r="S12" s="15"/>
      <c r="T12" s="15"/>
      <c r="U12" s="15"/>
      <c r="V12" s="15"/>
      <c r="W12" s="15"/>
      <c r="X12" s="15"/>
      <c r="Y12" s="15"/>
      <c r="Z12" s="15"/>
      <c r="AA12" s="17"/>
      <c r="AB12" s="12"/>
      <c r="AC12" s="12"/>
      <c r="AD12" s="12"/>
      <c r="AE12" s="12"/>
      <c r="AF12" s="12"/>
      <c r="AG12" s="18"/>
      <c r="AH12" s="18"/>
      <c r="AI12" s="20"/>
      <c r="AJ12" s="12"/>
      <c r="AK12" s="12"/>
      <c r="AL12" s="12"/>
      <c r="AM12" s="12"/>
      <c r="AN12" s="12"/>
      <c r="AO12" s="12"/>
      <c r="AP12" s="19"/>
      <c r="AQ12" s="163"/>
      <c r="AR12" s="155"/>
      <c r="AS12" s="155"/>
      <c r="AT12" s="155"/>
      <c r="AU12" s="155"/>
    </row>
    <row r="13" spans="1:47" ht="15.75" customHeight="1">
      <c r="A13" s="11"/>
      <c r="B13" s="12"/>
      <c r="C13" s="12"/>
      <c r="D13" s="14"/>
      <c r="E13" s="14"/>
      <c r="F13" s="12"/>
      <c r="G13" s="12"/>
      <c r="H13" s="12"/>
      <c r="I13" s="12"/>
      <c r="J13" s="12"/>
      <c r="K13" s="12"/>
      <c r="L13" s="12"/>
      <c r="M13" s="12"/>
      <c r="N13" s="13"/>
      <c r="O13" s="15"/>
      <c r="P13" s="16"/>
      <c r="Q13" s="16"/>
      <c r="R13" s="16"/>
      <c r="S13" s="15"/>
      <c r="T13" s="15"/>
      <c r="U13" s="15"/>
      <c r="V13" s="15"/>
      <c r="W13" s="15"/>
      <c r="X13" s="15"/>
      <c r="Y13" s="15"/>
      <c r="Z13" s="15"/>
      <c r="AA13" s="17"/>
      <c r="AB13" s="12"/>
      <c r="AC13" s="12"/>
      <c r="AD13" s="12"/>
      <c r="AE13" s="12"/>
      <c r="AF13" s="12"/>
      <c r="AG13" s="18"/>
      <c r="AH13" s="19"/>
      <c r="AI13" s="20"/>
      <c r="AJ13" s="12"/>
      <c r="AK13" s="12"/>
      <c r="AL13" s="12"/>
      <c r="AM13" s="12"/>
      <c r="AN13" s="12"/>
      <c r="AO13" s="12"/>
      <c r="AP13" s="19"/>
      <c r="AQ13" s="163"/>
      <c r="AR13" s="155"/>
      <c r="AS13" s="155"/>
      <c r="AT13" s="155"/>
      <c r="AU13" s="155"/>
    </row>
    <row r="14" spans="1:47" ht="15.75" customHeight="1">
      <c r="A14" s="11"/>
      <c r="B14" s="12"/>
      <c r="C14" s="12"/>
      <c r="D14" s="14"/>
      <c r="E14" s="14"/>
      <c r="F14" s="12"/>
      <c r="G14" s="12"/>
      <c r="H14" s="12"/>
      <c r="I14" s="12"/>
      <c r="J14" s="12"/>
      <c r="K14" s="12"/>
      <c r="L14" s="12"/>
      <c r="M14" s="12"/>
      <c r="N14" s="12"/>
      <c r="O14" s="15"/>
      <c r="P14" s="16"/>
      <c r="Q14" s="16"/>
      <c r="R14" s="16"/>
      <c r="S14" s="15"/>
      <c r="T14" s="15"/>
      <c r="U14" s="15"/>
      <c r="V14" s="15"/>
      <c r="W14" s="15"/>
      <c r="X14" s="15"/>
      <c r="Y14" s="15"/>
      <c r="Z14" s="15"/>
      <c r="AA14" s="17"/>
      <c r="AB14" s="12"/>
      <c r="AC14" s="12"/>
      <c r="AD14" s="12"/>
      <c r="AE14" s="12"/>
      <c r="AF14" s="12"/>
      <c r="AG14" s="18"/>
      <c r="AH14" s="18"/>
      <c r="AI14" s="20"/>
      <c r="AJ14" s="12"/>
      <c r="AK14" s="12"/>
      <c r="AL14" s="12"/>
      <c r="AM14" s="12"/>
      <c r="AN14" s="12"/>
      <c r="AO14" s="12"/>
      <c r="AP14" s="19"/>
      <c r="AQ14" s="163"/>
      <c r="AR14" s="155"/>
      <c r="AS14" s="155"/>
      <c r="AT14" s="155"/>
      <c r="AU14" s="155"/>
    </row>
    <row r="15" spans="1:47" ht="15.75" customHeight="1">
      <c r="A15" s="11"/>
      <c r="B15" s="12"/>
      <c r="C15" s="12"/>
      <c r="D15" s="14"/>
      <c r="E15" s="14"/>
      <c r="F15" s="12"/>
      <c r="G15" s="12"/>
      <c r="H15" s="12"/>
      <c r="I15" s="12"/>
      <c r="J15" s="12"/>
      <c r="K15" s="12"/>
      <c r="L15" s="12"/>
      <c r="M15" s="12"/>
      <c r="N15" s="12"/>
      <c r="O15" s="15"/>
      <c r="P15" s="16"/>
      <c r="Q15" s="16"/>
      <c r="R15" s="16"/>
      <c r="S15" s="15"/>
      <c r="T15" s="15"/>
      <c r="U15" s="15"/>
      <c r="V15" s="15"/>
      <c r="W15" s="15"/>
      <c r="X15" s="15"/>
      <c r="Y15" s="15"/>
      <c r="Z15" s="15"/>
      <c r="AA15" s="17"/>
      <c r="AB15" s="12"/>
      <c r="AC15" s="12"/>
      <c r="AD15" s="12"/>
      <c r="AE15" s="12"/>
      <c r="AF15" s="12"/>
      <c r="AG15" s="18"/>
      <c r="AH15" s="19"/>
      <c r="AI15" s="20"/>
      <c r="AJ15" s="12"/>
      <c r="AK15" s="12"/>
      <c r="AL15" s="12"/>
      <c r="AM15" s="12"/>
      <c r="AN15" s="12"/>
      <c r="AO15" s="12"/>
      <c r="AP15" s="19"/>
      <c r="AQ15" s="163"/>
      <c r="AR15" s="155"/>
      <c r="AS15" s="155"/>
      <c r="AT15" s="155"/>
      <c r="AU15" s="155"/>
    </row>
    <row r="16" spans="1:47" ht="15.75" customHeight="1">
      <c r="A16" s="11"/>
      <c r="B16" s="12"/>
      <c r="C16" s="12"/>
      <c r="D16" s="14"/>
      <c r="E16" s="14"/>
      <c r="F16" s="12"/>
      <c r="G16" s="12"/>
      <c r="H16" s="12"/>
      <c r="I16" s="12"/>
      <c r="J16" s="12"/>
      <c r="K16" s="12"/>
      <c r="L16" s="12"/>
      <c r="M16" s="12"/>
      <c r="N16" s="12"/>
      <c r="O16" s="15"/>
      <c r="P16" s="16"/>
      <c r="Q16" s="16"/>
      <c r="R16" s="16"/>
      <c r="S16" s="15"/>
      <c r="T16" s="15"/>
      <c r="U16" s="15"/>
      <c r="V16" s="15"/>
      <c r="W16" s="15"/>
      <c r="X16" s="15"/>
      <c r="Y16" s="15"/>
      <c r="Z16" s="15"/>
      <c r="AA16" s="17"/>
      <c r="AB16" s="12"/>
      <c r="AC16" s="12"/>
      <c r="AD16" s="12"/>
      <c r="AE16" s="12"/>
      <c r="AF16" s="12"/>
      <c r="AG16" s="18"/>
      <c r="AH16" s="19"/>
      <c r="AI16" s="20"/>
      <c r="AJ16" s="12"/>
      <c r="AK16" s="12"/>
      <c r="AL16" s="12"/>
      <c r="AM16" s="12"/>
      <c r="AN16" s="12"/>
      <c r="AO16" s="12"/>
      <c r="AP16" s="18"/>
      <c r="AQ16" s="163"/>
      <c r="AR16" s="155"/>
      <c r="AS16" s="155"/>
      <c r="AT16" s="155"/>
      <c r="AU16" s="155"/>
    </row>
    <row r="17" spans="1:47" ht="15.75" customHeight="1">
      <c r="A17" s="11"/>
      <c r="B17" s="12"/>
      <c r="C17" s="12"/>
      <c r="D17" s="14"/>
      <c r="E17" s="14"/>
      <c r="F17" s="12"/>
      <c r="G17" s="12"/>
      <c r="H17" s="12"/>
      <c r="I17" s="12"/>
      <c r="J17" s="12"/>
      <c r="K17" s="12"/>
      <c r="L17" s="12"/>
      <c r="M17" s="12"/>
      <c r="N17" s="12"/>
      <c r="O17" s="15"/>
      <c r="P17" s="16"/>
      <c r="Q17" s="16"/>
      <c r="R17" s="16"/>
      <c r="S17" s="15"/>
      <c r="T17" s="15"/>
      <c r="U17" s="15"/>
      <c r="V17" s="15"/>
      <c r="W17" s="15"/>
      <c r="X17" s="15"/>
      <c r="Y17" s="15"/>
      <c r="Z17" s="15"/>
      <c r="AA17" s="17"/>
      <c r="AB17" s="12"/>
      <c r="AC17" s="12"/>
      <c r="AD17" s="12"/>
      <c r="AE17" s="12"/>
      <c r="AF17" s="12"/>
      <c r="AG17" s="18"/>
      <c r="AH17" s="19"/>
      <c r="AI17" s="20"/>
      <c r="AJ17" s="12"/>
      <c r="AK17" s="12"/>
      <c r="AL17" s="12"/>
      <c r="AM17" s="12"/>
      <c r="AN17" s="12"/>
      <c r="AO17" s="12"/>
      <c r="AP17" s="18"/>
      <c r="AQ17" s="163"/>
      <c r="AR17" s="155"/>
      <c r="AS17" s="155"/>
      <c r="AT17" s="155"/>
      <c r="AU17" s="155"/>
    </row>
    <row r="18" spans="1:47" ht="15.75" customHeight="1">
      <c r="A18" s="11"/>
      <c r="B18" s="12"/>
      <c r="C18" s="12"/>
      <c r="D18" s="14"/>
      <c r="E18" s="14"/>
      <c r="F18" s="12"/>
      <c r="G18" s="12"/>
      <c r="H18" s="12"/>
      <c r="I18" s="12"/>
      <c r="J18" s="12"/>
      <c r="K18" s="12"/>
      <c r="L18" s="12"/>
      <c r="M18" s="12"/>
      <c r="N18" s="12"/>
      <c r="O18" s="15"/>
      <c r="P18" s="15"/>
      <c r="Q18" s="15"/>
      <c r="R18" s="15"/>
      <c r="S18" s="15"/>
      <c r="T18" s="16"/>
      <c r="U18" s="16"/>
      <c r="V18" s="16"/>
      <c r="W18" s="15"/>
      <c r="X18" s="15"/>
      <c r="Y18" s="15"/>
      <c r="Z18" s="15"/>
      <c r="AA18" s="17"/>
      <c r="AB18" s="12"/>
      <c r="AC18" s="12"/>
      <c r="AD18" s="12"/>
      <c r="AE18" s="12"/>
      <c r="AF18" s="12"/>
      <c r="AG18" s="18"/>
      <c r="AH18" s="19"/>
      <c r="AI18" s="20"/>
      <c r="AJ18" s="12"/>
      <c r="AK18" s="12"/>
      <c r="AL18" s="12"/>
      <c r="AM18" s="12"/>
      <c r="AN18" s="12"/>
      <c r="AO18" s="12"/>
      <c r="AP18" s="19"/>
      <c r="AQ18" s="163"/>
      <c r="AR18" s="155"/>
      <c r="AS18" s="155"/>
      <c r="AT18" s="155"/>
      <c r="AU18" s="155"/>
    </row>
    <row r="19" spans="1:47" ht="15.75" customHeight="1">
      <c r="A19" s="11"/>
      <c r="B19" s="12"/>
      <c r="C19" s="12"/>
      <c r="D19" s="14"/>
      <c r="E19" s="14"/>
      <c r="F19" s="12"/>
      <c r="G19" s="12"/>
      <c r="H19" s="12"/>
      <c r="I19" s="12"/>
      <c r="J19" s="12"/>
      <c r="K19" s="12"/>
      <c r="L19" s="12"/>
      <c r="M19" s="12"/>
      <c r="N19" s="12"/>
      <c r="O19" s="15"/>
      <c r="P19" s="16"/>
      <c r="Q19" s="16"/>
      <c r="R19" s="16"/>
      <c r="S19" s="15"/>
      <c r="T19" s="15"/>
      <c r="U19" s="15"/>
      <c r="V19" s="15"/>
      <c r="W19" s="15"/>
      <c r="X19" s="15"/>
      <c r="Y19" s="15"/>
      <c r="Z19" s="15"/>
      <c r="AA19" s="17"/>
      <c r="AB19" s="12"/>
      <c r="AC19" s="12"/>
      <c r="AD19" s="12"/>
      <c r="AE19" s="12"/>
      <c r="AF19" s="12"/>
      <c r="AG19" s="18"/>
      <c r="AH19" s="19"/>
      <c r="AI19" s="20"/>
      <c r="AJ19" s="12"/>
      <c r="AK19" s="12"/>
      <c r="AL19" s="12"/>
      <c r="AM19" s="12"/>
      <c r="AN19" s="12"/>
      <c r="AO19" s="12"/>
      <c r="AP19" s="19"/>
      <c r="AQ19" s="163"/>
      <c r="AR19" s="155"/>
      <c r="AS19" s="155"/>
      <c r="AT19" s="155"/>
      <c r="AU19" s="155"/>
    </row>
    <row r="20" spans="1:47" ht="15.75" customHeight="1">
      <c r="A20" s="11"/>
      <c r="B20" s="12"/>
      <c r="C20" s="12"/>
      <c r="D20" s="14"/>
      <c r="E20" s="14"/>
      <c r="F20" s="12"/>
      <c r="G20" s="12"/>
      <c r="H20" s="12"/>
      <c r="I20" s="12"/>
      <c r="J20" s="12"/>
      <c r="K20" s="12"/>
      <c r="L20" s="12"/>
      <c r="M20" s="12"/>
      <c r="N20" s="12"/>
      <c r="O20" s="15"/>
      <c r="P20" s="16"/>
      <c r="Q20" s="16"/>
      <c r="R20" s="16"/>
      <c r="S20" s="15"/>
      <c r="T20" s="15"/>
      <c r="U20" s="15"/>
      <c r="V20" s="15"/>
      <c r="W20" s="15"/>
      <c r="X20" s="15"/>
      <c r="Y20" s="15"/>
      <c r="Z20" s="15"/>
      <c r="AA20" s="17"/>
      <c r="AB20" s="12"/>
      <c r="AC20" s="12"/>
      <c r="AD20" s="12"/>
      <c r="AE20" s="12"/>
      <c r="AF20" s="12"/>
      <c r="AG20" s="18"/>
      <c r="AH20" s="19"/>
      <c r="AI20" s="20"/>
      <c r="AJ20" s="12"/>
      <c r="AK20" s="12"/>
      <c r="AL20" s="12"/>
      <c r="AM20" s="12"/>
      <c r="AN20" s="12"/>
      <c r="AO20" s="12"/>
      <c r="AP20" s="19"/>
      <c r="AQ20" s="163"/>
      <c r="AR20" s="155"/>
      <c r="AS20" s="155"/>
      <c r="AT20" s="155"/>
      <c r="AU20" s="155"/>
    </row>
    <row r="21" spans="1:47" ht="15.75" customHeight="1">
      <c r="A21" s="11"/>
      <c r="B21" s="12"/>
      <c r="C21" s="12"/>
      <c r="D21" s="14"/>
      <c r="E21" s="14"/>
      <c r="F21" s="12"/>
      <c r="G21" s="12"/>
      <c r="H21" s="12"/>
      <c r="I21" s="12"/>
      <c r="J21" s="12"/>
      <c r="K21" s="12"/>
      <c r="L21" s="12"/>
      <c r="M21" s="12"/>
      <c r="N21" s="12"/>
      <c r="O21" s="15"/>
      <c r="P21" s="16"/>
      <c r="Q21" s="16"/>
      <c r="R21" s="16"/>
      <c r="S21" s="15"/>
      <c r="T21" s="15"/>
      <c r="U21" s="15"/>
      <c r="V21" s="15"/>
      <c r="W21" s="15"/>
      <c r="X21" s="15"/>
      <c r="Y21" s="15"/>
      <c r="Z21" s="15"/>
      <c r="AA21" s="17"/>
      <c r="AB21" s="12"/>
      <c r="AC21" s="12"/>
      <c r="AD21" s="12"/>
      <c r="AE21" s="12"/>
      <c r="AF21" s="12"/>
      <c r="AG21" s="18"/>
      <c r="AH21" s="18"/>
      <c r="AI21" s="20"/>
      <c r="AJ21" s="12"/>
      <c r="AK21" s="12"/>
      <c r="AL21" s="12"/>
      <c r="AM21" s="12"/>
      <c r="AN21" s="12"/>
      <c r="AO21" s="12"/>
      <c r="AP21" s="19"/>
      <c r="AQ21" s="163"/>
      <c r="AR21" s="155"/>
      <c r="AS21" s="155"/>
      <c r="AT21" s="155"/>
      <c r="AU21" s="155"/>
    </row>
    <row r="22" spans="1:47" ht="15.75" customHeight="1">
      <c r="A22" s="11"/>
      <c r="B22" s="12"/>
      <c r="C22" s="12"/>
      <c r="D22" s="14"/>
      <c r="E22" s="14"/>
      <c r="F22" s="12"/>
      <c r="G22" s="12"/>
      <c r="H22" s="12"/>
      <c r="I22" s="12"/>
      <c r="J22" s="12"/>
      <c r="K22" s="12"/>
      <c r="L22" s="12"/>
      <c r="M22" s="12"/>
      <c r="N22" s="12"/>
      <c r="O22" s="15"/>
      <c r="P22" s="16"/>
      <c r="Q22" s="16"/>
      <c r="R22" s="16"/>
      <c r="S22" s="15"/>
      <c r="T22" s="15"/>
      <c r="U22" s="15"/>
      <c r="V22" s="15"/>
      <c r="W22" s="15"/>
      <c r="X22" s="15"/>
      <c r="Y22" s="15"/>
      <c r="Z22" s="15"/>
      <c r="AA22" s="17"/>
      <c r="AB22" s="12"/>
      <c r="AC22" s="12"/>
      <c r="AD22" s="12"/>
      <c r="AE22" s="12"/>
      <c r="AF22" s="12"/>
      <c r="AG22" s="18"/>
      <c r="AH22" s="19"/>
      <c r="AI22" s="20"/>
      <c r="AJ22" s="12"/>
      <c r="AK22" s="12"/>
      <c r="AL22" s="12"/>
      <c r="AM22" s="12"/>
      <c r="AN22" s="12"/>
      <c r="AO22" s="12"/>
      <c r="AP22" s="18"/>
      <c r="AQ22" s="163"/>
      <c r="AR22" s="155"/>
      <c r="AS22" s="155"/>
      <c r="AT22" s="155"/>
      <c r="AU22" s="155"/>
    </row>
    <row r="23" spans="1:47" ht="15.75" customHeight="1">
      <c r="A23" s="11"/>
      <c r="B23" s="12"/>
      <c r="C23" s="12"/>
      <c r="D23" s="14"/>
      <c r="E23" s="14"/>
      <c r="F23" s="12"/>
      <c r="G23" s="12"/>
      <c r="H23" s="12"/>
      <c r="I23" s="12"/>
      <c r="J23" s="12"/>
      <c r="K23" s="12"/>
      <c r="L23" s="12"/>
      <c r="M23" s="12"/>
      <c r="N23" s="12"/>
      <c r="O23" s="15"/>
      <c r="P23" s="16"/>
      <c r="Q23" s="16"/>
      <c r="R23" s="16"/>
      <c r="S23" s="15"/>
      <c r="T23" s="15"/>
      <c r="U23" s="15"/>
      <c r="V23" s="15"/>
      <c r="W23" s="15"/>
      <c r="X23" s="15"/>
      <c r="Y23" s="15"/>
      <c r="Z23" s="15"/>
      <c r="AA23" s="17"/>
      <c r="AB23" s="12"/>
      <c r="AC23" s="12"/>
      <c r="AD23" s="12"/>
      <c r="AE23" s="12"/>
      <c r="AF23" s="12"/>
      <c r="AG23" s="18"/>
      <c r="AH23" s="18"/>
      <c r="AI23" s="20"/>
      <c r="AJ23" s="12"/>
      <c r="AK23" s="12"/>
      <c r="AL23" s="12"/>
      <c r="AM23" s="12"/>
      <c r="AN23" s="12"/>
      <c r="AO23" s="12"/>
      <c r="AP23" s="19"/>
      <c r="AQ23" s="163"/>
      <c r="AR23" s="155"/>
      <c r="AS23" s="155"/>
      <c r="AT23" s="155"/>
      <c r="AU23" s="155"/>
    </row>
    <row r="24" spans="1:47" ht="15.75" customHeight="1">
      <c r="A24" s="11"/>
      <c r="B24" s="12"/>
      <c r="C24" s="12"/>
      <c r="D24" s="14"/>
      <c r="E24" s="14"/>
      <c r="F24" s="12"/>
      <c r="G24" s="12"/>
      <c r="H24" s="12"/>
      <c r="I24" s="12"/>
      <c r="J24" s="12"/>
      <c r="K24" s="12"/>
      <c r="L24" s="12"/>
      <c r="M24" s="12"/>
      <c r="N24" s="12"/>
      <c r="O24" s="15"/>
      <c r="P24" s="16"/>
      <c r="Q24" s="16"/>
      <c r="R24" s="16"/>
      <c r="S24" s="15"/>
      <c r="T24" s="15"/>
      <c r="U24" s="15"/>
      <c r="V24" s="15"/>
      <c r="W24" s="15"/>
      <c r="X24" s="15"/>
      <c r="Y24" s="15"/>
      <c r="Z24" s="15"/>
      <c r="AA24" s="17"/>
      <c r="AB24" s="12"/>
      <c r="AC24" s="12"/>
      <c r="AD24" s="12"/>
      <c r="AE24" s="12"/>
      <c r="AF24" s="12"/>
      <c r="AG24" s="18"/>
      <c r="AH24" s="19"/>
      <c r="AI24" s="20"/>
      <c r="AJ24" s="12"/>
      <c r="AK24" s="12"/>
      <c r="AL24" s="12"/>
      <c r="AM24" s="12"/>
      <c r="AN24" s="12"/>
      <c r="AO24" s="12"/>
      <c r="AP24" s="19"/>
      <c r="AQ24" s="163"/>
      <c r="AR24" s="155"/>
      <c r="AS24" s="155"/>
      <c r="AT24" s="155"/>
      <c r="AU24" s="155"/>
    </row>
    <row r="25" spans="1:47" ht="15.75" customHeight="1">
      <c r="A25" s="11"/>
      <c r="B25" s="12"/>
      <c r="C25" s="12"/>
      <c r="D25" s="14"/>
      <c r="E25" s="14"/>
      <c r="F25" s="12"/>
      <c r="G25" s="12"/>
      <c r="H25" s="12"/>
      <c r="I25" s="12"/>
      <c r="J25" s="12"/>
      <c r="K25" s="12"/>
      <c r="L25" s="12"/>
      <c r="M25" s="12"/>
      <c r="N25" s="12"/>
      <c r="O25" s="15"/>
      <c r="P25" s="16"/>
      <c r="Q25" s="16"/>
      <c r="R25" s="16"/>
      <c r="S25" s="15"/>
      <c r="T25" s="15"/>
      <c r="U25" s="15"/>
      <c r="V25" s="15"/>
      <c r="W25" s="15"/>
      <c r="X25" s="15"/>
      <c r="Y25" s="15"/>
      <c r="Z25" s="15"/>
      <c r="AA25" s="17"/>
      <c r="AB25" s="12"/>
      <c r="AC25" s="12"/>
      <c r="AD25" s="12"/>
      <c r="AE25" s="12"/>
      <c r="AF25" s="12"/>
      <c r="AG25" s="18"/>
      <c r="AH25" s="19"/>
      <c r="AI25" s="20"/>
      <c r="AJ25" s="12"/>
      <c r="AK25" s="12"/>
      <c r="AL25" s="12"/>
      <c r="AM25" s="12"/>
      <c r="AN25" s="12"/>
      <c r="AO25" s="12"/>
      <c r="AP25" s="19"/>
      <c r="AQ25" s="163"/>
      <c r="AR25" s="155"/>
      <c r="AS25" s="155"/>
      <c r="AT25" s="155"/>
      <c r="AU25" s="155"/>
    </row>
    <row r="26" spans="1:47" ht="15.75" customHeight="1">
      <c r="A26" s="11"/>
      <c r="B26" s="12"/>
      <c r="C26" s="12"/>
      <c r="D26" s="14"/>
      <c r="E26" s="14"/>
      <c r="F26" s="12"/>
      <c r="G26" s="12"/>
      <c r="H26" s="12"/>
      <c r="I26" s="12"/>
      <c r="J26" s="12"/>
      <c r="K26" s="12"/>
      <c r="L26" s="12"/>
      <c r="M26" s="12"/>
      <c r="N26" s="12"/>
      <c r="O26" s="15"/>
      <c r="P26" s="16"/>
      <c r="Q26" s="16"/>
      <c r="R26" s="16"/>
      <c r="S26" s="15"/>
      <c r="T26" s="15"/>
      <c r="U26" s="15"/>
      <c r="V26" s="15"/>
      <c r="W26" s="15"/>
      <c r="X26" s="15"/>
      <c r="Y26" s="15"/>
      <c r="Z26" s="15"/>
      <c r="AA26" s="17"/>
      <c r="AB26" s="12"/>
      <c r="AC26" s="12"/>
      <c r="AD26" s="12"/>
      <c r="AE26" s="12"/>
      <c r="AF26" s="12"/>
      <c r="AG26" s="18"/>
      <c r="AH26" s="18"/>
      <c r="AI26" s="20"/>
      <c r="AJ26" s="12"/>
      <c r="AK26" s="12"/>
      <c r="AL26" s="12"/>
      <c r="AM26" s="12"/>
      <c r="AN26" s="12"/>
      <c r="AO26" s="12"/>
      <c r="AP26" s="19"/>
      <c r="AQ26" s="163"/>
      <c r="AR26" s="155"/>
      <c r="AS26" s="155"/>
      <c r="AT26" s="155"/>
      <c r="AU26" s="155"/>
    </row>
    <row r="27" spans="1:47" ht="15.75" customHeight="1">
      <c r="A27" s="11"/>
      <c r="B27" s="12"/>
      <c r="C27" s="12"/>
      <c r="D27" s="14"/>
      <c r="E27" s="14"/>
      <c r="F27" s="12"/>
      <c r="G27" s="12"/>
      <c r="H27" s="12"/>
      <c r="I27" s="12"/>
      <c r="J27" s="12"/>
      <c r="K27" s="12"/>
      <c r="L27" s="12"/>
      <c r="M27" s="12"/>
      <c r="N27" s="12"/>
      <c r="O27" s="15"/>
      <c r="P27" s="16"/>
      <c r="Q27" s="16"/>
      <c r="R27" s="16"/>
      <c r="S27" s="15"/>
      <c r="T27" s="15"/>
      <c r="U27" s="15"/>
      <c r="V27" s="15"/>
      <c r="W27" s="15"/>
      <c r="X27" s="15"/>
      <c r="Y27" s="15"/>
      <c r="Z27" s="15"/>
      <c r="AA27" s="17"/>
      <c r="AB27" s="12"/>
      <c r="AC27" s="12"/>
      <c r="AD27" s="12"/>
      <c r="AE27" s="12"/>
      <c r="AF27" s="12"/>
      <c r="AG27" s="18"/>
      <c r="AH27" s="19"/>
      <c r="AI27" s="20"/>
      <c r="AJ27" s="12"/>
      <c r="AK27" s="12"/>
      <c r="AL27" s="12"/>
      <c r="AM27" s="12"/>
      <c r="AN27" s="12"/>
      <c r="AO27" s="12"/>
      <c r="AP27" s="18"/>
      <c r="AQ27" s="163"/>
      <c r="AR27" s="155"/>
      <c r="AS27" s="155"/>
      <c r="AT27" s="155"/>
      <c r="AU27" s="155"/>
    </row>
    <row r="28" spans="1:47" ht="15.75" customHeight="1">
      <c r="A28" s="11"/>
      <c r="B28" s="12"/>
      <c r="C28" s="12"/>
      <c r="D28" s="14"/>
      <c r="E28" s="14"/>
      <c r="F28" s="12"/>
      <c r="G28" s="12"/>
      <c r="H28" s="12"/>
      <c r="I28" s="12"/>
      <c r="J28" s="12"/>
      <c r="K28" s="12"/>
      <c r="L28" s="12"/>
      <c r="M28" s="12"/>
      <c r="N28" s="12"/>
      <c r="O28" s="15"/>
      <c r="P28" s="16"/>
      <c r="Q28" s="16"/>
      <c r="R28" s="16"/>
      <c r="S28" s="15"/>
      <c r="T28" s="15"/>
      <c r="U28" s="15"/>
      <c r="V28" s="15"/>
      <c r="W28" s="15"/>
      <c r="X28" s="15"/>
      <c r="Y28" s="15"/>
      <c r="Z28" s="15"/>
      <c r="AA28" s="17"/>
      <c r="AB28" s="12"/>
      <c r="AC28" s="12"/>
      <c r="AD28" s="12"/>
      <c r="AE28" s="12"/>
      <c r="AF28" s="12"/>
      <c r="AG28" s="18"/>
      <c r="AH28" s="19"/>
      <c r="AI28" s="20"/>
      <c r="AJ28" s="12"/>
      <c r="AK28" s="12"/>
      <c r="AL28" s="12"/>
      <c r="AM28" s="12"/>
      <c r="AN28" s="12"/>
      <c r="AO28" s="12"/>
      <c r="AP28" s="18"/>
      <c r="AQ28" s="163"/>
      <c r="AR28" s="155"/>
      <c r="AS28" s="155"/>
      <c r="AT28" s="155"/>
      <c r="AU28" s="155"/>
    </row>
    <row r="29" spans="1:47" ht="15.75" customHeight="1">
      <c r="A29" s="11"/>
      <c r="B29" s="12"/>
      <c r="C29" s="12"/>
      <c r="D29" s="14"/>
      <c r="E29" s="14"/>
      <c r="F29" s="12"/>
      <c r="G29" s="12"/>
      <c r="H29" s="12"/>
      <c r="I29" s="12"/>
      <c r="J29" s="12"/>
      <c r="K29" s="12"/>
      <c r="L29" s="12"/>
      <c r="M29" s="12"/>
      <c r="N29" s="12"/>
      <c r="O29" s="15"/>
      <c r="P29" s="16"/>
      <c r="Q29" s="16"/>
      <c r="R29" s="16"/>
      <c r="S29" s="15"/>
      <c r="T29" s="15"/>
      <c r="U29" s="15"/>
      <c r="V29" s="15"/>
      <c r="W29" s="15"/>
      <c r="X29" s="15"/>
      <c r="Y29" s="15"/>
      <c r="Z29" s="15"/>
      <c r="AA29" s="17"/>
      <c r="AB29" s="12"/>
      <c r="AC29" s="12"/>
      <c r="AD29" s="12"/>
      <c r="AE29" s="12"/>
      <c r="AF29" s="12"/>
      <c r="AG29" s="18"/>
      <c r="AH29" s="18"/>
      <c r="AI29" s="20"/>
      <c r="AJ29" s="12"/>
      <c r="AK29" s="12"/>
      <c r="AL29" s="12"/>
      <c r="AM29" s="12"/>
      <c r="AN29" s="12"/>
      <c r="AO29" s="12"/>
      <c r="AP29" s="19"/>
      <c r="AQ29" s="163"/>
      <c r="AR29" s="155"/>
      <c r="AS29" s="155"/>
      <c r="AT29" s="155"/>
      <c r="AU29" s="155"/>
    </row>
    <row r="30" spans="1:47" ht="15.75" customHeight="1">
      <c r="A30" s="11"/>
      <c r="B30" s="12"/>
      <c r="C30" s="12"/>
      <c r="D30" s="14"/>
      <c r="E30" s="14"/>
      <c r="F30" s="12"/>
      <c r="G30" s="12"/>
      <c r="H30" s="12"/>
      <c r="I30" s="12"/>
      <c r="J30" s="12"/>
      <c r="K30" s="12"/>
      <c r="L30" s="12"/>
      <c r="M30" s="12"/>
      <c r="N30" s="12"/>
      <c r="O30" s="15"/>
      <c r="P30" s="16"/>
      <c r="Q30" s="16"/>
      <c r="R30" s="16"/>
      <c r="S30" s="15"/>
      <c r="T30" s="15"/>
      <c r="U30" s="15"/>
      <c r="V30" s="15"/>
      <c r="W30" s="15"/>
      <c r="X30" s="15"/>
      <c r="Y30" s="15"/>
      <c r="Z30" s="15"/>
      <c r="AA30" s="17"/>
      <c r="AB30" s="12"/>
      <c r="AC30" s="12"/>
      <c r="AD30" s="12"/>
      <c r="AE30" s="12"/>
      <c r="AF30" s="12"/>
      <c r="AG30" s="18"/>
      <c r="AH30" s="18"/>
      <c r="AI30" s="20"/>
      <c r="AJ30" s="12"/>
      <c r="AK30" s="12"/>
      <c r="AL30" s="12"/>
      <c r="AM30" s="12"/>
      <c r="AN30" s="12"/>
      <c r="AO30" s="12"/>
      <c r="AP30" s="18"/>
      <c r="AQ30" s="163"/>
      <c r="AR30" s="155"/>
      <c r="AS30" s="155"/>
      <c r="AT30" s="155"/>
      <c r="AU30" s="155"/>
    </row>
    <row r="31" spans="1:47" ht="15.75" customHeight="1">
      <c r="A31" s="11"/>
      <c r="B31" s="12"/>
      <c r="C31" s="12"/>
      <c r="D31" s="14"/>
      <c r="E31" s="14"/>
      <c r="F31" s="12"/>
      <c r="G31" s="12"/>
      <c r="H31" s="12"/>
      <c r="I31" s="12"/>
      <c r="J31" s="12"/>
      <c r="K31" s="12"/>
      <c r="L31" s="12"/>
      <c r="M31" s="12"/>
      <c r="N31" s="12"/>
      <c r="O31" s="15"/>
      <c r="P31" s="16"/>
      <c r="Q31" s="16"/>
      <c r="R31" s="16"/>
      <c r="S31" s="15"/>
      <c r="T31" s="15"/>
      <c r="U31" s="15"/>
      <c r="V31" s="15"/>
      <c r="W31" s="15"/>
      <c r="X31" s="15"/>
      <c r="Y31" s="15"/>
      <c r="Z31" s="15"/>
      <c r="AA31" s="17"/>
      <c r="AB31" s="12"/>
      <c r="AC31" s="12"/>
      <c r="AD31" s="12"/>
      <c r="AE31" s="12"/>
      <c r="AF31" s="12"/>
      <c r="AG31" s="18"/>
      <c r="AH31" s="19"/>
      <c r="AI31" s="20"/>
      <c r="AJ31" s="12"/>
      <c r="AK31" s="12"/>
      <c r="AL31" s="12"/>
      <c r="AM31" s="12"/>
      <c r="AN31" s="12"/>
      <c r="AO31" s="12"/>
      <c r="AP31" s="18"/>
      <c r="AQ31" s="163"/>
      <c r="AR31" s="155"/>
      <c r="AS31" s="155"/>
      <c r="AT31" s="155"/>
      <c r="AU31" s="155"/>
    </row>
    <row r="32" spans="1:47" ht="15.75" customHeight="1">
      <c r="A32" s="11"/>
      <c r="B32" s="12"/>
      <c r="C32" s="12"/>
      <c r="D32" s="14"/>
      <c r="E32" s="14"/>
      <c r="F32" s="12"/>
      <c r="G32" s="12"/>
      <c r="H32" s="12"/>
      <c r="I32" s="12"/>
      <c r="J32" s="12"/>
      <c r="K32" s="12"/>
      <c r="L32" s="12"/>
      <c r="M32" s="12"/>
      <c r="N32" s="12"/>
      <c r="O32" s="15"/>
      <c r="P32" s="16"/>
      <c r="Q32" s="16"/>
      <c r="R32" s="16"/>
      <c r="S32" s="15"/>
      <c r="T32" s="15"/>
      <c r="U32" s="15"/>
      <c r="V32" s="15"/>
      <c r="W32" s="15"/>
      <c r="X32" s="15"/>
      <c r="Y32" s="15"/>
      <c r="Z32" s="15"/>
      <c r="AA32" s="17"/>
      <c r="AB32" s="12"/>
      <c r="AC32" s="12"/>
      <c r="AD32" s="12"/>
      <c r="AE32" s="12"/>
      <c r="AF32" s="12"/>
      <c r="AG32" s="18"/>
      <c r="AH32" s="19"/>
      <c r="AI32" s="20"/>
      <c r="AJ32" s="12"/>
      <c r="AK32" s="12"/>
      <c r="AL32" s="12"/>
      <c r="AM32" s="12"/>
      <c r="AN32" s="12"/>
      <c r="AO32" s="12"/>
      <c r="AP32" s="19"/>
      <c r="AQ32" s="163"/>
      <c r="AR32" s="155"/>
      <c r="AS32" s="155"/>
      <c r="AT32" s="155"/>
      <c r="AU32" s="155"/>
    </row>
    <row r="33" spans="1:47" ht="15.75" customHeight="1">
      <c r="A33" s="11"/>
      <c r="B33" s="12"/>
      <c r="C33" s="12"/>
      <c r="D33" s="14"/>
      <c r="E33" s="14"/>
      <c r="F33" s="12"/>
      <c r="G33" s="12"/>
      <c r="H33" s="12"/>
      <c r="I33" s="12"/>
      <c r="J33" s="12"/>
      <c r="K33" s="12"/>
      <c r="L33" s="12"/>
      <c r="M33" s="12"/>
      <c r="N33" s="12"/>
      <c r="O33" s="15"/>
      <c r="P33" s="16"/>
      <c r="Q33" s="16"/>
      <c r="R33" s="16"/>
      <c r="S33" s="15"/>
      <c r="T33" s="15"/>
      <c r="U33" s="15"/>
      <c r="V33" s="15"/>
      <c r="W33" s="15"/>
      <c r="X33" s="15"/>
      <c r="Y33" s="15"/>
      <c r="Z33" s="15"/>
      <c r="AA33" s="17"/>
      <c r="AB33" s="12"/>
      <c r="AC33" s="12"/>
      <c r="AD33" s="12"/>
      <c r="AE33" s="12"/>
      <c r="AF33" s="12"/>
      <c r="AG33" s="18"/>
      <c r="AH33" s="19"/>
      <c r="AI33" s="20"/>
      <c r="AJ33" s="12"/>
      <c r="AK33" s="12"/>
      <c r="AL33" s="12"/>
      <c r="AM33" s="12"/>
      <c r="AN33" s="12"/>
      <c r="AO33" s="12"/>
      <c r="AP33" s="18"/>
      <c r="AQ33" s="163"/>
      <c r="AR33" s="155"/>
      <c r="AS33" s="155"/>
      <c r="AT33" s="155"/>
      <c r="AU33" s="155"/>
    </row>
    <row r="34" spans="1:47" ht="15.75" customHeight="1">
      <c r="A34" s="11"/>
      <c r="B34" s="12"/>
      <c r="C34" s="12"/>
      <c r="D34" s="14"/>
      <c r="E34" s="14"/>
      <c r="F34" s="12"/>
      <c r="G34" s="12"/>
      <c r="H34" s="12"/>
      <c r="I34" s="12"/>
      <c r="J34" s="12"/>
      <c r="K34" s="12"/>
      <c r="L34" s="12"/>
      <c r="M34" s="12"/>
      <c r="N34" s="12"/>
      <c r="O34" s="15"/>
      <c r="P34" s="16"/>
      <c r="Q34" s="16"/>
      <c r="R34" s="16"/>
      <c r="S34" s="15"/>
      <c r="T34" s="15"/>
      <c r="U34" s="15"/>
      <c r="V34" s="15"/>
      <c r="W34" s="15"/>
      <c r="X34" s="15"/>
      <c r="Y34" s="15"/>
      <c r="Z34" s="15"/>
      <c r="AA34" s="17"/>
      <c r="AB34" s="12"/>
      <c r="AC34" s="12"/>
      <c r="AD34" s="12"/>
      <c r="AE34" s="12"/>
      <c r="AF34" s="12"/>
      <c r="AG34" s="18"/>
      <c r="AH34" s="18"/>
      <c r="AI34" s="20"/>
      <c r="AJ34" s="12"/>
      <c r="AK34" s="12"/>
      <c r="AL34" s="12"/>
      <c r="AM34" s="12"/>
      <c r="AN34" s="12"/>
      <c r="AO34" s="12"/>
      <c r="AP34" s="19"/>
      <c r="AQ34" s="163"/>
      <c r="AR34" s="155"/>
      <c r="AS34" s="155"/>
      <c r="AT34" s="155"/>
      <c r="AU34" s="155"/>
    </row>
    <row r="35" spans="1:47" ht="15.75" customHeight="1">
      <c r="A35" s="11"/>
      <c r="B35" s="12"/>
      <c r="C35" s="12"/>
      <c r="D35" s="14"/>
      <c r="E35" s="14"/>
      <c r="F35" s="12"/>
      <c r="G35" s="12"/>
      <c r="H35" s="12"/>
      <c r="I35" s="12"/>
      <c r="J35" s="12"/>
      <c r="K35" s="12"/>
      <c r="L35" s="12"/>
      <c r="M35" s="12"/>
      <c r="N35" s="12"/>
      <c r="O35" s="15"/>
      <c r="P35" s="16"/>
      <c r="Q35" s="16"/>
      <c r="R35" s="16"/>
      <c r="S35" s="15"/>
      <c r="T35" s="15"/>
      <c r="U35" s="15"/>
      <c r="V35" s="15"/>
      <c r="W35" s="15"/>
      <c r="X35" s="15"/>
      <c r="Y35" s="15"/>
      <c r="Z35" s="15"/>
      <c r="AA35" s="17"/>
      <c r="AB35" s="12"/>
      <c r="AC35" s="12"/>
      <c r="AD35" s="12"/>
      <c r="AE35" s="12"/>
      <c r="AF35" s="12"/>
      <c r="AG35" s="18"/>
      <c r="AH35" s="18"/>
      <c r="AI35" s="20"/>
      <c r="AJ35" s="12"/>
      <c r="AK35" s="12"/>
      <c r="AL35" s="12"/>
      <c r="AM35" s="12"/>
      <c r="AN35" s="12"/>
      <c r="AO35" s="12"/>
      <c r="AP35" s="18"/>
      <c r="AQ35" s="163"/>
      <c r="AR35" s="155"/>
      <c r="AS35" s="155"/>
      <c r="AT35" s="155"/>
      <c r="AU35" s="155"/>
    </row>
    <row r="36" spans="1:47" ht="15.75" customHeight="1">
      <c r="A36" s="11"/>
      <c r="B36" s="12"/>
      <c r="C36" s="12"/>
      <c r="D36" s="14"/>
      <c r="E36" s="14"/>
      <c r="F36" s="12"/>
      <c r="G36" s="12"/>
      <c r="H36" s="12"/>
      <c r="I36" s="12"/>
      <c r="J36" s="12"/>
      <c r="K36" s="12"/>
      <c r="L36" s="12"/>
      <c r="M36" s="12"/>
      <c r="N36" s="12"/>
      <c r="O36" s="15"/>
      <c r="P36" s="16"/>
      <c r="Q36" s="16"/>
      <c r="R36" s="16"/>
      <c r="S36" s="15"/>
      <c r="T36" s="15"/>
      <c r="U36" s="15"/>
      <c r="V36" s="15"/>
      <c r="W36" s="15"/>
      <c r="X36" s="15"/>
      <c r="Y36" s="15"/>
      <c r="Z36" s="15"/>
      <c r="AA36" s="17"/>
      <c r="AB36" s="12"/>
      <c r="AC36" s="12"/>
      <c r="AD36" s="12"/>
      <c r="AE36" s="12"/>
      <c r="AF36" s="12"/>
      <c r="AG36" s="18"/>
      <c r="AH36" s="18"/>
      <c r="AI36" s="20"/>
      <c r="AJ36" s="12"/>
      <c r="AK36" s="12"/>
      <c r="AL36" s="12"/>
      <c r="AM36" s="12"/>
      <c r="AN36" s="12"/>
      <c r="AO36" s="12"/>
      <c r="AP36" s="19"/>
      <c r="AQ36" s="163"/>
      <c r="AR36" s="155"/>
      <c r="AS36" s="155"/>
      <c r="AT36" s="155"/>
      <c r="AU36" s="155"/>
    </row>
    <row r="37" spans="1:47" ht="15.75" customHeight="1">
      <c r="A37" s="11"/>
      <c r="B37" s="12"/>
      <c r="C37" s="12"/>
      <c r="D37" s="14"/>
      <c r="E37" s="14"/>
      <c r="F37" s="12"/>
      <c r="G37" s="12"/>
      <c r="H37" s="12"/>
      <c r="I37" s="12"/>
      <c r="J37" s="12"/>
      <c r="K37" s="12"/>
      <c r="L37" s="12"/>
      <c r="M37" s="12"/>
      <c r="N37" s="12"/>
      <c r="O37" s="15"/>
      <c r="P37" s="16"/>
      <c r="Q37" s="16"/>
      <c r="R37" s="16"/>
      <c r="S37" s="15"/>
      <c r="T37" s="15"/>
      <c r="U37" s="15"/>
      <c r="V37" s="15"/>
      <c r="W37" s="15"/>
      <c r="X37" s="15"/>
      <c r="Y37" s="15"/>
      <c r="Z37" s="15"/>
      <c r="AA37" s="17"/>
      <c r="AB37" s="12"/>
      <c r="AC37" s="12"/>
      <c r="AD37" s="12"/>
      <c r="AE37" s="12"/>
      <c r="AF37" s="12"/>
      <c r="AG37" s="18"/>
      <c r="AH37" s="18"/>
      <c r="AI37" s="20"/>
      <c r="AJ37" s="12"/>
      <c r="AK37" s="12"/>
      <c r="AL37" s="12"/>
      <c r="AM37" s="12"/>
      <c r="AN37" s="12"/>
      <c r="AO37" s="12"/>
      <c r="AP37" s="19"/>
      <c r="AQ37" s="163"/>
      <c r="AR37" s="155"/>
      <c r="AS37" s="155"/>
      <c r="AT37" s="155"/>
      <c r="AU37" s="155"/>
    </row>
    <row r="38" spans="1:47" ht="15.75" customHeight="1">
      <c r="A38" s="11"/>
      <c r="B38" s="12"/>
      <c r="C38" s="12"/>
      <c r="D38" s="14"/>
      <c r="E38" s="14"/>
      <c r="F38" s="12"/>
      <c r="G38" s="12"/>
      <c r="H38" s="12"/>
      <c r="I38" s="12"/>
      <c r="J38" s="12"/>
      <c r="K38" s="12"/>
      <c r="L38" s="12"/>
      <c r="M38" s="12"/>
      <c r="N38" s="12"/>
      <c r="O38" s="15"/>
      <c r="P38" s="15"/>
      <c r="Q38" s="15"/>
      <c r="R38" s="15"/>
      <c r="S38" s="15"/>
      <c r="T38" s="15"/>
      <c r="U38" s="15"/>
      <c r="V38" s="15"/>
      <c r="W38" s="15"/>
      <c r="X38" s="15"/>
      <c r="Y38" s="15"/>
      <c r="Z38" s="15"/>
      <c r="AA38" s="17"/>
      <c r="AB38" s="12"/>
      <c r="AC38" s="12"/>
      <c r="AD38" s="12"/>
      <c r="AE38" s="12"/>
      <c r="AF38" s="12"/>
      <c r="AG38" s="18"/>
      <c r="AH38" s="19"/>
      <c r="AI38" s="20"/>
      <c r="AJ38" s="12"/>
      <c r="AK38" s="12"/>
      <c r="AL38" s="12"/>
      <c r="AM38" s="12"/>
      <c r="AN38" s="12"/>
      <c r="AO38" s="12"/>
      <c r="AP38" s="18"/>
      <c r="AQ38" s="163"/>
      <c r="AR38" s="155"/>
      <c r="AS38" s="155"/>
      <c r="AT38" s="155"/>
      <c r="AU38" s="155"/>
    </row>
    <row r="39" spans="1:47" ht="15.75" customHeight="1">
      <c r="A39" s="11"/>
      <c r="B39" s="12"/>
      <c r="C39" s="12"/>
      <c r="D39" s="14"/>
      <c r="E39" s="14"/>
      <c r="F39" s="12"/>
      <c r="G39" s="12"/>
      <c r="H39" s="12"/>
      <c r="I39" s="12"/>
      <c r="J39" s="12"/>
      <c r="K39" s="12"/>
      <c r="L39" s="12"/>
      <c r="M39" s="12"/>
      <c r="N39" s="12"/>
      <c r="O39" s="15"/>
      <c r="P39" s="16"/>
      <c r="Q39" s="16"/>
      <c r="R39" s="16"/>
      <c r="S39" s="15"/>
      <c r="T39" s="15"/>
      <c r="U39" s="15"/>
      <c r="V39" s="15"/>
      <c r="W39" s="15"/>
      <c r="X39" s="15"/>
      <c r="Y39" s="15"/>
      <c r="Z39" s="15"/>
      <c r="AA39" s="17"/>
      <c r="AB39" s="12"/>
      <c r="AC39" s="12"/>
      <c r="AD39" s="12"/>
      <c r="AE39" s="12"/>
      <c r="AF39" s="12"/>
      <c r="AG39" s="18"/>
      <c r="AH39" s="19"/>
      <c r="AI39" s="20"/>
      <c r="AJ39" s="12"/>
      <c r="AK39" s="12"/>
      <c r="AL39" s="12"/>
      <c r="AM39" s="12"/>
      <c r="AN39" s="12"/>
      <c r="AO39" s="12"/>
      <c r="AP39" s="18"/>
      <c r="AQ39" s="163"/>
      <c r="AR39" s="155"/>
      <c r="AS39" s="155"/>
      <c r="AT39" s="155"/>
      <c r="AU39" s="155"/>
    </row>
    <row r="40" spans="1:47" ht="15.75" customHeight="1">
      <c r="A40" s="11"/>
      <c r="B40" s="12"/>
      <c r="C40" s="12"/>
      <c r="D40" s="14"/>
      <c r="E40" s="14"/>
      <c r="F40" s="12"/>
      <c r="G40" s="12"/>
      <c r="H40" s="12"/>
      <c r="I40" s="12"/>
      <c r="J40" s="12"/>
      <c r="K40" s="12"/>
      <c r="L40" s="12"/>
      <c r="M40" s="12"/>
      <c r="N40" s="12"/>
      <c r="O40" s="15"/>
      <c r="P40" s="16"/>
      <c r="Q40" s="16"/>
      <c r="R40" s="16"/>
      <c r="S40" s="15"/>
      <c r="T40" s="15"/>
      <c r="U40" s="15"/>
      <c r="V40" s="15"/>
      <c r="W40" s="15"/>
      <c r="X40" s="15"/>
      <c r="Y40" s="15"/>
      <c r="Z40" s="15"/>
      <c r="AA40" s="17"/>
      <c r="AB40" s="12"/>
      <c r="AC40" s="12"/>
      <c r="AD40" s="12"/>
      <c r="AE40" s="12"/>
      <c r="AF40" s="12"/>
      <c r="AG40" s="18"/>
      <c r="AH40" s="19"/>
      <c r="AI40" s="20"/>
      <c r="AJ40" s="12"/>
      <c r="AK40" s="12"/>
      <c r="AL40" s="12"/>
      <c r="AM40" s="12"/>
      <c r="AN40" s="12"/>
      <c r="AO40" s="12"/>
      <c r="AP40" s="19"/>
      <c r="AQ40" s="163"/>
      <c r="AR40" s="155"/>
      <c r="AS40" s="155"/>
      <c r="AT40" s="155"/>
      <c r="AU40" s="155"/>
    </row>
    <row r="41" spans="1:47" ht="15.75" customHeight="1">
      <c r="A41" s="11"/>
      <c r="B41" s="12"/>
      <c r="C41" s="12"/>
      <c r="D41" s="14"/>
      <c r="E41" s="14"/>
      <c r="F41" s="12"/>
      <c r="G41" s="12"/>
      <c r="H41" s="12"/>
      <c r="I41" s="12"/>
      <c r="J41" s="12"/>
      <c r="K41" s="12"/>
      <c r="L41" s="12"/>
      <c r="M41" s="12"/>
      <c r="N41" s="12"/>
      <c r="O41" s="15"/>
      <c r="P41" s="16"/>
      <c r="Q41" s="16"/>
      <c r="R41" s="16"/>
      <c r="S41" s="15"/>
      <c r="T41" s="15"/>
      <c r="U41" s="15"/>
      <c r="V41" s="15"/>
      <c r="W41" s="15"/>
      <c r="X41" s="15"/>
      <c r="Y41" s="15"/>
      <c r="Z41" s="15"/>
      <c r="AA41" s="17"/>
      <c r="AB41" s="12"/>
      <c r="AC41" s="12"/>
      <c r="AD41" s="12"/>
      <c r="AE41" s="12"/>
      <c r="AF41" s="12"/>
      <c r="AG41" s="18"/>
      <c r="AH41" s="19"/>
      <c r="AI41" s="20"/>
      <c r="AJ41" s="12"/>
      <c r="AK41" s="12"/>
      <c r="AL41" s="12"/>
      <c r="AM41" s="12"/>
      <c r="AN41" s="12"/>
      <c r="AO41" s="12"/>
      <c r="AP41" s="19"/>
      <c r="AQ41" s="163"/>
      <c r="AR41" s="155"/>
      <c r="AS41" s="155"/>
      <c r="AT41" s="155"/>
      <c r="AU41" s="155"/>
    </row>
    <row r="42" spans="1:47" ht="15.75" customHeight="1">
      <c r="A42" s="11"/>
      <c r="B42" s="12"/>
      <c r="C42" s="12"/>
      <c r="D42" s="14"/>
      <c r="E42" s="14"/>
      <c r="F42" s="12"/>
      <c r="G42" s="12"/>
      <c r="H42" s="12"/>
      <c r="I42" s="12"/>
      <c r="J42" s="12"/>
      <c r="K42" s="12"/>
      <c r="L42" s="12"/>
      <c r="M42" s="12"/>
      <c r="N42" s="12"/>
      <c r="O42" s="15"/>
      <c r="P42" s="16"/>
      <c r="Q42" s="16"/>
      <c r="R42" s="16"/>
      <c r="S42" s="15"/>
      <c r="T42" s="15"/>
      <c r="U42" s="15"/>
      <c r="V42" s="15"/>
      <c r="W42" s="15"/>
      <c r="X42" s="15"/>
      <c r="Y42" s="15"/>
      <c r="Z42" s="15"/>
      <c r="AA42" s="17"/>
      <c r="AB42" s="12"/>
      <c r="AC42" s="12"/>
      <c r="AD42" s="12"/>
      <c r="AE42" s="12"/>
      <c r="AF42" s="12"/>
      <c r="AG42" s="18"/>
      <c r="AH42" s="18"/>
      <c r="AI42" s="20"/>
      <c r="AJ42" s="12"/>
      <c r="AK42" s="12"/>
      <c r="AL42" s="12"/>
      <c r="AM42" s="12"/>
      <c r="AN42" s="12"/>
      <c r="AO42" s="12"/>
      <c r="AP42" s="19"/>
      <c r="AQ42" s="163"/>
      <c r="AR42" s="155"/>
      <c r="AS42" s="155"/>
      <c r="AT42" s="155"/>
      <c r="AU42" s="155"/>
    </row>
    <row r="43" spans="1:47" ht="15.75" customHeight="1">
      <c r="A43" s="11"/>
      <c r="B43" s="12"/>
      <c r="C43" s="12"/>
      <c r="D43" s="14"/>
      <c r="E43" s="14"/>
      <c r="F43" s="12"/>
      <c r="G43" s="12"/>
      <c r="H43" s="12"/>
      <c r="I43" s="12"/>
      <c r="J43" s="12"/>
      <c r="K43" s="12"/>
      <c r="L43" s="12"/>
      <c r="M43" s="12"/>
      <c r="N43" s="12"/>
      <c r="O43" s="15"/>
      <c r="P43" s="16"/>
      <c r="Q43" s="16"/>
      <c r="R43" s="16"/>
      <c r="S43" s="15"/>
      <c r="T43" s="15"/>
      <c r="U43" s="15"/>
      <c r="V43" s="15"/>
      <c r="W43" s="15"/>
      <c r="X43" s="15"/>
      <c r="Y43" s="15"/>
      <c r="Z43" s="15"/>
      <c r="AA43" s="17"/>
      <c r="AB43" s="12"/>
      <c r="AC43" s="12"/>
      <c r="AD43" s="12"/>
      <c r="AE43" s="12"/>
      <c r="AF43" s="12"/>
      <c r="AG43" s="18"/>
      <c r="AH43" s="18"/>
      <c r="AI43" s="20"/>
      <c r="AJ43" s="12"/>
      <c r="AK43" s="12"/>
      <c r="AL43" s="12"/>
      <c r="AM43" s="12"/>
      <c r="AN43" s="12"/>
      <c r="AO43" s="12"/>
      <c r="AP43" s="19"/>
      <c r="AQ43" s="163"/>
      <c r="AR43" s="155"/>
      <c r="AS43" s="155"/>
      <c r="AT43" s="155"/>
      <c r="AU43" s="155"/>
    </row>
    <row r="44" spans="1:47" ht="15.75" customHeight="1">
      <c r="A44" s="11"/>
      <c r="B44" s="12"/>
      <c r="C44" s="12"/>
      <c r="D44" s="14"/>
      <c r="E44" s="14"/>
      <c r="F44" s="12"/>
      <c r="G44" s="12"/>
      <c r="H44" s="12"/>
      <c r="I44" s="12"/>
      <c r="J44" s="12"/>
      <c r="K44" s="12"/>
      <c r="L44" s="12"/>
      <c r="M44" s="12"/>
      <c r="N44" s="12"/>
      <c r="O44" s="15"/>
      <c r="P44" s="16"/>
      <c r="Q44" s="16"/>
      <c r="R44" s="16"/>
      <c r="S44" s="15"/>
      <c r="T44" s="15"/>
      <c r="U44" s="15"/>
      <c r="V44" s="15"/>
      <c r="W44" s="15"/>
      <c r="X44" s="15"/>
      <c r="Y44" s="15"/>
      <c r="Z44" s="15"/>
      <c r="AA44" s="17"/>
      <c r="AB44" s="12"/>
      <c r="AC44" s="12"/>
      <c r="AD44" s="12"/>
      <c r="AE44" s="12"/>
      <c r="AF44" s="12"/>
      <c r="AG44" s="18"/>
      <c r="AH44" s="18"/>
      <c r="AI44" s="20"/>
      <c r="AJ44" s="12"/>
      <c r="AK44" s="12"/>
      <c r="AL44" s="12"/>
      <c r="AM44" s="12"/>
      <c r="AN44" s="12"/>
      <c r="AO44" s="12"/>
      <c r="AP44" s="19"/>
      <c r="AQ44" s="163"/>
      <c r="AR44" s="155"/>
      <c r="AS44" s="155"/>
      <c r="AT44" s="155"/>
      <c r="AU44" s="155"/>
    </row>
    <row r="45" spans="1:47" ht="15.75" customHeight="1">
      <c r="A45" s="11"/>
      <c r="B45" s="12"/>
      <c r="C45" s="12"/>
      <c r="D45" s="14"/>
      <c r="E45" s="14"/>
      <c r="F45" s="12"/>
      <c r="G45" s="12"/>
      <c r="H45" s="12"/>
      <c r="I45" s="12"/>
      <c r="J45" s="12"/>
      <c r="K45" s="12"/>
      <c r="L45" s="12"/>
      <c r="M45" s="12"/>
      <c r="N45" s="12"/>
      <c r="O45" s="15"/>
      <c r="P45" s="16"/>
      <c r="Q45" s="16"/>
      <c r="R45" s="16"/>
      <c r="S45" s="15"/>
      <c r="T45" s="15"/>
      <c r="U45" s="15"/>
      <c r="V45" s="15"/>
      <c r="W45" s="15"/>
      <c r="X45" s="15"/>
      <c r="Y45" s="15"/>
      <c r="Z45" s="15"/>
      <c r="AA45" s="17"/>
      <c r="AB45" s="12"/>
      <c r="AC45" s="12"/>
      <c r="AD45" s="12"/>
      <c r="AE45" s="12"/>
      <c r="AF45" s="12"/>
      <c r="AG45" s="18"/>
      <c r="AH45" s="19"/>
      <c r="AI45" s="20"/>
      <c r="AJ45" s="12"/>
      <c r="AK45" s="12"/>
      <c r="AL45" s="12"/>
      <c r="AM45" s="12"/>
      <c r="AN45" s="12"/>
      <c r="AO45" s="12"/>
      <c r="AP45" s="18"/>
      <c r="AQ45" s="163"/>
      <c r="AR45" s="155"/>
      <c r="AS45" s="155"/>
      <c r="AT45" s="155"/>
      <c r="AU45" s="155"/>
    </row>
    <row r="46" spans="1:47" ht="15.75" customHeight="1">
      <c r="A46" s="11"/>
      <c r="B46" s="12"/>
      <c r="C46" s="12"/>
      <c r="D46" s="14"/>
      <c r="E46" s="14"/>
      <c r="F46" s="12"/>
      <c r="G46" s="12"/>
      <c r="H46" s="12"/>
      <c r="I46" s="12"/>
      <c r="J46" s="12"/>
      <c r="K46" s="12"/>
      <c r="L46" s="12"/>
      <c r="M46" s="12"/>
      <c r="N46" s="12"/>
      <c r="O46" s="15"/>
      <c r="P46" s="16"/>
      <c r="Q46" s="16"/>
      <c r="R46" s="16"/>
      <c r="S46" s="15"/>
      <c r="T46" s="15"/>
      <c r="U46" s="15"/>
      <c r="V46" s="15"/>
      <c r="W46" s="15"/>
      <c r="X46" s="15"/>
      <c r="Y46" s="15"/>
      <c r="Z46" s="15"/>
      <c r="AA46" s="17"/>
      <c r="AB46" s="12"/>
      <c r="AC46" s="12"/>
      <c r="AD46" s="12"/>
      <c r="AE46" s="12"/>
      <c r="AF46" s="12"/>
      <c r="AG46" s="18"/>
      <c r="AH46" s="18"/>
      <c r="AI46" s="20"/>
      <c r="AJ46" s="12"/>
      <c r="AK46" s="12"/>
      <c r="AL46" s="12"/>
      <c r="AM46" s="12"/>
      <c r="AN46" s="12"/>
      <c r="AO46" s="12"/>
      <c r="AP46" s="18"/>
      <c r="AQ46" s="163"/>
      <c r="AR46" s="155"/>
      <c r="AS46" s="155"/>
      <c r="AT46" s="155"/>
      <c r="AU46" s="155"/>
    </row>
    <row r="47" spans="1:47" ht="15.75" customHeight="1">
      <c r="A47" s="11"/>
      <c r="B47" s="12"/>
      <c r="C47" s="12"/>
      <c r="D47" s="14"/>
      <c r="E47" s="14"/>
      <c r="F47" s="12"/>
      <c r="G47" s="12"/>
      <c r="H47" s="12"/>
      <c r="I47" s="12"/>
      <c r="J47" s="12"/>
      <c r="K47" s="12"/>
      <c r="L47" s="12"/>
      <c r="M47" s="12"/>
      <c r="N47" s="12"/>
      <c r="O47" s="15"/>
      <c r="P47" s="16"/>
      <c r="Q47" s="16"/>
      <c r="R47" s="16"/>
      <c r="S47" s="15"/>
      <c r="T47" s="15"/>
      <c r="U47" s="15"/>
      <c r="V47" s="15"/>
      <c r="W47" s="15"/>
      <c r="X47" s="15"/>
      <c r="Y47" s="15"/>
      <c r="Z47" s="15"/>
      <c r="AA47" s="17"/>
      <c r="AB47" s="12"/>
      <c r="AC47" s="12"/>
      <c r="AD47" s="12"/>
      <c r="AE47" s="12"/>
      <c r="AF47" s="12"/>
      <c r="AG47" s="18"/>
      <c r="AH47" s="19"/>
      <c r="AI47" s="20"/>
      <c r="AJ47" s="12"/>
      <c r="AK47" s="12"/>
      <c r="AL47" s="12"/>
      <c r="AM47" s="12"/>
      <c r="AN47" s="12"/>
      <c r="AO47" s="12"/>
      <c r="AP47" s="19"/>
      <c r="AQ47" s="163"/>
      <c r="AR47" s="155"/>
      <c r="AS47" s="155"/>
      <c r="AT47" s="155"/>
      <c r="AU47" s="155"/>
    </row>
    <row r="48" spans="1:47" ht="12">
      <c r="A48" s="11"/>
      <c r="B48" s="12"/>
      <c r="C48" s="12"/>
      <c r="D48" s="14"/>
      <c r="E48" s="14"/>
      <c r="F48" s="12"/>
      <c r="G48" s="12"/>
      <c r="H48" s="12"/>
      <c r="I48" s="12"/>
      <c r="J48" s="12"/>
      <c r="K48" s="12"/>
      <c r="L48" s="12"/>
      <c r="M48" s="12"/>
      <c r="N48" s="12"/>
      <c r="O48" s="15"/>
      <c r="P48" s="16"/>
      <c r="Q48" s="16"/>
      <c r="R48" s="16"/>
      <c r="S48" s="15"/>
      <c r="T48" s="15"/>
      <c r="U48" s="15"/>
      <c r="V48" s="15"/>
      <c r="W48" s="15"/>
      <c r="X48" s="15"/>
      <c r="Y48" s="15"/>
      <c r="Z48" s="15"/>
      <c r="AA48" s="17"/>
      <c r="AB48" s="12"/>
      <c r="AC48" s="73"/>
      <c r="AD48" s="73"/>
      <c r="AE48" s="12"/>
      <c r="AF48" s="12"/>
      <c r="AG48" s="18"/>
      <c r="AH48" s="18"/>
      <c r="AI48" s="20"/>
      <c r="AJ48" s="12"/>
      <c r="AK48" s="12"/>
      <c r="AL48" s="12"/>
      <c r="AM48" s="12"/>
      <c r="AN48" s="12"/>
      <c r="AO48" s="12"/>
      <c r="AP48" s="18"/>
      <c r="AQ48" s="163"/>
      <c r="AR48" s="155"/>
      <c r="AS48" s="155"/>
      <c r="AT48" s="155"/>
      <c r="AU48" s="155"/>
    </row>
    <row r="49" spans="1:47" ht="12">
      <c r="A49" s="11"/>
      <c r="B49" s="12"/>
      <c r="C49" s="12"/>
      <c r="D49" s="14"/>
      <c r="E49" s="14"/>
      <c r="F49" s="12"/>
      <c r="G49" s="12"/>
      <c r="H49" s="12"/>
      <c r="I49" s="12"/>
      <c r="J49" s="12"/>
      <c r="K49" s="12"/>
      <c r="L49" s="12"/>
      <c r="M49" s="12"/>
      <c r="N49" s="12"/>
      <c r="O49" s="15"/>
      <c r="P49" s="16"/>
      <c r="Q49" s="16"/>
      <c r="R49" s="16"/>
      <c r="S49" s="15"/>
      <c r="T49" s="15"/>
      <c r="U49" s="15"/>
      <c r="V49" s="15"/>
      <c r="W49" s="15"/>
      <c r="X49" s="15"/>
      <c r="Y49" s="15"/>
      <c r="Z49" s="15"/>
      <c r="AA49" s="17"/>
      <c r="AB49" s="12"/>
      <c r="AC49" s="12"/>
      <c r="AD49" s="12"/>
      <c r="AE49" s="12"/>
      <c r="AF49" s="12"/>
      <c r="AG49" s="18"/>
      <c r="AH49" s="19"/>
      <c r="AI49" s="20"/>
      <c r="AJ49" s="12"/>
      <c r="AK49" s="12"/>
      <c r="AL49" s="12"/>
      <c r="AM49" s="12"/>
      <c r="AN49" s="12"/>
      <c r="AO49" s="12"/>
      <c r="AP49" s="19"/>
      <c r="AQ49" s="163"/>
      <c r="AR49" s="155"/>
      <c r="AS49" s="155"/>
      <c r="AT49" s="155"/>
      <c r="AU49" s="155"/>
    </row>
    <row r="50" spans="1:47" ht="12">
      <c r="A50" s="11"/>
      <c r="B50" s="12"/>
      <c r="C50" s="12"/>
      <c r="D50" s="14"/>
      <c r="E50" s="14"/>
      <c r="F50" s="12"/>
      <c r="G50" s="12"/>
      <c r="H50" s="12"/>
      <c r="I50" s="12"/>
      <c r="J50" s="12"/>
      <c r="K50" s="12"/>
      <c r="L50" s="12"/>
      <c r="M50" s="12"/>
      <c r="N50" s="12"/>
      <c r="O50" s="15"/>
      <c r="P50" s="16"/>
      <c r="Q50" s="16"/>
      <c r="R50" s="16"/>
      <c r="S50" s="15"/>
      <c r="T50" s="15"/>
      <c r="U50" s="15"/>
      <c r="V50" s="15"/>
      <c r="W50" s="15"/>
      <c r="X50" s="15"/>
      <c r="Y50" s="15"/>
      <c r="Z50" s="15"/>
      <c r="AA50" s="17"/>
      <c r="AB50" s="12"/>
      <c r="AC50" s="12"/>
      <c r="AD50" s="12"/>
      <c r="AE50" s="12"/>
      <c r="AF50" s="12"/>
      <c r="AG50" s="18"/>
      <c r="AH50" s="19"/>
      <c r="AI50" s="20"/>
      <c r="AJ50" s="12"/>
      <c r="AK50" s="12"/>
      <c r="AL50" s="12"/>
      <c r="AM50" s="12"/>
      <c r="AN50" s="12"/>
      <c r="AO50" s="12"/>
      <c r="AP50" s="19"/>
      <c r="AQ50" s="163"/>
      <c r="AR50" s="155"/>
      <c r="AS50" s="155"/>
      <c r="AT50" s="155"/>
      <c r="AU50" s="155"/>
    </row>
    <row r="51" spans="1:47" ht="12">
      <c r="A51" s="11"/>
      <c r="B51" s="12"/>
      <c r="C51" s="12"/>
      <c r="D51" s="14"/>
      <c r="E51" s="14"/>
      <c r="F51" s="12"/>
      <c r="G51" s="12"/>
      <c r="H51" s="12"/>
      <c r="I51" s="12"/>
      <c r="J51" s="12"/>
      <c r="K51" s="12"/>
      <c r="L51" s="12"/>
      <c r="M51" s="12"/>
      <c r="N51" s="12"/>
      <c r="O51" s="15"/>
      <c r="P51" s="16"/>
      <c r="Q51" s="16"/>
      <c r="R51" s="16"/>
      <c r="S51" s="15"/>
      <c r="T51" s="15"/>
      <c r="U51" s="15"/>
      <c r="V51" s="15"/>
      <c r="W51" s="15"/>
      <c r="X51" s="15"/>
      <c r="Y51" s="15"/>
      <c r="Z51" s="15"/>
      <c r="AA51" s="17"/>
      <c r="AB51" s="12"/>
      <c r="AC51" s="73"/>
      <c r="AD51" s="73"/>
      <c r="AE51" s="12"/>
      <c r="AF51" s="12"/>
      <c r="AG51" s="18"/>
      <c r="AH51" s="18"/>
      <c r="AI51" s="20"/>
      <c r="AJ51" s="12"/>
      <c r="AK51" s="12"/>
      <c r="AL51" s="12"/>
      <c r="AM51" s="12"/>
      <c r="AN51" s="12"/>
      <c r="AO51" s="12"/>
      <c r="AP51" s="18"/>
      <c r="AQ51" s="163"/>
      <c r="AR51" s="155"/>
      <c r="AS51" s="155"/>
      <c r="AT51" s="155"/>
      <c r="AU51" s="155"/>
    </row>
    <row r="52" spans="1:47" ht="12">
      <c r="A52" s="11"/>
      <c r="B52" s="12"/>
      <c r="C52" s="12"/>
      <c r="D52" s="14"/>
      <c r="E52" s="14"/>
      <c r="F52" s="12"/>
      <c r="G52" s="12"/>
      <c r="H52" s="12"/>
      <c r="I52" s="12"/>
      <c r="J52" s="12"/>
      <c r="K52" s="12"/>
      <c r="L52" s="12"/>
      <c r="M52" s="12"/>
      <c r="N52" s="12"/>
      <c r="O52" s="15"/>
      <c r="P52" s="16"/>
      <c r="Q52" s="16"/>
      <c r="R52" s="16"/>
      <c r="S52" s="15"/>
      <c r="T52" s="15"/>
      <c r="U52" s="15"/>
      <c r="V52" s="15"/>
      <c r="W52" s="15"/>
      <c r="X52" s="15"/>
      <c r="Y52" s="15"/>
      <c r="Z52" s="15"/>
      <c r="AA52" s="17"/>
      <c r="AB52" s="12"/>
      <c r="AC52" s="73"/>
      <c r="AD52" s="73"/>
      <c r="AE52" s="12"/>
      <c r="AF52" s="12"/>
      <c r="AG52" s="18"/>
      <c r="AH52" s="18"/>
      <c r="AI52" s="20"/>
      <c r="AJ52" s="12"/>
      <c r="AK52" s="12"/>
      <c r="AL52" s="12"/>
      <c r="AM52" s="12"/>
      <c r="AN52" s="12"/>
      <c r="AO52" s="12"/>
      <c r="AP52" s="19"/>
      <c r="AQ52" s="163"/>
      <c r="AR52" s="155"/>
      <c r="AS52" s="155"/>
      <c r="AT52" s="155"/>
      <c r="AU52" s="155"/>
    </row>
    <row r="53" spans="1:47" ht="12">
      <c r="A53" s="11"/>
      <c r="B53" s="12"/>
      <c r="C53" s="12"/>
      <c r="D53" s="14"/>
      <c r="E53" s="14"/>
      <c r="F53" s="12"/>
      <c r="G53" s="12"/>
      <c r="H53" s="12"/>
      <c r="I53" s="12"/>
      <c r="J53" s="12"/>
      <c r="K53" s="12"/>
      <c r="L53" s="12"/>
      <c r="M53" s="12"/>
      <c r="N53" s="12"/>
      <c r="O53" s="15"/>
      <c r="P53" s="16"/>
      <c r="Q53" s="16"/>
      <c r="R53" s="16"/>
      <c r="S53" s="15"/>
      <c r="T53" s="15"/>
      <c r="U53" s="15"/>
      <c r="V53" s="15"/>
      <c r="W53" s="15"/>
      <c r="X53" s="15"/>
      <c r="Y53" s="15"/>
      <c r="Z53" s="15"/>
      <c r="AA53" s="17"/>
      <c r="AB53" s="12"/>
      <c r="AC53" s="12"/>
      <c r="AD53" s="12"/>
      <c r="AE53" s="12"/>
      <c r="AF53" s="12"/>
      <c r="AG53" s="18"/>
      <c r="AH53" s="19"/>
      <c r="AI53" s="20"/>
      <c r="AJ53" s="12"/>
      <c r="AK53" s="12"/>
      <c r="AL53" s="12"/>
      <c r="AM53" s="12"/>
      <c r="AN53" s="12"/>
      <c r="AO53" s="12"/>
      <c r="AP53" s="19"/>
      <c r="AQ53" s="163"/>
      <c r="AR53" s="155"/>
      <c r="AS53" s="155"/>
      <c r="AT53" s="155"/>
      <c r="AU53" s="155"/>
    </row>
    <row r="54" spans="1:47" ht="12">
      <c r="A54" s="11"/>
      <c r="B54" s="12"/>
      <c r="C54" s="12"/>
      <c r="D54" s="14"/>
      <c r="E54" s="14"/>
      <c r="F54" s="12"/>
      <c r="G54" s="12"/>
      <c r="H54" s="12"/>
      <c r="I54" s="12"/>
      <c r="J54" s="12"/>
      <c r="K54" s="12"/>
      <c r="L54" s="12"/>
      <c r="M54" s="12"/>
      <c r="N54" s="12"/>
      <c r="O54" s="15"/>
      <c r="P54" s="16"/>
      <c r="Q54" s="16"/>
      <c r="R54" s="16"/>
      <c r="S54" s="15"/>
      <c r="T54" s="15"/>
      <c r="U54" s="15"/>
      <c r="V54" s="15"/>
      <c r="W54" s="15"/>
      <c r="X54" s="15"/>
      <c r="Y54" s="15"/>
      <c r="Z54" s="15"/>
      <c r="AA54" s="17"/>
      <c r="AB54" s="12"/>
      <c r="AC54" s="12"/>
      <c r="AD54" s="12"/>
      <c r="AE54" s="12"/>
      <c r="AF54" s="12"/>
      <c r="AG54" s="18"/>
      <c r="AH54" s="19"/>
      <c r="AI54" s="20"/>
      <c r="AJ54" s="12"/>
      <c r="AK54" s="12"/>
      <c r="AL54" s="12"/>
      <c r="AM54" s="12"/>
      <c r="AN54" s="12"/>
      <c r="AO54" s="12"/>
      <c r="AP54" s="19"/>
      <c r="AQ54" s="163"/>
      <c r="AR54" s="155"/>
      <c r="AS54" s="155"/>
      <c r="AT54" s="155"/>
      <c r="AU54" s="155"/>
    </row>
    <row r="55" spans="1:47" ht="12">
      <c r="A55" s="11"/>
      <c r="B55" s="12"/>
      <c r="C55" s="12"/>
      <c r="D55" s="14"/>
      <c r="E55" s="14"/>
      <c r="F55" s="12"/>
      <c r="G55" s="12"/>
      <c r="H55" s="12"/>
      <c r="I55" s="12"/>
      <c r="J55" s="12"/>
      <c r="K55" s="12"/>
      <c r="L55" s="12"/>
      <c r="M55" s="12"/>
      <c r="N55" s="12"/>
      <c r="O55" s="15"/>
      <c r="P55" s="16"/>
      <c r="Q55" s="16"/>
      <c r="R55" s="16"/>
      <c r="S55" s="15"/>
      <c r="T55" s="15"/>
      <c r="U55" s="15"/>
      <c r="V55" s="15"/>
      <c r="W55" s="15"/>
      <c r="X55" s="15"/>
      <c r="Y55" s="15"/>
      <c r="Z55" s="15"/>
      <c r="AA55" s="17"/>
      <c r="AB55" s="12"/>
      <c r="AC55" s="12"/>
      <c r="AD55" s="12"/>
      <c r="AE55" s="12"/>
      <c r="AF55" s="12"/>
      <c r="AG55" s="18"/>
      <c r="AH55" s="19"/>
      <c r="AI55" s="20"/>
      <c r="AJ55" s="12"/>
      <c r="AK55" s="12"/>
      <c r="AL55" s="12"/>
      <c r="AM55" s="12"/>
      <c r="AN55" s="12"/>
      <c r="AO55" s="12"/>
      <c r="AP55" s="19"/>
      <c r="AQ55" s="163"/>
      <c r="AR55" s="155"/>
      <c r="AS55" s="155"/>
      <c r="AT55" s="155"/>
      <c r="AU55" s="155"/>
    </row>
    <row r="56" spans="1:47" ht="12">
      <c r="A56" s="11"/>
      <c r="B56" s="12"/>
      <c r="C56" s="12"/>
      <c r="D56" s="14"/>
      <c r="E56" s="14"/>
      <c r="F56" s="12"/>
      <c r="G56" s="12"/>
      <c r="H56" s="12"/>
      <c r="I56" s="12"/>
      <c r="J56" s="12"/>
      <c r="K56" s="12"/>
      <c r="L56" s="12"/>
      <c r="M56" s="12"/>
      <c r="N56" s="12"/>
      <c r="O56" s="15"/>
      <c r="P56" s="16"/>
      <c r="Q56" s="16"/>
      <c r="R56" s="16"/>
      <c r="S56" s="15"/>
      <c r="T56" s="15"/>
      <c r="U56" s="15"/>
      <c r="V56" s="15"/>
      <c r="W56" s="15"/>
      <c r="X56" s="15"/>
      <c r="Y56" s="15"/>
      <c r="Z56" s="15"/>
      <c r="AA56" s="17"/>
      <c r="AB56" s="12"/>
      <c r="AC56" s="12"/>
      <c r="AD56" s="12"/>
      <c r="AE56" s="12"/>
      <c r="AF56" s="12"/>
      <c r="AG56" s="18"/>
      <c r="AH56" s="18"/>
      <c r="AI56" s="20"/>
      <c r="AJ56" s="12"/>
      <c r="AK56" s="12"/>
      <c r="AL56" s="12"/>
      <c r="AM56" s="12"/>
      <c r="AN56" s="12"/>
      <c r="AO56" s="12"/>
      <c r="AP56" s="18"/>
      <c r="AQ56" s="163"/>
      <c r="AR56" s="155"/>
      <c r="AS56" s="155"/>
      <c r="AT56" s="155"/>
      <c r="AU56" s="155"/>
    </row>
    <row r="57" spans="1:47" ht="12">
      <c r="A57" s="11"/>
      <c r="B57" s="12"/>
      <c r="C57" s="12"/>
      <c r="D57" s="14"/>
      <c r="E57" s="14"/>
      <c r="F57" s="12"/>
      <c r="G57" s="12"/>
      <c r="H57" s="12"/>
      <c r="I57" s="12"/>
      <c r="J57" s="12"/>
      <c r="K57" s="12"/>
      <c r="L57" s="12"/>
      <c r="M57" s="12"/>
      <c r="N57" s="12"/>
      <c r="O57" s="15"/>
      <c r="P57" s="16"/>
      <c r="Q57" s="16"/>
      <c r="R57" s="16"/>
      <c r="S57" s="15"/>
      <c r="T57" s="15"/>
      <c r="U57" s="15"/>
      <c r="V57" s="15"/>
      <c r="W57" s="15"/>
      <c r="X57" s="15"/>
      <c r="Y57" s="15"/>
      <c r="Z57" s="15"/>
      <c r="AA57" s="17"/>
      <c r="AB57" s="12"/>
      <c r="AC57" s="12"/>
      <c r="AD57" s="12"/>
      <c r="AE57" s="12"/>
      <c r="AF57" s="12"/>
      <c r="AG57" s="18"/>
      <c r="AH57" s="19"/>
      <c r="AI57" s="20"/>
      <c r="AJ57" s="12"/>
      <c r="AK57" s="12"/>
      <c r="AL57" s="12"/>
      <c r="AM57" s="12"/>
      <c r="AN57" s="12"/>
      <c r="AO57" s="12"/>
      <c r="AP57" s="19"/>
      <c r="AQ57" s="163"/>
      <c r="AR57" s="155"/>
      <c r="AS57" s="155"/>
      <c r="AT57" s="155"/>
      <c r="AU57" s="155"/>
    </row>
    <row r="58" spans="1:47" ht="12">
      <c r="A58" s="11"/>
      <c r="B58" s="12"/>
      <c r="C58" s="12"/>
      <c r="D58" s="14"/>
      <c r="E58" s="14"/>
      <c r="F58" s="12"/>
      <c r="G58" s="12"/>
      <c r="H58" s="12"/>
      <c r="I58" s="12"/>
      <c r="J58" s="12"/>
      <c r="K58" s="12"/>
      <c r="L58" s="12"/>
      <c r="M58" s="12"/>
      <c r="N58" s="12"/>
      <c r="O58" s="15"/>
      <c r="P58" s="16"/>
      <c r="Q58" s="16"/>
      <c r="R58" s="16"/>
      <c r="S58" s="15"/>
      <c r="T58" s="15"/>
      <c r="U58" s="15"/>
      <c r="V58" s="15"/>
      <c r="W58" s="15"/>
      <c r="X58" s="15"/>
      <c r="Y58" s="15"/>
      <c r="Z58" s="15"/>
      <c r="AA58" s="17"/>
      <c r="AB58" s="12"/>
      <c r="AC58" s="12"/>
      <c r="AD58" s="12"/>
      <c r="AE58" s="12"/>
      <c r="AF58" s="12"/>
      <c r="AG58" s="147"/>
      <c r="AH58" s="18"/>
      <c r="AI58" s="20"/>
      <c r="AJ58" s="12"/>
      <c r="AK58" s="12"/>
      <c r="AL58" s="12"/>
      <c r="AM58" s="12"/>
      <c r="AN58" s="12"/>
      <c r="AO58" s="12"/>
      <c r="AP58" s="19"/>
      <c r="AQ58" s="163"/>
      <c r="AR58" s="155"/>
      <c r="AS58" s="155"/>
      <c r="AT58" s="155"/>
      <c r="AU58" s="155"/>
    </row>
    <row r="59" spans="1:47" ht="12">
      <c r="A59" s="11"/>
      <c r="B59" s="12"/>
      <c r="C59" s="12"/>
      <c r="D59" s="14"/>
      <c r="E59" s="14"/>
      <c r="F59" s="12"/>
      <c r="G59" s="12"/>
      <c r="H59" s="12"/>
      <c r="I59" s="12"/>
      <c r="J59" s="12"/>
      <c r="K59" s="12"/>
      <c r="L59" s="12"/>
      <c r="M59" s="12"/>
      <c r="N59" s="12"/>
      <c r="O59" s="15"/>
      <c r="P59" s="16"/>
      <c r="Q59" s="16"/>
      <c r="R59" s="16"/>
      <c r="S59" s="15"/>
      <c r="T59" s="15"/>
      <c r="U59" s="15"/>
      <c r="V59" s="15"/>
      <c r="W59" s="15"/>
      <c r="X59" s="15"/>
      <c r="Y59" s="15"/>
      <c r="Z59" s="15"/>
      <c r="AA59" s="17"/>
      <c r="AB59" s="12"/>
      <c r="AC59" s="12"/>
      <c r="AD59" s="12"/>
      <c r="AE59" s="12"/>
      <c r="AF59" s="12"/>
      <c r="AG59" s="18"/>
      <c r="AH59" s="18"/>
      <c r="AI59" s="20"/>
      <c r="AJ59" s="12"/>
      <c r="AK59" s="12"/>
      <c r="AL59" s="12"/>
      <c r="AM59" s="12"/>
      <c r="AN59" s="12"/>
      <c r="AO59" s="12"/>
      <c r="AP59" s="19"/>
      <c r="AQ59" s="163"/>
      <c r="AR59" s="155"/>
      <c r="AS59" s="155"/>
      <c r="AT59" s="155"/>
      <c r="AU59" s="155"/>
    </row>
    <row r="60" spans="1:47" ht="12">
      <c r="A60" s="11"/>
      <c r="B60" s="12"/>
      <c r="C60" s="12"/>
      <c r="D60" s="14"/>
      <c r="E60" s="14"/>
      <c r="F60" s="12"/>
      <c r="G60" s="12"/>
      <c r="H60" s="12"/>
      <c r="I60" s="12"/>
      <c r="J60" s="12"/>
      <c r="K60" s="12"/>
      <c r="L60" s="12"/>
      <c r="M60" s="12"/>
      <c r="N60" s="12"/>
      <c r="O60" s="15"/>
      <c r="P60" s="16"/>
      <c r="Q60" s="16"/>
      <c r="R60" s="16"/>
      <c r="S60" s="15"/>
      <c r="T60" s="15"/>
      <c r="U60" s="15"/>
      <c r="V60" s="15"/>
      <c r="W60" s="15"/>
      <c r="X60" s="15"/>
      <c r="Y60" s="15"/>
      <c r="Z60" s="15"/>
      <c r="AA60" s="17"/>
      <c r="AB60" s="12"/>
      <c r="AC60" s="73"/>
      <c r="AD60" s="73"/>
      <c r="AE60" s="12"/>
      <c r="AF60" s="12"/>
      <c r="AG60" s="18"/>
      <c r="AH60" s="19"/>
      <c r="AI60" s="20"/>
      <c r="AJ60" s="12"/>
      <c r="AK60" s="12"/>
      <c r="AL60" s="12"/>
      <c r="AM60" s="12"/>
      <c r="AN60" s="12"/>
      <c r="AO60" s="12"/>
      <c r="AP60" s="19"/>
      <c r="AQ60" s="163"/>
      <c r="AR60" s="155"/>
      <c r="AS60" s="155"/>
      <c r="AT60" s="155"/>
      <c r="AU60" s="155"/>
    </row>
    <row r="61" spans="1:47" ht="12">
      <c r="A61" s="11"/>
      <c r="B61" s="12"/>
      <c r="C61" s="12"/>
      <c r="D61" s="14"/>
      <c r="E61" s="14"/>
      <c r="F61" s="12"/>
      <c r="G61" s="12"/>
      <c r="H61" s="12"/>
      <c r="I61" s="12"/>
      <c r="J61" s="12"/>
      <c r="K61" s="12"/>
      <c r="L61" s="12"/>
      <c r="M61" s="12"/>
      <c r="N61" s="12"/>
      <c r="O61" s="15"/>
      <c r="P61" s="16"/>
      <c r="Q61" s="16"/>
      <c r="R61" s="16"/>
      <c r="S61" s="15"/>
      <c r="T61" s="15"/>
      <c r="U61" s="15"/>
      <c r="V61" s="15"/>
      <c r="W61" s="15"/>
      <c r="X61" s="15"/>
      <c r="Y61" s="15"/>
      <c r="Z61" s="15"/>
      <c r="AA61" s="17"/>
      <c r="AB61" s="12"/>
      <c r="AC61" s="73"/>
      <c r="AD61" s="73"/>
      <c r="AE61" s="12"/>
      <c r="AF61" s="12"/>
      <c r="AG61" s="18"/>
      <c r="AH61" s="18"/>
      <c r="AI61" s="20"/>
      <c r="AJ61" s="12"/>
      <c r="AK61" s="12"/>
      <c r="AL61" s="12"/>
      <c r="AM61" s="12"/>
      <c r="AN61" s="12"/>
      <c r="AO61" s="12"/>
      <c r="AP61" s="19"/>
      <c r="AQ61" s="163"/>
      <c r="AR61" s="155"/>
      <c r="AS61" s="155"/>
      <c r="AT61" s="155"/>
      <c r="AU61" s="155"/>
    </row>
    <row r="62" spans="1:47" ht="12">
      <c r="A62" s="11"/>
      <c r="B62" s="12"/>
      <c r="C62" s="12"/>
      <c r="D62" s="14"/>
      <c r="E62" s="14"/>
      <c r="F62" s="12"/>
      <c r="G62" s="12"/>
      <c r="H62" s="12"/>
      <c r="I62" s="12"/>
      <c r="J62" s="12"/>
      <c r="K62" s="12"/>
      <c r="L62" s="12"/>
      <c r="M62" s="12"/>
      <c r="N62" s="12"/>
      <c r="O62" s="15"/>
      <c r="P62" s="16"/>
      <c r="Q62" s="16"/>
      <c r="R62" s="16"/>
      <c r="S62" s="15"/>
      <c r="T62" s="15"/>
      <c r="U62" s="15"/>
      <c r="V62" s="15"/>
      <c r="W62" s="15"/>
      <c r="X62" s="15"/>
      <c r="Y62" s="15"/>
      <c r="Z62" s="15"/>
      <c r="AA62" s="17"/>
      <c r="AB62" s="12"/>
      <c r="AC62" s="73"/>
      <c r="AD62" s="73"/>
      <c r="AE62" s="12"/>
      <c r="AF62" s="12"/>
      <c r="AG62" s="18"/>
      <c r="AH62" s="19"/>
      <c r="AI62" s="20"/>
      <c r="AJ62" s="12"/>
      <c r="AK62" s="12"/>
      <c r="AL62" s="12"/>
      <c r="AM62" s="12"/>
      <c r="AN62" s="12"/>
      <c r="AO62" s="12"/>
      <c r="AP62" s="19"/>
      <c r="AQ62" s="163"/>
      <c r="AR62" s="155"/>
      <c r="AS62" s="155"/>
      <c r="AT62" s="155"/>
      <c r="AU62" s="155"/>
    </row>
    <row r="63" spans="1:47" ht="12">
      <c r="A63" s="11"/>
      <c r="B63" s="12"/>
      <c r="C63" s="12"/>
      <c r="D63" s="14"/>
      <c r="E63" s="14"/>
      <c r="F63" s="12"/>
      <c r="G63" s="12"/>
      <c r="H63" s="12"/>
      <c r="I63" s="12"/>
      <c r="J63" s="12"/>
      <c r="K63" s="12"/>
      <c r="L63" s="12"/>
      <c r="M63" s="12"/>
      <c r="N63" s="12"/>
      <c r="O63" s="15"/>
      <c r="P63" s="16"/>
      <c r="Q63" s="16"/>
      <c r="R63" s="16"/>
      <c r="S63" s="15"/>
      <c r="T63" s="15"/>
      <c r="U63" s="15"/>
      <c r="V63" s="15"/>
      <c r="W63" s="15"/>
      <c r="X63" s="15"/>
      <c r="Y63" s="15"/>
      <c r="Z63" s="15"/>
      <c r="AA63" s="17"/>
      <c r="AB63" s="12"/>
      <c r="AC63" s="12"/>
      <c r="AD63" s="12"/>
      <c r="AE63" s="12"/>
      <c r="AF63" s="12"/>
      <c r="AG63" s="18"/>
      <c r="AH63" s="19"/>
      <c r="AI63" s="20"/>
      <c r="AJ63" s="12"/>
      <c r="AK63" s="12"/>
      <c r="AL63" s="12"/>
      <c r="AM63" s="12"/>
      <c r="AN63" s="12"/>
      <c r="AO63" s="12"/>
      <c r="AP63" s="19"/>
      <c r="AQ63" s="163"/>
      <c r="AR63" s="155"/>
      <c r="AS63" s="155"/>
      <c r="AT63" s="155"/>
      <c r="AU63" s="155"/>
    </row>
    <row r="64" spans="1:47" ht="12">
      <c r="A64" s="11"/>
      <c r="B64" s="12"/>
      <c r="C64" s="12"/>
      <c r="D64" s="14"/>
      <c r="E64" s="14"/>
      <c r="F64" s="12"/>
      <c r="G64" s="12"/>
      <c r="H64" s="12"/>
      <c r="I64" s="12"/>
      <c r="J64" s="12"/>
      <c r="K64" s="12"/>
      <c r="L64" s="12"/>
      <c r="M64" s="12"/>
      <c r="N64" s="12"/>
      <c r="O64" s="15"/>
      <c r="P64" s="16"/>
      <c r="Q64" s="16"/>
      <c r="R64" s="16"/>
      <c r="S64" s="15"/>
      <c r="T64" s="15"/>
      <c r="U64" s="15"/>
      <c r="V64" s="15"/>
      <c r="W64" s="15"/>
      <c r="X64" s="15"/>
      <c r="Y64" s="15"/>
      <c r="Z64" s="15"/>
      <c r="AA64" s="17"/>
      <c r="AB64" s="12"/>
      <c r="AC64" s="12"/>
      <c r="AD64" s="12"/>
      <c r="AE64" s="12"/>
      <c r="AF64" s="12"/>
      <c r="AG64" s="18"/>
      <c r="AH64" s="18"/>
      <c r="AI64" s="20"/>
      <c r="AJ64" s="12"/>
      <c r="AK64" s="12"/>
      <c r="AL64" s="12"/>
      <c r="AM64" s="12"/>
      <c r="AN64" s="12"/>
      <c r="AO64" s="12"/>
      <c r="AP64" s="19"/>
      <c r="AQ64" s="163"/>
      <c r="AR64" s="155"/>
      <c r="AS64" s="155"/>
      <c r="AT64" s="155"/>
      <c r="AU64" s="155"/>
    </row>
    <row r="65" spans="1:47" ht="12">
      <c r="A65" s="11"/>
      <c r="B65" s="12"/>
      <c r="C65" s="12"/>
      <c r="D65" s="14"/>
      <c r="E65" s="14"/>
      <c r="F65" s="12"/>
      <c r="G65" s="12"/>
      <c r="H65" s="12"/>
      <c r="I65" s="12"/>
      <c r="J65" s="12"/>
      <c r="K65" s="12"/>
      <c r="L65" s="12"/>
      <c r="M65" s="12"/>
      <c r="N65" s="12"/>
      <c r="O65" s="15"/>
      <c r="P65" s="16"/>
      <c r="Q65" s="16"/>
      <c r="R65" s="16"/>
      <c r="S65" s="15"/>
      <c r="T65" s="15"/>
      <c r="U65" s="15"/>
      <c r="V65" s="15"/>
      <c r="W65" s="15"/>
      <c r="X65" s="15"/>
      <c r="Y65" s="15"/>
      <c r="Z65" s="15"/>
      <c r="AA65" s="17"/>
      <c r="AB65" s="12"/>
      <c r="AC65" s="12"/>
      <c r="AD65" s="12"/>
      <c r="AE65" s="12"/>
      <c r="AF65" s="12"/>
      <c r="AG65" s="18"/>
      <c r="AH65" s="18"/>
      <c r="AI65" s="20"/>
      <c r="AJ65" s="12"/>
      <c r="AK65" s="12"/>
      <c r="AL65" s="12"/>
      <c r="AM65" s="12"/>
      <c r="AN65" s="12"/>
      <c r="AO65" s="12"/>
      <c r="AP65" s="18"/>
      <c r="AQ65" s="163"/>
      <c r="AR65" s="155"/>
      <c r="AS65" s="155"/>
      <c r="AT65" s="155"/>
      <c r="AU65" s="155"/>
    </row>
    <row r="66" spans="1:47" ht="12">
      <c r="A66" s="11"/>
      <c r="B66" s="12"/>
      <c r="C66" s="12"/>
      <c r="D66" s="14"/>
      <c r="E66" s="14"/>
      <c r="F66" s="12"/>
      <c r="G66" s="12"/>
      <c r="H66" s="12"/>
      <c r="I66" s="12"/>
      <c r="J66" s="12"/>
      <c r="K66" s="12"/>
      <c r="L66" s="12"/>
      <c r="M66" s="12"/>
      <c r="N66" s="12"/>
      <c r="O66" s="15"/>
      <c r="P66" s="16"/>
      <c r="Q66" s="16"/>
      <c r="R66" s="16"/>
      <c r="S66" s="15"/>
      <c r="T66" s="15"/>
      <c r="U66" s="15"/>
      <c r="V66" s="15"/>
      <c r="W66" s="15"/>
      <c r="X66" s="15"/>
      <c r="Y66" s="15"/>
      <c r="Z66" s="15"/>
      <c r="AA66" s="17"/>
      <c r="AB66" s="12"/>
      <c r="AC66" s="12"/>
      <c r="AD66" s="12"/>
      <c r="AE66" s="12"/>
      <c r="AF66" s="12"/>
      <c r="AG66" s="18"/>
      <c r="AH66" s="19"/>
      <c r="AI66" s="20"/>
      <c r="AJ66" s="12"/>
      <c r="AK66" s="12"/>
      <c r="AL66" s="12"/>
      <c r="AM66" s="12"/>
      <c r="AN66" s="12"/>
      <c r="AO66" s="12"/>
      <c r="AP66" s="19"/>
      <c r="AQ66" s="163"/>
      <c r="AR66" s="155"/>
      <c r="AS66" s="155"/>
      <c r="AT66" s="155"/>
      <c r="AU66" s="155"/>
    </row>
    <row r="67" spans="1:47" ht="12">
      <c r="A67" s="11"/>
      <c r="B67" s="12"/>
      <c r="C67" s="12"/>
      <c r="D67" s="14"/>
      <c r="E67" s="14"/>
      <c r="F67" s="12"/>
      <c r="G67" s="12"/>
      <c r="H67" s="12"/>
      <c r="I67" s="12"/>
      <c r="J67" s="12"/>
      <c r="K67" s="12"/>
      <c r="L67" s="12"/>
      <c r="M67" s="12"/>
      <c r="N67" s="12"/>
      <c r="O67" s="15"/>
      <c r="P67" s="16"/>
      <c r="Q67" s="16"/>
      <c r="R67" s="16"/>
      <c r="S67" s="15"/>
      <c r="T67" s="15"/>
      <c r="U67" s="15"/>
      <c r="V67" s="15"/>
      <c r="W67" s="15"/>
      <c r="X67" s="15"/>
      <c r="Y67" s="15"/>
      <c r="Z67" s="15"/>
      <c r="AA67" s="17"/>
      <c r="AB67" s="12"/>
      <c r="AC67" s="12"/>
      <c r="AD67" s="12"/>
      <c r="AE67" s="12"/>
      <c r="AF67" s="12"/>
      <c r="AG67" s="18"/>
      <c r="AH67" s="18"/>
      <c r="AI67" s="20"/>
      <c r="AJ67" s="12"/>
      <c r="AK67" s="12"/>
      <c r="AL67" s="12"/>
      <c r="AM67" s="12"/>
      <c r="AN67" s="12"/>
      <c r="AO67" s="12"/>
      <c r="AP67" s="19"/>
      <c r="AQ67" s="163"/>
      <c r="AR67" s="155"/>
      <c r="AS67" s="155"/>
      <c r="AT67" s="155"/>
      <c r="AU67" s="155"/>
    </row>
    <row r="68" spans="1:47" ht="12">
      <c r="A68" s="11"/>
      <c r="B68" s="12"/>
      <c r="C68" s="12"/>
      <c r="D68" s="14"/>
      <c r="E68" s="14"/>
      <c r="F68" s="12"/>
      <c r="G68" s="12"/>
      <c r="H68" s="12"/>
      <c r="I68" s="12"/>
      <c r="J68" s="12"/>
      <c r="K68" s="12"/>
      <c r="L68" s="12"/>
      <c r="M68" s="12"/>
      <c r="N68" s="12"/>
      <c r="O68" s="15"/>
      <c r="P68" s="16"/>
      <c r="Q68" s="16"/>
      <c r="R68" s="16"/>
      <c r="S68" s="15"/>
      <c r="T68" s="15"/>
      <c r="U68" s="15"/>
      <c r="V68" s="15"/>
      <c r="W68" s="15"/>
      <c r="X68" s="15"/>
      <c r="Y68" s="15"/>
      <c r="Z68" s="15"/>
      <c r="AA68" s="17"/>
      <c r="AB68" s="12"/>
      <c r="AC68" s="12"/>
      <c r="AD68" s="12"/>
      <c r="AE68" s="12"/>
      <c r="AF68" s="12"/>
      <c r="AG68" s="18"/>
      <c r="AH68" s="18"/>
      <c r="AI68" s="20"/>
      <c r="AJ68" s="12"/>
      <c r="AK68" s="12"/>
      <c r="AL68" s="12"/>
      <c r="AM68" s="12"/>
      <c r="AN68" s="12"/>
      <c r="AO68" s="12"/>
      <c r="AP68" s="19"/>
      <c r="AQ68" s="163"/>
      <c r="AR68" s="155"/>
      <c r="AS68" s="155"/>
      <c r="AT68" s="155"/>
      <c r="AU68" s="155"/>
    </row>
    <row r="69" spans="1:47" ht="12">
      <c r="A69" s="11"/>
      <c r="B69" s="12"/>
      <c r="C69" s="12"/>
      <c r="D69" s="14"/>
      <c r="E69" s="14"/>
      <c r="F69" s="12"/>
      <c r="G69" s="12"/>
      <c r="H69" s="12"/>
      <c r="I69" s="12"/>
      <c r="J69" s="12"/>
      <c r="K69" s="12"/>
      <c r="L69" s="12"/>
      <c r="M69" s="12"/>
      <c r="N69" s="12"/>
      <c r="O69" s="15"/>
      <c r="P69" s="16"/>
      <c r="Q69" s="16"/>
      <c r="R69" s="16"/>
      <c r="S69" s="15"/>
      <c r="T69" s="15"/>
      <c r="U69" s="15"/>
      <c r="V69" s="15"/>
      <c r="W69" s="15"/>
      <c r="X69" s="15"/>
      <c r="Y69" s="15"/>
      <c r="Z69" s="15"/>
      <c r="AA69" s="17"/>
      <c r="AB69" s="12"/>
      <c r="AC69" s="12"/>
      <c r="AD69" s="12"/>
      <c r="AE69" s="12"/>
      <c r="AF69" s="12"/>
      <c r="AG69" s="18"/>
      <c r="AH69" s="19"/>
      <c r="AI69" s="20"/>
      <c r="AJ69" s="12"/>
      <c r="AK69" s="12"/>
      <c r="AL69" s="12"/>
      <c r="AM69" s="12"/>
      <c r="AN69" s="12"/>
      <c r="AO69" s="12"/>
      <c r="AP69" s="19"/>
      <c r="AQ69" s="163"/>
      <c r="AR69" s="155"/>
      <c r="AS69" s="155"/>
      <c r="AT69" s="155"/>
      <c r="AU69" s="155"/>
    </row>
    <row r="70" spans="1:47" ht="12">
      <c r="A70" s="11"/>
      <c r="B70" s="12"/>
      <c r="C70" s="12"/>
      <c r="D70" s="14"/>
      <c r="E70" s="14"/>
      <c r="F70" s="12"/>
      <c r="G70" s="12"/>
      <c r="H70" s="12"/>
      <c r="I70" s="12"/>
      <c r="J70" s="12"/>
      <c r="K70" s="12"/>
      <c r="L70" s="12"/>
      <c r="M70" s="12"/>
      <c r="N70" s="12"/>
      <c r="O70" s="15"/>
      <c r="P70" s="16"/>
      <c r="Q70" s="16"/>
      <c r="R70" s="16"/>
      <c r="S70" s="15"/>
      <c r="T70" s="15"/>
      <c r="U70" s="15"/>
      <c r="V70" s="15"/>
      <c r="W70" s="15"/>
      <c r="X70" s="15"/>
      <c r="Y70" s="15"/>
      <c r="Z70" s="15"/>
      <c r="AA70" s="17"/>
      <c r="AB70" s="12"/>
      <c r="AC70" s="12"/>
      <c r="AD70" s="12"/>
      <c r="AE70" s="12"/>
      <c r="AF70" s="12"/>
      <c r="AG70" s="18"/>
      <c r="AH70" s="18"/>
      <c r="AI70" s="20"/>
      <c r="AJ70" s="12"/>
      <c r="AK70" s="12"/>
      <c r="AL70" s="12"/>
      <c r="AM70" s="12"/>
      <c r="AN70" s="12"/>
      <c r="AO70" s="12"/>
      <c r="AP70" s="18"/>
      <c r="AQ70" s="163"/>
      <c r="AR70" s="155"/>
      <c r="AS70" s="155"/>
      <c r="AT70" s="155"/>
      <c r="AU70" s="155"/>
    </row>
    <row r="71" spans="1:47" ht="12">
      <c r="A71" s="11"/>
      <c r="B71" s="12"/>
      <c r="C71" s="12"/>
      <c r="D71" s="14"/>
      <c r="E71" s="14"/>
      <c r="F71" s="12"/>
      <c r="G71" s="12"/>
      <c r="H71" s="12"/>
      <c r="I71" s="12"/>
      <c r="J71" s="12"/>
      <c r="K71" s="12"/>
      <c r="L71" s="12"/>
      <c r="M71" s="12"/>
      <c r="N71" s="12"/>
      <c r="O71" s="15"/>
      <c r="P71" s="16"/>
      <c r="Q71" s="16"/>
      <c r="R71" s="16"/>
      <c r="S71" s="15"/>
      <c r="T71" s="15"/>
      <c r="U71" s="15"/>
      <c r="V71" s="15"/>
      <c r="W71" s="15"/>
      <c r="X71" s="15"/>
      <c r="Y71" s="15"/>
      <c r="Z71" s="15"/>
      <c r="AA71" s="17"/>
      <c r="AB71" s="12"/>
      <c r="AC71" s="73"/>
      <c r="AD71" s="12"/>
      <c r="AE71" s="12"/>
      <c r="AF71" s="12"/>
      <c r="AG71" s="18"/>
      <c r="AH71" s="18"/>
      <c r="AI71" s="20"/>
      <c r="AJ71" s="12"/>
      <c r="AK71" s="12"/>
      <c r="AL71" s="12"/>
      <c r="AM71" s="12"/>
      <c r="AN71" s="12"/>
      <c r="AO71" s="12"/>
      <c r="AP71" s="19"/>
      <c r="AQ71" s="163"/>
      <c r="AR71" s="155"/>
      <c r="AS71" s="155"/>
      <c r="AT71" s="155"/>
      <c r="AU71" s="155"/>
    </row>
    <row r="72" spans="1:47" ht="12">
      <c r="A72" s="11"/>
      <c r="B72" s="12"/>
      <c r="C72" s="12"/>
      <c r="D72" s="14"/>
      <c r="E72" s="14"/>
      <c r="F72" s="12"/>
      <c r="G72" s="12"/>
      <c r="H72" s="12"/>
      <c r="I72" s="12"/>
      <c r="J72" s="12"/>
      <c r="K72" s="12"/>
      <c r="L72" s="12"/>
      <c r="M72" s="12"/>
      <c r="N72" s="12"/>
      <c r="O72" s="15"/>
      <c r="P72" s="16"/>
      <c r="Q72" s="16"/>
      <c r="R72" s="16"/>
      <c r="S72" s="15"/>
      <c r="T72" s="15"/>
      <c r="U72" s="15"/>
      <c r="V72" s="15"/>
      <c r="W72" s="15"/>
      <c r="X72" s="15"/>
      <c r="Y72" s="15"/>
      <c r="Z72" s="15"/>
      <c r="AA72" s="17"/>
      <c r="AB72" s="12"/>
      <c r="AC72" s="12"/>
      <c r="AD72" s="12"/>
      <c r="AE72" s="12"/>
      <c r="AF72" s="12"/>
      <c r="AG72" s="18"/>
      <c r="AH72" s="18"/>
      <c r="AI72" s="20"/>
      <c r="AJ72" s="12"/>
      <c r="AK72" s="12"/>
      <c r="AL72" s="12"/>
      <c r="AM72" s="12"/>
      <c r="AN72" s="12"/>
      <c r="AO72" s="12"/>
      <c r="AP72" s="19"/>
      <c r="AQ72" s="163"/>
      <c r="AR72" s="155"/>
      <c r="AS72" s="155"/>
      <c r="AT72" s="155"/>
      <c r="AU72" s="155"/>
    </row>
    <row r="73" spans="1:47" ht="12">
      <c r="A73" s="11"/>
      <c r="B73" s="12"/>
      <c r="C73" s="12"/>
      <c r="D73" s="14"/>
      <c r="E73" s="14"/>
      <c r="F73" s="12"/>
      <c r="G73" s="12"/>
      <c r="H73" s="12"/>
      <c r="I73" s="12"/>
      <c r="J73" s="12"/>
      <c r="K73" s="12"/>
      <c r="L73" s="12"/>
      <c r="M73" s="12"/>
      <c r="N73" s="12"/>
      <c r="O73" s="15"/>
      <c r="P73" s="16"/>
      <c r="Q73" s="16"/>
      <c r="R73" s="16"/>
      <c r="S73" s="15"/>
      <c r="T73" s="15"/>
      <c r="U73" s="15"/>
      <c r="V73" s="15"/>
      <c r="W73" s="15"/>
      <c r="X73" s="15"/>
      <c r="Y73" s="15"/>
      <c r="Z73" s="15"/>
      <c r="AA73" s="17"/>
      <c r="AB73" s="12"/>
      <c r="AC73" s="12"/>
      <c r="AD73" s="12"/>
      <c r="AE73" s="12"/>
      <c r="AF73" s="12"/>
      <c r="AG73" s="18"/>
      <c r="AH73" s="19"/>
      <c r="AI73" s="20"/>
      <c r="AJ73" s="12"/>
      <c r="AK73" s="12"/>
      <c r="AL73" s="12"/>
      <c r="AM73" s="12"/>
      <c r="AN73" s="12"/>
      <c r="AO73" s="12"/>
      <c r="AP73" s="18"/>
      <c r="AQ73" s="163"/>
      <c r="AR73" s="155"/>
      <c r="AS73" s="155"/>
      <c r="AT73" s="155"/>
      <c r="AU73" s="155"/>
    </row>
    <row r="74" spans="1:47" ht="12">
      <c r="A74" s="11"/>
      <c r="B74" s="12"/>
      <c r="C74" s="12"/>
      <c r="D74" s="14"/>
      <c r="E74" s="14"/>
      <c r="F74" s="12"/>
      <c r="G74" s="12"/>
      <c r="H74" s="12"/>
      <c r="I74" s="12"/>
      <c r="J74" s="12"/>
      <c r="K74" s="12"/>
      <c r="L74" s="12"/>
      <c r="M74" s="12"/>
      <c r="N74" s="12"/>
      <c r="O74" s="15"/>
      <c r="P74" s="16"/>
      <c r="Q74" s="16"/>
      <c r="R74" s="16"/>
      <c r="S74" s="15"/>
      <c r="T74" s="15"/>
      <c r="U74" s="15"/>
      <c r="V74" s="15"/>
      <c r="W74" s="15"/>
      <c r="X74" s="15"/>
      <c r="Y74" s="15"/>
      <c r="Z74" s="15"/>
      <c r="AA74" s="17"/>
      <c r="AB74" s="12"/>
      <c r="AC74" s="12"/>
      <c r="AD74" s="12"/>
      <c r="AE74" s="12"/>
      <c r="AF74" s="12"/>
      <c r="AG74" s="18"/>
      <c r="AH74" s="19"/>
      <c r="AI74" s="20"/>
      <c r="AJ74" s="12"/>
      <c r="AK74" s="12"/>
      <c r="AL74" s="12"/>
      <c r="AM74" s="12"/>
      <c r="AN74" s="12"/>
      <c r="AO74" s="12"/>
      <c r="AP74" s="18"/>
      <c r="AQ74" s="163"/>
      <c r="AR74" s="155"/>
      <c r="AS74" s="155"/>
      <c r="AT74" s="155"/>
      <c r="AU74" s="155"/>
    </row>
    <row r="75" spans="1:47" ht="12">
      <c r="A75" s="11"/>
      <c r="B75" s="12"/>
      <c r="C75" s="12"/>
      <c r="D75" s="14"/>
      <c r="E75" s="14"/>
      <c r="F75" s="12"/>
      <c r="G75" s="12"/>
      <c r="H75" s="12"/>
      <c r="I75" s="12"/>
      <c r="J75" s="12"/>
      <c r="K75" s="12"/>
      <c r="L75" s="12"/>
      <c r="M75" s="12"/>
      <c r="N75" s="12"/>
      <c r="O75" s="15"/>
      <c r="P75" s="16"/>
      <c r="Q75" s="16"/>
      <c r="R75" s="16"/>
      <c r="S75" s="15"/>
      <c r="T75" s="15"/>
      <c r="U75" s="15"/>
      <c r="V75" s="15"/>
      <c r="W75" s="15"/>
      <c r="X75" s="15"/>
      <c r="Y75" s="15"/>
      <c r="Z75" s="15"/>
      <c r="AA75" s="17"/>
      <c r="AB75" s="12"/>
      <c r="AC75" s="12"/>
      <c r="AD75" s="12"/>
      <c r="AE75" s="12"/>
      <c r="AF75" s="12"/>
      <c r="AG75" s="18"/>
      <c r="AH75" s="19"/>
      <c r="AI75" s="20"/>
      <c r="AJ75" s="12"/>
      <c r="AK75" s="12"/>
      <c r="AL75" s="12"/>
      <c r="AM75" s="12"/>
      <c r="AN75" s="12"/>
      <c r="AO75" s="12"/>
      <c r="AP75" s="19"/>
      <c r="AQ75" s="163"/>
      <c r="AR75" s="155"/>
      <c r="AS75" s="155"/>
      <c r="AT75" s="155"/>
      <c r="AU75" s="155"/>
    </row>
    <row r="76" spans="1:47" ht="12">
      <c r="A76" s="11"/>
      <c r="B76" s="12"/>
      <c r="C76" s="12"/>
      <c r="D76" s="14"/>
      <c r="E76" s="14"/>
      <c r="F76" s="12"/>
      <c r="G76" s="12"/>
      <c r="H76" s="12"/>
      <c r="I76" s="12"/>
      <c r="J76" s="12"/>
      <c r="K76" s="12"/>
      <c r="L76" s="12"/>
      <c r="M76" s="12"/>
      <c r="N76" s="12"/>
      <c r="O76" s="15"/>
      <c r="P76" s="16"/>
      <c r="Q76" s="16"/>
      <c r="R76" s="16"/>
      <c r="S76" s="15"/>
      <c r="T76" s="15"/>
      <c r="U76" s="15"/>
      <c r="V76" s="15"/>
      <c r="W76" s="15"/>
      <c r="X76" s="15"/>
      <c r="Y76" s="15"/>
      <c r="Z76" s="15"/>
      <c r="AA76" s="17"/>
      <c r="AB76" s="12"/>
      <c r="AC76" s="12"/>
      <c r="AD76" s="12"/>
      <c r="AE76" s="12"/>
      <c r="AF76" s="12"/>
      <c r="AG76" s="18"/>
      <c r="AH76" s="19"/>
      <c r="AI76" s="20"/>
      <c r="AJ76" s="12"/>
      <c r="AK76" s="12"/>
      <c r="AL76" s="12"/>
      <c r="AM76" s="12"/>
      <c r="AN76" s="12"/>
      <c r="AO76" s="12"/>
      <c r="AP76" s="19"/>
      <c r="AQ76" s="163"/>
      <c r="AR76" s="155"/>
      <c r="AS76" s="155"/>
      <c r="AT76" s="155"/>
      <c r="AU76" s="155"/>
    </row>
    <row r="77" spans="1:47" ht="12">
      <c r="A77" s="11"/>
      <c r="B77" s="12"/>
      <c r="C77" s="12"/>
      <c r="D77" s="14"/>
      <c r="E77" s="14"/>
      <c r="F77" s="12"/>
      <c r="G77" s="12"/>
      <c r="H77" s="12"/>
      <c r="I77" s="12"/>
      <c r="J77" s="12"/>
      <c r="K77" s="12"/>
      <c r="L77" s="12"/>
      <c r="M77" s="12"/>
      <c r="N77" s="12"/>
      <c r="O77" s="15"/>
      <c r="P77" s="16"/>
      <c r="Q77" s="16"/>
      <c r="R77" s="16"/>
      <c r="S77" s="15"/>
      <c r="T77" s="15"/>
      <c r="U77" s="15"/>
      <c r="V77" s="15"/>
      <c r="W77" s="15"/>
      <c r="X77" s="15"/>
      <c r="Y77" s="15"/>
      <c r="Z77" s="15"/>
      <c r="AA77" s="17"/>
      <c r="AB77" s="12"/>
      <c r="AC77" s="12"/>
      <c r="AD77" s="12"/>
      <c r="AE77" s="12"/>
      <c r="AF77" s="12"/>
      <c r="AG77" s="18"/>
      <c r="AH77" s="18"/>
      <c r="AI77" s="20"/>
      <c r="AJ77" s="12"/>
      <c r="AK77" s="12"/>
      <c r="AL77" s="12"/>
      <c r="AM77" s="12"/>
      <c r="AN77" s="12"/>
      <c r="AO77" s="12"/>
      <c r="AP77" s="18"/>
      <c r="AQ77" s="163"/>
      <c r="AR77" s="155"/>
      <c r="AS77" s="155"/>
      <c r="AT77" s="155"/>
      <c r="AU77" s="155"/>
    </row>
    <row r="78" spans="1:47" ht="12">
      <c r="A78" s="11"/>
      <c r="B78" s="12"/>
      <c r="C78" s="12"/>
      <c r="D78" s="14"/>
      <c r="E78" s="14"/>
      <c r="F78" s="12"/>
      <c r="G78" s="12"/>
      <c r="H78" s="12"/>
      <c r="I78" s="12"/>
      <c r="J78" s="12"/>
      <c r="K78" s="12"/>
      <c r="L78" s="12"/>
      <c r="M78" s="12"/>
      <c r="N78" s="12"/>
      <c r="O78" s="15"/>
      <c r="P78" s="16"/>
      <c r="Q78" s="16"/>
      <c r="R78" s="16"/>
      <c r="S78" s="15"/>
      <c r="T78" s="15"/>
      <c r="U78" s="15"/>
      <c r="V78" s="15"/>
      <c r="W78" s="15"/>
      <c r="X78" s="15"/>
      <c r="Y78" s="15"/>
      <c r="Z78" s="15"/>
      <c r="AA78" s="17"/>
      <c r="AB78" s="12"/>
      <c r="AC78" s="12"/>
      <c r="AD78" s="12"/>
      <c r="AE78" s="12"/>
      <c r="AF78" s="12"/>
      <c r="AG78" s="18"/>
      <c r="AH78" s="19"/>
      <c r="AI78" s="20"/>
      <c r="AJ78" s="12"/>
      <c r="AK78" s="12"/>
      <c r="AL78" s="12"/>
      <c r="AM78" s="12"/>
      <c r="AN78" s="12"/>
      <c r="AO78" s="12"/>
      <c r="AP78" s="19"/>
      <c r="AQ78" s="163"/>
      <c r="AR78" s="155"/>
      <c r="AS78" s="155"/>
      <c r="AT78" s="155"/>
      <c r="AU78" s="155"/>
    </row>
    <row r="79" spans="1:47" ht="12">
      <c r="A79" s="11"/>
      <c r="B79" s="12"/>
      <c r="C79" s="12"/>
      <c r="D79" s="14"/>
      <c r="E79" s="14"/>
      <c r="F79" s="12"/>
      <c r="G79" s="12"/>
      <c r="H79" s="12"/>
      <c r="I79" s="12"/>
      <c r="J79" s="12"/>
      <c r="K79" s="12"/>
      <c r="L79" s="12"/>
      <c r="M79" s="12"/>
      <c r="N79" s="12"/>
      <c r="O79" s="15"/>
      <c r="P79" s="16"/>
      <c r="Q79" s="16"/>
      <c r="R79" s="16"/>
      <c r="S79" s="15"/>
      <c r="T79" s="15"/>
      <c r="U79" s="15"/>
      <c r="V79" s="15"/>
      <c r="W79" s="15"/>
      <c r="X79" s="15"/>
      <c r="Y79" s="15"/>
      <c r="Z79" s="15"/>
      <c r="AA79" s="17"/>
      <c r="AB79" s="12"/>
      <c r="AC79" s="12"/>
      <c r="AD79" s="12"/>
      <c r="AE79" s="12"/>
      <c r="AF79" s="12"/>
      <c r="AG79" s="18"/>
      <c r="AH79" s="19"/>
      <c r="AI79" s="20"/>
      <c r="AJ79" s="12"/>
      <c r="AK79" s="12"/>
      <c r="AL79" s="12"/>
      <c r="AM79" s="12"/>
      <c r="AN79" s="12"/>
      <c r="AO79" s="12"/>
      <c r="AP79" s="18"/>
      <c r="AQ79" s="163"/>
      <c r="AR79" s="155"/>
      <c r="AS79" s="155"/>
      <c r="AT79" s="155"/>
      <c r="AU79" s="155"/>
    </row>
    <row r="80" spans="1:47" ht="12">
      <c r="A80" s="11"/>
      <c r="B80" s="12"/>
      <c r="C80" s="12"/>
      <c r="D80" s="14"/>
      <c r="E80" s="14"/>
      <c r="F80" s="12"/>
      <c r="G80" s="12"/>
      <c r="H80" s="12"/>
      <c r="I80" s="12"/>
      <c r="J80" s="12"/>
      <c r="K80" s="12"/>
      <c r="L80" s="12"/>
      <c r="M80" s="12"/>
      <c r="N80" s="12"/>
      <c r="O80" s="15"/>
      <c r="P80" s="16"/>
      <c r="Q80" s="16"/>
      <c r="R80" s="16"/>
      <c r="S80" s="15"/>
      <c r="T80" s="15"/>
      <c r="U80" s="15"/>
      <c r="V80" s="15"/>
      <c r="W80" s="15"/>
      <c r="X80" s="15"/>
      <c r="Y80" s="15"/>
      <c r="Z80" s="15"/>
      <c r="AA80" s="17"/>
      <c r="AB80" s="12"/>
      <c r="AC80" s="12"/>
      <c r="AD80" s="12"/>
      <c r="AE80" s="12"/>
      <c r="AF80" s="12"/>
      <c r="AG80" s="18"/>
      <c r="AH80" s="19"/>
      <c r="AI80" s="20"/>
      <c r="AJ80" s="12"/>
      <c r="AK80" s="12"/>
      <c r="AL80" s="12"/>
      <c r="AM80" s="12"/>
      <c r="AN80" s="12"/>
      <c r="AO80" s="12"/>
      <c r="AP80" s="19"/>
      <c r="AQ80" s="163"/>
      <c r="AR80" s="155"/>
      <c r="AS80" s="155"/>
      <c r="AT80" s="155"/>
      <c r="AU80" s="155"/>
    </row>
    <row r="81" spans="1:47" ht="12">
      <c r="A81" s="22"/>
      <c r="B81" s="13"/>
      <c r="C81" s="13"/>
      <c r="D81" s="14"/>
      <c r="E81" s="14"/>
      <c r="F81" s="13"/>
      <c r="G81" s="12"/>
      <c r="H81" s="12"/>
      <c r="I81" s="13"/>
      <c r="J81" s="13"/>
      <c r="K81" s="13"/>
      <c r="L81" s="13"/>
      <c r="M81" s="13"/>
      <c r="N81" s="12"/>
      <c r="O81" s="15"/>
      <c r="P81" s="23"/>
      <c r="Q81" s="23"/>
      <c r="R81" s="23"/>
      <c r="S81" s="15"/>
      <c r="T81" s="15"/>
      <c r="U81" s="15"/>
      <c r="V81" s="15"/>
      <c r="W81" s="15"/>
      <c r="X81" s="15"/>
      <c r="Y81" s="15"/>
      <c r="Z81" s="15"/>
      <c r="AA81" s="17"/>
      <c r="AB81" s="13"/>
      <c r="AC81" s="12"/>
      <c r="AD81" s="12"/>
      <c r="AE81" s="13"/>
      <c r="AF81" s="12"/>
      <c r="AG81" s="24"/>
      <c r="AH81" s="25"/>
      <c r="AI81" s="20"/>
      <c r="AJ81" s="13"/>
      <c r="AK81" s="12"/>
      <c r="AL81" s="13"/>
      <c r="AM81" s="13"/>
      <c r="AN81" s="12"/>
      <c r="AO81" s="12"/>
      <c r="AP81" s="25"/>
      <c r="AQ81" s="163"/>
      <c r="AR81" s="155"/>
      <c r="AS81" s="155"/>
      <c r="AT81" s="155"/>
      <c r="AU81" s="155"/>
    </row>
    <row r="82" spans="1:47" ht="12">
      <c r="A82" s="22"/>
      <c r="B82" s="13"/>
      <c r="C82" s="13"/>
      <c r="D82" s="14"/>
      <c r="E82" s="14"/>
      <c r="F82" s="13"/>
      <c r="G82" s="12"/>
      <c r="H82" s="12"/>
      <c r="I82" s="13"/>
      <c r="J82" s="13"/>
      <c r="K82" s="13"/>
      <c r="L82" s="13"/>
      <c r="M82" s="13"/>
      <c r="N82" s="12"/>
      <c r="O82" s="15"/>
      <c r="P82" s="23"/>
      <c r="Q82" s="23"/>
      <c r="R82" s="23"/>
      <c r="S82" s="15"/>
      <c r="T82" s="15"/>
      <c r="U82" s="15"/>
      <c r="V82" s="15"/>
      <c r="W82" s="15"/>
      <c r="X82" s="15"/>
      <c r="Y82" s="15"/>
      <c r="Z82" s="15"/>
      <c r="AA82" s="17"/>
      <c r="AB82" s="13"/>
      <c r="AC82" s="12"/>
      <c r="AD82" s="12"/>
      <c r="AE82" s="13"/>
      <c r="AF82" s="12"/>
      <c r="AG82" s="24"/>
      <c r="AH82" s="25"/>
      <c r="AI82" s="20"/>
      <c r="AJ82" s="13"/>
      <c r="AK82" s="12"/>
      <c r="AL82" s="13"/>
      <c r="AM82" s="13"/>
      <c r="AN82" s="12"/>
      <c r="AO82" s="12"/>
      <c r="AP82" s="25"/>
      <c r="AQ82" s="163"/>
      <c r="AR82" s="155"/>
      <c r="AS82" s="155"/>
      <c r="AT82" s="155"/>
      <c r="AU82" s="155"/>
    </row>
    <row r="83" spans="1:47" ht="12">
      <c r="A83" s="22"/>
      <c r="B83" s="13"/>
      <c r="C83" s="13"/>
      <c r="D83" s="14"/>
      <c r="E83" s="14"/>
      <c r="F83" s="13"/>
      <c r="G83" s="12"/>
      <c r="H83" s="12"/>
      <c r="I83" s="13"/>
      <c r="J83" s="13"/>
      <c r="K83" s="13"/>
      <c r="L83" s="13"/>
      <c r="M83" s="13"/>
      <c r="N83" s="12"/>
      <c r="O83" s="15"/>
      <c r="P83" s="23"/>
      <c r="Q83" s="23"/>
      <c r="R83" s="23"/>
      <c r="S83" s="15"/>
      <c r="T83" s="15"/>
      <c r="U83" s="15"/>
      <c r="V83" s="15"/>
      <c r="W83" s="15"/>
      <c r="X83" s="15"/>
      <c r="Y83" s="15"/>
      <c r="Z83" s="15"/>
      <c r="AA83" s="17"/>
      <c r="AB83" s="13"/>
      <c r="AC83" s="12"/>
      <c r="AD83" s="12"/>
      <c r="AE83" s="13"/>
      <c r="AF83" s="12"/>
      <c r="AG83" s="24"/>
      <c r="AH83" s="25"/>
      <c r="AI83" s="20"/>
      <c r="AJ83" s="13"/>
      <c r="AK83" s="12"/>
      <c r="AL83" s="13"/>
      <c r="AM83" s="13"/>
      <c r="AN83" s="12"/>
      <c r="AO83" s="12"/>
      <c r="AP83" s="25"/>
      <c r="AQ83" s="163"/>
      <c r="AR83" s="155"/>
      <c r="AS83" s="155"/>
      <c r="AT83" s="155"/>
      <c r="AU83" s="155"/>
    </row>
    <row r="84" spans="1:47" ht="12">
      <c r="A84" s="22"/>
      <c r="B84" s="13"/>
      <c r="C84" s="13"/>
      <c r="D84" s="14"/>
      <c r="E84" s="14"/>
      <c r="F84" s="13"/>
      <c r="G84" s="12"/>
      <c r="H84" s="12"/>
      <c r="I84" s="13"/>
      <c r="J84" s="13"/>
      <c r="K84" s="13"/>
      <c r="L84" s="13"/>
      <c r="M84" s="13"/>
      <c r="N84" s="13"/>
      <c r="O84" s="15"/>
      <c r="P84" s="23"/>
      <c r="Q84" s="23"/>
      <c r="R84" s="23"/>
      <c r="S84" s="15"/>
      <c r="T84" s="15"/>
      <c r="U84" s="15"/>
      <c r="V84" s="15"/>
      <c r="W84" s="15"/>
      <c r="X84" s="15"/>
      <c r="Y84" s="15"/>
      <c r="Z84" s="15"/>
      <c r="AA84" s="17"/>
      <c r="AB84" s="13"/>
      <c r="AC84" s="12"/>
      <c r="AD84" s="12"/>
      <c r="AE84" s="13"/>
      <c r="AF84" s="12"/>
      <c r="AG84" s="24"/>
      <c r="AH84" s="25"/>
      <c r="AI84" s="20"/>
      <c r="AJ84" s="13"/>
      <c r="AK84" s="12"/>
      <c r="AL84" s="13"/>
      <c r="AM84" s="13"/>
      <c r="AN84" s="12"/>
      <c r="AO84" s="12"/>
      <c r="AP84" s="25"/>
      <c r="AQ84" s="163"/>
      <c r="AR84" s="155"/>
      <c r="AS84" s="155"/>
      <c r="AT84" s="155"/>
      <c r="AU84" s="155"/>
    </row>
    <row r="85" spans="1:47" ht="12">
      <c r="A85" s="22"/>
      <c r="B85" s="13"/>
      <c r="C85" s="13"/>
      <c r="D85" s="14"/>
      <c r="E85" s="14"/>
      <c r="F85" s="13"/>
      <c r="G85" s="12"/>
      <c r="H85" s="12"/>
      <c r="I85" s="13"/>
      <c r="J85" s="13"/>
      <c r="K85" s="13"/>
      <c r="L85" s="13"/>
      <c r="M85" s="13"/>
      <c r="N85" s="13"/>
      <c r="O85" s="15"/>
      <c r="P85" s="23"/>
      <c r="Q85" s="23"/>
      <c r="R85" s="23"/>
      <c r="S85" s="15"/>
      <c r="T85" s="15"/>
      <c r="U85" s="15"/>
      <c r="V85" s="15"/>
      <c r="W85" s="15"/>
      <c r="X85" s="15"/>
      <c r="Y85" s="15"/>
      <c r="Z85" s="15"/>
      <c r="AA85" s="17"/>
      <c r="AB85" s="13"/>
      <c r="AC85" s="12"/>
      <c r="AD85" s="12"/>
      <c r="AE85" s="12"/>
      <c r="AF85" s="13"/>
      <c r="AG85" s="24"/>
      <c r="AH85" s="24"/>
      <c r="AI85" s="20"/>
      <c r="AJ85" s="13"/>
      <c r="AK85" s="12"/>
      <c r="AL85" s="13"/>
      <c r="AM85" s="13"/>
      <c r="AN85" s="12"/>
      <c r="AO85" s="12"/>
      <c r="AP85" s="24"/>
      <c r="AQ85" s="163"/>
      <c r="AR85" s="155"/>
      <c r="AS85" s="155"/>
      <c r="AT85" s="155"/>
      <c r="AU85" s="155"/>
    </row>
    <row r="86" spans="1:47" ht="12">
      <c r="A86" s="22"/>
      <c r="B86" s="13"/>
      <c r="C86" s="13"/>
      <c r="D86" s="14"/>
      <c r="E86" s="14"/>
      <c r="F86" s="13"/>
      <c r="G86" s="12"/>
      <c r="H86" s="12"/>
      <c r="I86" s="13"/>
      <c r="J86" s="13"/>
      <c r="K86" s="13"/>
      <c r="L86" s="13"/>
      <c r="M86" s="13"/>
      <c r="N86" s="13"/>
      <c r="O86" s="15"/>
      <c r="P86" s="23"/>
      <c r="Q86" s="23"/>
      <c r="R86" s="23"/>
      <c r="S86" s="15"/>
      <c r="T86" s="15"/>
      <c r="U86" s="15"/>
      <c r="V86" s="15"/>
      <c r="W86" s="15"/>
      <c r="X86" s="15"/>
      <c r="Y86" s="15"/>
      <c r="Z86" s="15"/>
      <c r="AA86" s="17"/>
      <c r="AB86" s="13"/>
      <c r="AC86" s="12"/>
      <c r="AD86" s="12"/>
      <c r="AE86" s="13"/>
      <c r="AF86" s="12"/>
      <c r="AG86" s="24"/>
      <c r="AH86" s="25"/>
      <c r="AI86" s="20"/>
      <c r="AJ86" s="13"/>
      <c r="AK86" s="12"/>
      <c r="AL86" s="13"/>
      <c r="AM86" s="13"/>
      <c r="AN86" s="12"/>
      <c r="AO86" s="12"/>
      <c r="AP86" s="25"/>
      <c r="AQ86" s="163"/>
      <c r="AR86" s="155"/>
      <c r="AS86" s="155"/>
      <c r="AT86" s="155"/>
      <c r="AU86" s="155"/>
    </row>
    <row r="87" spans="1:47" ht="12">
      <c r="A87" s="22"/>
      <c r="B87" s="13"/>
      <c r="C87" s="13"/>
      <c r="D87" s="14"/>
      <c r="E87" s="14"/>
      <c r="F87" s="13"/>
      <c r="G87" s="12"/>
      <c r="H87" s="12"/>
      <c r="I87" s="13"/>
      <c r="J87" s="13"/>
      <c r="K87" s="13"/>
      <c r="L87" s="13"/>
      <c r="M87" s="13"/>
      <c r="N87" s="13"/>
      <c r="O87" s="15"/>
      <c r="P87" s="23"/>
      <c r="Q87" s="23"/>
      <c r="R87" s="23"/>
      <c r="S87" s="15"/>
      <c r="T87" s="15"/>
      <c r="U87" s="15"/>
      <c r="V87" s="15"/>
      <c r="W87" s="15"/>
      <c r="X87" s="15"/>
      <c r="Y87" s="15"/>
      <c r="Z87" s="15"/>
      <c r="AA87" s="17"/>
      <c r="AB87" s="13"/>
      <c r="AC87" s="12"/>
      <c r="AD87" s="12"/>
      <c r="AE87" s="13"/>
      <c r="AF87" s="12"/>
      <c r="AG87" s="24"/>
      <c r="AH87" s="25"/>
      <c r="AI87" s="20"/>
      <c r="AJ87" s="13"/>
      <c r="AK87" s="12"/>
      <c r="AL87" s="13"/>
      <c r="AM87" s="13"/>
      <c r="AN87" s="12"/>
      <c r="AO87" s="12"/>
      <c r="AP87" s="25"/>
      <c r="AQ87" s="163"/>
      <c r="AR87" s="155"/>
      <c r="AS87" s="155"/>
      <c r="AT87" s="155"/>
      <c r="AU87" s="155"/>
    </row>
    <row r="88" spans="1:47" ht="12">
      <c r="A88" s="22"/>
      <c r="B88" s="13"/>
      <c r="C88" s="13"/>
      <c r="D88" s="14"/>
      <c r="E88" s="14"/>
      <c r="F88" s="13"/>
      <c r="G88" s="12"/>
      <c r="H88" s="12"/>
      <c r="I88" s="13"/>
      <c r="J88" s="13"/>
      <c r="K88" s="13"/>
      <c r="L88" s="13"/>
      <c r="M88" s="13"/>
      <c r="N88" s="13"/>
      <c r="O88" s="15"/>
      <c r="P88" s="23"/>
      <c r="Q88" s="23"/>
      <c r="R88" s="23"/>
      <c r="S88" s="15"/>
      <c r="T88" s="15"/>
      <c r="U88" s="15"/>
      <c r="V88" s="15"/>
      <c r="W88" s="15"/>
      <c r="X88" s="15"/>
      <c r="Y88" s="15"/>
      <c r="Z88" s="15"/>
      <c r="AA88" s="17"/>
      <c r="AB88" s="13"/>
      <c r="AC88" s="12"/>
      <c r="AD88" s="12"/>
      <c r="AE88" s="12"/>
      <c r="AF88" s="12"/>
      <c r="AG88" s="24"/>
      <c r="AH88" s="25"/>
      <c r="AI88" s="20"/>
      <c r="AJ88" s="13"/>
      <c r="AK88" s="12"/>
      <c r="AL88" s="13"/>
      <c r="AM88" s="13"/>
      <c r="AN88" s="12"/>
      <c r="AO88" s="12"/>
      <c r="AP88" s="25"/>
      <c r="AQ88" s="163"/>
      <c r="AR88" s="155"/>
      <c r="AS88" s="155"/>
      <c r="AT88" s="155"/>
      <c r="AU88" s="155"/>
    </row>
    <row r="89" spans="1:47" ht="12">
      <c r="A89" s="22"/>
      <c r="B89" s="13"/>
      <c r="C89" s="13"/>
      <c r="D89" s="14"/>
      <c r="E89" s="14"/>
      <c r="F89" s="13"/>
      <c r="G89" s="12"/>
      <c r="H89" s="12"/>
      <c r="I89" s="13"/>
      <c r="J89" s="13"/>
      <c r="K89" s="13"/>
      <c r="L89" s="13"/>
      <c r="M89" s="13"/>
      <c r="N89" s="13"/>
      <c r="O89" s="15"/>
      <c r="P89" s="23"/>
      <c r="Q89" s="23"/>
      <c r="R89" s="23"/>
      <c r="S89" s="15"/>
      <c r="T89" s="15"/>
      <c r="U89" s="15"/>
      <c r="V89" s="15"/>
      <c r="W89" s="15"/>
      <c r="X89" s="15"/>
      <c r="Y89" s="15"/>
      <c r="Z89" s="15"/>
      <c r="AA89" s="17"/>
      <c r="AB89" s="13"/>
      <c r="AC89" s="12"/>
      <c r="AD89" s="12"/>
      <c r="AE89" s="13"/>
      <c r="AF89" s="12"/>
      <c r="AG89" s="24"/>
      <c r="AH89" s="25"/>
      <c r="AI89" s="20"/>
      <c r="AJ89" s="13"/>
      <c r="AK89" s="12"/>
      <c r="AL89" s="13"/>
      <c r="AM89" s="13"/>
      <c r="AN89" s="12"/>
      <c r="AO89" s="12"/>
      <c r="AP89" s="24"/>
      <c r="AQ89" s="163"/>
      <c r="AR89" s="155"/>
      <c r="AS89" s="155"/>
      <c r="AT89" s="155"/>
      <c r="AU89" s="155"/>
    </row>
    <row r="90" spans="1:47" ht="12">
      <c r="A90" s="22"/>
      <c r="B90" s="13"/>
      <c r="C90" s="13"/>
      <c r="D90" s="14"/>
      <c r="E90" s="14"/>
      <c r="F90" s="13"/>
      <c r="G90" s="12"/>
      <c r="H90" s="12"/>
      <c r="I90" s="13"/>
      <c r="J90" s="13"/>
      <c r="K90" s="13"/>
      <c r="L90" s="13"/>
      <c r="M90" s="13"/>
      <c r="N90" s="13"/>
      <c r="O90" s="15"/>
      <c r="P90" s="23"/>
      <c r="Q90" s="23"/>
      <c r="R90" s="23"/>
      <c r="S90" s="15"/>
      <c r="T90" s="15"/>
      <c r="U90" s="15"/>
      <c r="V90" s="15"/>
      <c r="W90" s="15"/>
      <c r="X90" s="15"/>
      <c r="Y90" s="15"/>
      <c r="Z90" s="15"/>
      <c r="AA90" s="17"/>
      <c r="AB90" s="13"/>
      <c r="AC90" s="12"/>
      <c r="AD90" s="12"/>
      <c r="AE90" s="13"/>
      <c r="AF90" s="12"/>
      <c r="AG90" s="24"/>
      <c r="AH90" s="25"/>
      <c r="AI90" s="20"/>
      <c r="AJ90" s="13"/>
      <c r="AK90" s="12"/>
      <c r="AL90" s="13"/>
      <c r="AM90" s="13"/>
      <c r="AN90" s="12"/>
      <c r="AO90" s="12"/>
      <c r="AP90" s="24"/>
      <c r="AQ90" s="163"/>
      <c r="AR90" s="155"/>
      <c r="AS90" s="155"/>
      <c r="AT90" s="155"/>
      <c r="AU90" s="155"/>
    </row>
    <row r="91" spans="1:47" ht="12">
      <c r="A91" s="22"/>
      <c r="B91" s="13"/>
      <c r="C91" s="13"/>
      <c r="D91" s="14"/>
      <c r="E91" s="14"/>
      <c r="F91" s="13"/>
      <c r="G91" s="12"/>
      <c r="H91" s="12"/>
      <c r="I91" s="13"/>
      <c r="J91" s="13"/>
      <c r="K91" s="13"/>
      <c r="L91" s="13"/>
      <c r="M91" s="13"/>
      <c r="N91" s="13"/>
      <c r="O91" s="15"/>
      <c r="P91" s="23"/>
      <c r="Q91" s="23"/>
      <c r="R91" s="23"/>
      <c r="S91" s="15"/>
      <c r="T91" s="15"/>
      <c r="U91" s="15"/>
      <c r="V91" s="15"/>
      <c r="W91" s="15"/>
      <c r="X91" s="15"/>
      <c r="Y91" s="15"/>
      <c r="Z91" s="15"/>
      <c r="AA91" s="17"/>
      <c r="AB91" s="13"/>
      <c r="AC91" s="12"/>
      <c r="AD91" s="12"/>
      <c r="AE91" s="13"/>
      <c r="AF91" s="12"/>
      <c r="AG91" s="24"/>
      <c r="AH91" s="25"/>
      <c r="AI91" s="20"/>
      <c r="AJ91" s="13"/>
      <c r="AK91" s="12"/>
      <c r="AL91" s="13"/>
      <c r="AM91" s="13"/>
      <c r="AN91" s="12"/>
      <c r="AO91" s="12"/>
      <c r="AP91" s="25"/>
      <c r="AQ91" s="163"/>
      <c r="AR91" s="155"/>
      <c r="AS91" s="155"/>
      <c r="AT91" s="155"/>
      <c r="AU91" s="155"/>
    </row>
    <row r="92" spans="1:47" ht="12">
      <c r="A92" s="22"/>
      <c r="B92" s="13"/>
      <c r="C92" s="13"/>
      <c r="D92" s="14"/>
      <c r="E92" s="14"/>
      <c r="F92" s="13"/>
      <c r="G92" s="12"/>
      <c r="H92" s="12"/>
      <c r="I92" s="13"/>
      <c r="J92" s="13"/>
      <c r="K92" s="13"/>
      <c r="L92" s="13"/>
      <c r="M92" s="13"/>
      <c r="N92" s="13"/>
      <c r="O92" s="15"/>
      <c r="P92" s="23"/>
      <c r="Q92" s="23"/>
      <c r="R92" s="23"/>
      <c r="S92" s="15"/>
      <c r="T92" s="15"/>
      <c r="U92" s="15"/>
      <c r="V92" s="15"/>
      <c r="W92" s="15"/>
      <c r="X92" s="15"/>
      <c r="Y92" s="15"/>
      <c r="Z92" s="15"/>
      <c r="AA92" s="17"/>
      <c r="AB92" s="13"/>
      <c r="AC92" s="12"/>
      <c r="AD92" s="12"/>
      <c r="AE92" s="13"/>
      <c r="AF92" s="12"/>
      <c r="AG92" s="24"/>
      <c r="AH92" s="25"/>
      <c r="AI92" s="20"/>
      <c r="AJ92" s="13"/>
      <c r="AK92" s="12"/>
      <c r="AL92" s="13"/>
      <c r="AM92" s="13"/>
      <c r="AN92" s="12"/>
      <c r="AO92" s="12"/>
      <c r="AP92" s="25"/>
      <c r="AQ92" s="163"/>
      <c r="AR92" s="155"/>
      <c r="AS92" s="155"/>
      <c r="AT92" s="155"/>
      <c r="AU92" s="155"/>
    </row>
    <row r="93" spans="1:47" ht="13">
      <c r="A93" s="22"/>
      <c r="B93" s="13"/>
      <c r="C93" s="13"/>
      <c r="D93" s="14"/>
      <c r="E93" s="14"/>
      <c r="F93" s="13"/>
      <c r="G93" s="12"/>
      <c r="H93" s="12"/>
      <c r="I93" s="13"/>
      <c r="J93" s="13"/>
      <c r="K93" s="13"/>
      <c r="L93" s="13"/>
      <c r="M93" s="13"/>
      <c r="N93" s="13"/>
      <c r="O93" s="15"/>
      <c r="P93" s="23"/>
      <c r="Q93" s="23"/>
      <c r="R93" s="23"/>
      <c r="S93" s="15"/>
      <c r="T93" s="15"/>
      <c r="U93" s="15"/>
      <c r="V93" s="15"/>
      <c r="W93" s="15"/>
      <c r="X93" s="15"/>
      <c r="Y93" s="15"/>
      <c r="Z93" s="15"/>
      <c r="AA93" s="17"/>
      <c r="AB93" s="13"/>
      <c r="AC93" s="12"/>
      <c r="AD93" s="12"/>
      <c r="AE93" s="13"/>
      <c r="AF93" s="13"/>
      <c r="AG93" s="24"/>
      <c r="AH93" s="21"/>
      <c r="AI93" s="20"/>
      <c r="AJ93" s="13"/>
      <c r="AK93" s="12"/>
      <c r="AL93" s="13"/>
      <c r="AM93" s="13"/>
      <c r="AN93" s="12"/>
      <c r="AO93" s="12"/>
      <c r="AP93" s="25"/>
      <c r="AQ93" s="163"/>
      <c r="AR93" s="155"/>
      <c r="AS93" s="155"/>
      <c r="AT93" s="155"/>
      <c r="AU93" s="155"/>
    </row>
    <row r="94" spans="1:47" ht="12">
      <c r="A94" s="22"/>
      <c r="B94" s="13"/>
      <c r="C94" s="13"/>
      <c r="D94" s="14"/>
      <c r="E94" s="14"/>
      <c r="F94" s="13"/>
      <c r="G94" s="12"/>
      <c r="H94" s="12"/>
      <c r="I94" s="13"/>
      <c r="J94" s="13"/>
      <c r="K94" s="13"/>
      <c r="L94" s="13"/>
      <c r="M94" s="13"/>
      <c r="N94" s="13"/>
      <c r="O94" s="15"/>
      <c r="P94" s="23"/>
      <c r="Q94" s="23"/>
      <c r="R94" s="23"/>
      <c r="S94" s="15"/>
      <c r="T94" s="15"/>
      <c r="U94" s="15"/>
      <c r="V94" s="15"/>
      <c r="W94" s="15"/>
      <c r="X94" s="15"/>
      <c r="Y94" s="15"/>
      <c r="Z94" s="15"/>
      <c r="AA94" s="17"/>
      <c r="AB94" s="13"/>
      <c r="AC94" s="12"/>
      <c r="AD94" s="12"/>
      <c r="AE94" s="13"/>
      <c r="AF94" s="12"/>
      <c r="AG94" s="24"/>
      <c r="AH94" s="25"/>
      <c r="AI94" s="20"/>
      <c r="AJ94" s="13"/>
      <c r="AK94" s="12"/>
      <c r="AL94" s="13"/>
      <c r="AM94" s="13"/>
      <c r="AN94" s="12"/>
      <c r="AO94" s="12"/>
      <c r="AP94" s="25"/>
      <c r="AQ94" s="163"/>
      <c r="AR94" s="155"/>
      <c r="AS94" s="155"/>
      <c r="AT94" s="155"/>
      <c r="AU94" s="155"/>
    </row>
    <row r="95" spans="1:47" ht="12">
      <c r="A95" s="22"/>
      <c r="B95" s="13"/>
      <c r="C95" s="13"/>
      <c r="D95" s="14"/>
      <c r="E95" s="14"/>
      <c r="F95" s="13"/>
      <c r="G95" s="12"/>
      <c r="H95" s="12"/>
      <c r="I95" s="13"/>
      <c r="J95" s="13"/>
      <c r="K95" s="13"/>
      <c r="L95" s="13"/>
      <c r="M95" s="13"/>
      <c r="N95" s="13"/>
      <c r="O95" s="15"/>
      <c r="P95" s="23"/>
      <c r="Q95" s="23"/>
      <c r="R95" s="23"/>
      <c r="S95" s="15"/>
      <c r="T95" s="15"/>
      <c r="U95" s="15"/>
      <c r="V95" s="15"/>
      <c r="W95" s="15"/>
      <c r="X95" s="15"/>
      <c r="Y95" s="15"/>
      <c r="Z95" s="15"/>
      <c r="AA95" s="17"/>
      <c r="AB95" s="13"/>
      <c r="AC95" s="12"/>
      <c r="AD95" s="12"/>
      <c r="AE95" s="13"/>
      <c r="AF95" s="12"/>
      <c r="AG95" s="24"/>
      <c r="AH95" s="25"/>
      <c r="AI95" s="20"/>
      <c r="AJ95" s="13"/>
      <c r="AK95" s="12"/>
      <c r="AL95" s="13"/>
      <c r="AM95" s="13"/>
      <c r="AN95" s="12"/>
      <c r="AO95" s="12"/>
      <c r="AP95" s="24"/>
      <c r="AQ95" s="163"/>
      <c r="AR95" s="155"/>
      <c r="AS95" s="155"/>
      <c r="AT95" s="155"/>
      <c r="AU95" s="155"/>
    </row>
    <row r="96" spans="1:47" ht="12">
      <c r="A96" s="22"/>
      <c r="B96" s="13"/>
      <c r="C96" s="13"/>
      <c r="D96" s="14"/>
      <c r="E96" s="14"/>
      <c r="F96" s="13"/>
      <c r="G96" s="12"/>
      <c r="H96" s="12"/>
      <c r="I96" s="13"/>
      <c r="J96" s="13"/>
      <c r="K96" s="13"/>
      <c r="L96" s="13"/>
      <c r="M96" s="13"/>
      <c r="N96" s="13"/>
      <c r="O96" s="15"/>
      <c r="P96" s="23"/>
      <c r="Q96" s="23"/>
      <c r="R96" s="23"/>
      <c r="S96" s="15"/>
      <c r="T96" s="15"/>
      <c r="U96" s="15"/>
      <c r="V96" s="15"/>
      <c r="W96" s="15"/>
      <c r="X96" s="15"/>
      <c r="Y96" s="15"/>
      <c r="Z96" s="15"/>
      <c r="AA96" s="17"/>
      <c r="AB96" s="13"/>
      <c r="AC96" s="12"/>
      <c r="AD96" s="12"/>
      <c r="AE96" s="13"/>
      <c r="AF96" s="12"/>
      <c r="AG96" s="24"/>
      <c r="AH96" s="25"/>
      <c r="AI96" s="20"/>
      <c r="AJ96" s="13"/>
      <c r="AK96" s="12"/>
      <c r="AL96" s="13"/>
      <c r="AM96" s="13"/>
      <c r="AN96" s="12"/>
      <c r="AO96" s="12"/>
      <c r="AP96" s="25"/>
      <c r="AQ96" s="163"/>
      <c r="AR96" s="155"/>
      <c r="AS96" s="155"/>
      <c r="AT96" s="155"/>
      <c r="AU96" s="155"/>
    </row>
    <row r="97" spans="1:47" ht="12">
      <c r="A97" s="11"/>
      <c r="B97" s="12"/>
      <c r="C97" s="12"/>
      <c r="D97" s="14"/>
      <c r="E97" s="14"/>
      <c r="F97" s="12"/>
      <c r="G97" s="12"/>
      <c r="H97" s="12"/>
      <c r="I97" s="12"/>
      <c r="J97" s="12"/>
      <c r="K97" s="12"/>
      <c r="L97" s="13"/>
      <c r="M97" s="12"/>
      <c r="N97" s="13"/>
      <c r="O97" s="15"/>
      <c r="P97" s="16"/>
      <c r="Q97" s="16"/>
      <c r="R97" s="16"/>
      <c r="S97" s="15"/>
      <c r="T97" s="15"/>
      <c r="U97" s="15"/>
      <c r="V97" s="15"/>
      <c r="W97" s="15"/>
      <c r="X97" s="15"/>
      <c r="Y97" s="15"/>
      <c r="Z97" s="15"/>
      <c r="AA97" s="17"/>
      <c r="AB97" s="12"/>
      <c r="AC97" s="73"/>
      <c r="AD97" s="73"/>
      <c r="AE97" s="12"/>
      <c r="AF97" s="12"/>
      <c r="AG97" s="18"/>
      <c r="AH97" s="19"/>
      <c r="AI97" s="20"/>
      <c r="AJ97" s="12"/>
      <c r="AK97" s="12"/>
      <c r="AL97" s="12"/>
      <c r="AM97" s="12"/>
      <c r="AN97" s="12"/>
      <c r="AO97" s="12"/>
      <c r="AP97" s="18"/>
      <c r="AQ97" s="163"/>
      <c r="AR97" s="155"/>
      <c r="AS97" s="155"/>
      <c r="AT97" s="155"/>
      <c r="AU97" s="155"/>
    </row>
    <row r="98" spans="1:47" ht="12">
      <c r="A98" s="11"/>
      <c r="B98" s="12"/>
      <c r="C98" s="12"/>
      <c r="D98" s="14"/>
      <c r="E98" s="14"/>
      <c r="F98" s="12"/>
      <c r="G98" s="12"/>
      <c r="H98" s="12"/>
      <c r="I98" s="12"/>
      <c r="J98" s="12"/>
      <c r="K98" s="12"/>
      <c r="L98" s="13"/>
      <c r="M98" s="12"/>
      <c r="N98" s="12"/>
      <c r="O98" s="15"/>
      <c r="P98" s="16"/>
      <c r="Q98" s="16"/>
      <c r="R98" s="16"/>
      <c r="S98" s="15"/>
      <c r="T98" s="15"/>
      <c r="U98" s="15"/>
      <c r="V98" s="15"/>
      <c r="W98" s="15"/>
      <c r="X98" s="15"/>
      <c r="Y98" s="15"/>
      <c r="Z98" s="15"/>
      <c r="AA98" s="17"/>
      <c r="AB98" s="12"/>
      <c r="AC98" s="12"/>
      <c r="AD98" s="12"/>
      <c r="AE98" s="12"/>
      <c r="AF98" s="12"/>
      <c r="AG98" s="18"/>
      <c r="AH98" s="19"/>
      <c r="AI98" s="20"/>
      <c r="AJ98" s="12"/>
      <c r="AK98" s="12"/>
      <c r="AL98" s="12"/>
      <c r="AM98" s="12"/>
      <c r="AN98" s="12"/>
      <c r="AO98" s="12"/>
      <c r="AP98" s="18"/>
      <c r="AQ98" s="163"/>
      <c r="AR98" s="155"/>
      <c r="AS98" s="155"/>
      <c r="AT98" s="155"/>
      <c r="AU98" s="155"/>
    </row>
    <row r="99" spans="1:47" ht="12">
      <c r="A99" s="11"/>
      <c r="B99" s="12"/>
      <c r="C99" s="12"/>
      <c r="D99" s="14"/>
      <c r="E99" s="14"/>
      <c r="F99" s="12"/>
      <c r="G99" s="12"/>
      <c r="H99" s="12"/>
      <c r="I99" s="12"/>
      <c r="J99" s="12"/>
      <c r="K99" s="12"/>
      <c r="L99" s="13"/>
      <c r="M99" s="12"/>
      <c r="N99" s="12"/>
      <c r="O99" s="15"/>
      <c r="P99" s="16"/>
      <c r="Q99" s="16"/>
      <c r="R99" s="16"/>
      <c r="S99" s="15"/>
      <c r="T99" s="15"/>
      <c r="U99" s="15"/>
      <c r="V99" s="15"/>
      <c r="W99" s="15"/>
      <c r="X99" s="15"/>
      <c r="Y99" s="15"/>
      <c r="Z99" s="15"/>
      <c r="AA99" s="17"/>
      <c r="AB99" s="12"/>
      <c r="AC99" s="12"/>
      <c r="AD99" s="12"/>
      <c r="AE99" s="12"/>
      <c r="AF99" s="12"/>
      <c r="AG99" s="18"/>
      <c r="AH99" s="18"/>
      <c r="AI99" s="20"/>
      <c r="AJ99" s="12"/>
      <c r="AK99" s="12"/>
      <c r="AL99" s="12"/>
      <c r="AM99" s="12"/>
      <c r="AN99" s="12"/>
      <c r="AO99" s="12"/>
      <c r="AP99" s="18"/>
      <c r="AQ99" s="163"/>
      <c r="AR99" s="155"/>
      <c r="AS99" s="155"/>
      <c r="AT99" s="155"/>
      <c r="AU99" s="155"/>
    </row>
    <row r="100" spans="1:47" ht="12">
      <c r="A100" s="11"/>
      <c r="B100" s="12"/>
      <c r="C100" s="12"/>
      <c r="D100" s="14"/>
      <c r="E100" s="14"/>
      <c r="F100" s="12"/>
      <c r="G100" s="12"/>
      <c r="H100" s="12"/>
      <c r="I100" s="12"/>
      <c r="J100" s="12"/>
      <c r="K100" s="12"/>
      <c r="L100" s="13"/>
      <c r="M100" s="12"/>
      <c r="N100" s="12"/>
      <c r="O100" s="15"/>
      <c r="P100" s="16"/>
      <c r="Q100" s="16"/>
      <c r="R100" s="16"/>
      <c r="S100" s="15"/>
      <c r="T100" s="15"/>
      <c r="U100" s="15"/>
      <c r="V100" s="15"/>
      <c r="W100" s="15"/>
      <c r="X100" s="15"/>
      <c r="Y100" s="15"/>
      <c r="Z100" s="15"/>
      <c r="AA100" s="17"/>
      <c r="AB100" s="12"/>
      <c r="AC100" s="12"/>
      <c r="AD100" s="12"/>
      <c r="AE100" s="12"/>
      <c r="AF100" s="12"/>
      <c r="AG100" s="18"/>
      <c r="AH100" s="18"/>
      <c r="AI100" s="20"/>
      <c r="AJ100" s="12"/>
      <c r="AK100" s="12"/>
      <c r="AL100" s="12"/>
      <c r="AM100" s="12"/>
      <c r="AN100" s="12"/>
      <c r="AO100" s="12"/>
      <c r="AP100" s="18"/>
      <c r="AQ100" s="163"/>
      <c r="AR100" s="155"/>
      <c r="AS100" s="155"/>
      <c r="AT100" s="155"/>
      <c r="AU100" s="155"/>
    </row>
    <row r="101" spans="1:47" ht="12">
      <c r="A101" s="11"/>
      <c r="B101" s="12"/>
      <c r="C101" s="12"/>
      <c r="D101" s="14"/>
      <c r="E101" s="14"/>
      <c r="F101" s="12"/>
      <c r="G101" s="12"/>
      <c r="H101" s="12"/>
      <c r="I101" s="12"/>
      <c r="J101" s="12"/>
      <c r="K101" s="12"/>
      <c r="L101" s="13"/>
      <c r="M101" s="12"/>
      <c r="N101" s="12"/>
      <c r="O101" s="15"/>
      <c r="P101" s="16"/>
      <c r="Q101" s="16"/>
      <c r="R101" s="16"/>
      <c r="S101" s="15"/>
      <c r="T101" s="15"/>
      <c r="U101" s="15"/>
      <c r="V101" s="15"/>
      <c r="W101" s="15"/>
      <c r="X101" s="15"/>
      <c r="Y101" s="15"/>
      <c r="Z101" s="15"/>
      <c r="AA101" s="17"/>
      <c r="AB101" s="12"/>
      <c r="AC101" s="12"/>
      <c r="AD101" s="73"/>
      <c r="AE101" s="12"/>
      <c r="AF101" s="12"/>
      <c r="AG101" s="18"/>
      <c r="AH101" s="18"/>
      <c r="AI101" s="20"/>
      <c r="AJ101" s="12"/>
      <c r="AK101" s="12"/>
      <c r="AL101" s="12"/>
      <c r="AM101" s="12"/>
      <c r="AN101" s="12"/>
      <c r="AO101" s="12"/>
      <c r="AP101" s="18"/>
      <c r="AQ101" s="163"/>
      <c r="AR101" s="155"/>
      <c r="AS101" s="155"/>
      <c r="AT101" s="155"/>
      <c r="AU101" s="155"/>
    </row>
    <row r="102" spans="1:47" ht="12">
      <c r="A102" s="11"/>
      <c r="B102" s="12"/>
      <c r="C102" s="12"/>
      <c r="D102" s="14"/>
      <c r="E102" s="14"/>
      <c r="F102" s="12"/>
      <c r="G102" s="12"/>
      <c r="H102" s="12"/>
      <c r="I102" s="12"/>
      <c r="J102" s="12"/>
      <c r="K102" s="12"/>
      <c r="L102" s="13"/>
      <c r="M102" s="12"/>
      <c r="N102" s="12"/>
      <c r="O102" s="15"/>
      <c r="P102" s="16"/>
      <c r="Q102" s="16"/>
      <c r="R102" s="16"/>
      <c r="S102" s="15"/>
      <c r="T102" s="15"/>
      <c r="U102" s="15"/>
      <c r="V102" s="15"/>
      <c r="W102" s="15"/>
      <c r="X102" s="15"/>
      <c r="Y102" s="15"/>
      <c r="Z102" s="15"/>
      <c r="AA102" s="17"/>
      <c r="AB102" s="12"/>
      <c r="AC102" s="12"/>
      <c r="AD102" s="12"/>
      <c r="AE102" s="12"/>
      <c r="AF102" s="12"/>
      <c r="AG102" s="18"/>
      <c r="AH102" s="19"/>
      <c r="AI102" s="20"/>
      <c r="AJ102" s="12"/>
      <c r="AK102" s="12"/>
      <c r="AL102" s="12"/>
      <c r="AM102" s="12"/>
      <c r="AN102" s="12"/>
      <c r="AO102" s="12"/>
      <c r="AP102" s="18"/>
      <c r="AQ102" s="163"/>
      <c r="AR102" s="155"/>
      <c r="AS102" s="155"/>
      <c r="AT102" s="155"/>
      <c r="AU102" s="155"/>
    </row>
    <row r="103" spans="1:47" ht="12">
      <c r="A103" s="11"/>
      <c r="B103" s="12"/>
      <c r="C103" s="12"/>
      <c r="D103" s="14"/>
      <c r="E103" s="14"/>
      <c r="F103" s="12"/>
      <c r="G103" s="12"/>
      <c r="H103" s="12"/>
      <c r="I103" s="12"/>
      <c r="J103" s="12"/>
      <c r="K103" s="12"/>
      <c r="L103" s="13"/>
      <c r="M103" s="12"/>
      <c r="N103" s="12"/>
      <c r="O103" s="15"/>
      <c r="P103" s="16"/>
      <c r="Q103" s="16"/>
      <c r="R103" s="16"/>
      <c r="S103" s="15"/>
      <c r="T103" s="15"/>
      <c r="U103" s="15"/>
      <c r="V103" s="15"/>
      <c r="W103" s="15"/>
      <c r="X103" s="15"/>
      <c r="Y103" s="15"/>
      <c r="Z103" s="15"/>
      <c r="AA103" s="17"/>
      <c r="AB103" s="12"/>
      <c r="AC103" s="12"/>
      <c r="AD103" s="12"/>
      <c r="AE103" s="12"/>
      <c r="AF103" s="12"/>
      <c r="AG103" s="18"/>
      <c r="AH103" s="19"/>
      <c r="AI103" s="20"/>
      <c r="AJ103" s="12"/>
      <c r="AK103" s="12"/>
      <c r="AL103" s="12"/>
      <c r="AM103" s="12"/>
      <c r="AN103" s="12"/>
      <c r="AO103" s="12"/>
      <c r="AP103" s="18"/>
      <c r="AQ103" s="163"/>
      <c r="AR103" s="155"/>
      <c r="AS103" s="155"/>
      <c r="AT103" s="155"/>
      <c r="AU103" s="155"/>
    </row>
    <row r="104" spans="1:47" ht="12">
      <c r="A104" s="11"/>
      <c r="B104" s="12"/>
      <c r="C104" s="12"/>
      <c r="D104" s="14"/>
      <c r="E104" s="14"/>
      <c r="F104" s="12"/>
      <c r="G104" s="12"/>
      <c r="H104" s="12"/>
      <c r="I104" s="12"/>
      <c r="J104" s="12"/>
      <c r="K104" s="12"/>
      <c r="L104" s="13"/>
      <c r="M104" s="12"/>
      <c r="N104" s="12"/>
      <c r="O104" s="15"/>
      <c r="P104" s="16"/>
      <c r="Q104" s="16"/>
      <c r="R104" s="16"/>
      <c r="S104" s="15"/>
      <c r="T104" s="15"/>
      <c r="U104" s="15"/>
      <c r="V104" s="15"/>
      <c r="W104" s="15"/>
      <c r="X104" s="15"/>
      <c r="Y104" s="15"/>
      <c r="Z104" s="15"/>
      <c r="AA104" s="17"/>
      <c r="AB104" s="12"/>
      <c r="AC104" s="12"/>
      <c r="AD104" s="12"/>
      <c r="AE104" s="12"/>
      <c r="AF104" s="12"/>
      <c r="AG104" s="18"/>
      <c r="AH104" s="19"/>
      <c r="AI104" s="20"/>
      <c r="AJ104" s="12"/>
      <c r="AK104" s="12"/>
      <c r="AL104" s="12"/>
      <c r="AM104" s="12"/>
      <c r="AN104" s="12"/>
      <c r="AO104" s="12"/>
      <c r="AP104" s="18"/>
      <c r="AQ104" s="163"/>
      <c r="AR104" s="155"/>
      <c r="AS104" s="155"/>
      <c r="AT104" s="155"/>
      <c r="AU104" s="155"/>
    </row>
    <row r="105" spans="1:47" ht="12">
      <c r="A105" s="11"/>
      <c r="B105" s="12"/>
      <c r="C105" s="12"/>
      <c r="D105" s="14"/>
      <c r="E105" s="14"/>
      <c r="F105" s="12"/>
      <c r="G105" s="12"/>
      <c r="H105" s="12"/>
      <c r="I105" s="12"/>
      <c r="J105" s="12"/>
      <c r="K105" s="12"/>
      <c r="L105" s="13"/>
      <c r="M105" s="12"/>
      <c r="N105" s="12"/>
      <c r="O105" s="15"/>
      <c r="P105" s="16"/>
      <c r="Q105" s="16"/>
      <c r="R105" s="16"/>
      <c r="S105" s="15"/>
      <c r="T105" s="15"/>
      <c r="U105" s="15"/>
      <c r="V105" s="15"/>
      <c r="W105" s="15"/>
      <c r="X105" s="15"/>
      <c r="Y105" s="15"/>
      <c r="Z105" s="15"/>
      <c r="AA105" s="17"/>
      <c r="AB105" s="12"/>
      <c r="AC105" s="73"/>
      <c r="AD105" s="73"/>
      <c r="AE105" s="12"/>
      <c r="AF105" s="12"/>
      <c r="AG105" s="18"/>
      <c r="AH105" s="18"/>
      <c r="AI105" s="20"/>
      <c r="AJ105" s="12"/>
      <c r="AK105" s="12"/>
      <c r="AL105" s="12"/>
      <c r="AM105" s="12"/>
      <c r="AN105" s="12"/>
      <c r="AO105" s="12"/>
      <c r="AP105" s="18"/>
      <c r="AQ105" s="163"/>
      <c r="AR105" s="155"/>
      <c r="AS105" s="155"/>
      <c r="AT105" s="155"/>
      <c r="AU105" s="155"/>
    </row>
    <row r="106" spans="1:47" ht="12">
      <c r="A106" s="11"/>
      <c r="B106" s="12"/>
      <c r="C106" s="12"/>
      <c r="D106" s="14"/>
      <c r="E106" s="14"/>
      <c r="F106" s="12"/>
      <c r="G106" s="12"/>
      <c r="H106" s="12"/>
      <c r="I106" s="12"/>
      <c r="J106" s="12"/>
      <c r="K106" s="12"/>
      <c r="L106" s="13"/>
      <c r="M106" s="12"/>
      <c r="N106" s="12"/>
      <c r="O106" s="15"/>
      <c r="P106" s="16"/>
      <c r="Q106" s="16"/>
      <c r="R106" s="16"/>
      <c r="S106" s="15"/>
      <c r="T106" s="15"/>
      <c r="U106" s="15"/>
      <c r="V106" s="15"/>
      <c r="W106" s="15"/>
      <c r="X106" s="15"/>
      <c r="Y106" s="15"/>
      <c r="Z106" s="15"/>
      <c r="AA106" s="17"/>
      <c r="AB106" s="12"/>
      <c r="AC106" s="12"/>
      <c r="AD106" s="12"/>
      <c r="AE106" s="12"/>
      <c r="AF106" s="12"/>
      <c r="AG106" s="18"/>
      <c r="AH106" s="19"/>
      <c r="AI106" s="20"/>
      <c r="AJ106" s="12"/>
      <c r="AK106" s="12"/>
      <c r="AL106" s="12"/>
      <c r="AM106" s="12"/>
      <c r="AN106" s="12"/>
      <c r="AO106" s="12"/>
      <c r="AP106" s="18"/>
      <c r="AQ106" s="163"/>
      <c r="AR106" s="155"/>
      <c r="AS106" s="155"/>
      <c r="AT106" s="155"/>
      <c r="AU106" s="155"/>
    </row>
    <row r="107" spans="1:47" ht="12">
      <c r="A107" s="11"/>
      <c r="B107" s="12"/>
      <c r="C107" s="12"/>
      <c r="D107" s="14"/>
      <c r="E107" s="14"/>
      <c r="F107" s="12"/>
      <c r="G107" s="12"/>
      <c r="H107" s="12"/>
      <c r="I107" s="12"/>
      <c r="J107" s="12"/>
      <c r="K107" s="12"/>
      <c r="L107" s="13"/>
      <c r="M107" s="12"/>
      <c r="N107" s="12"/>
      <c r="O107" s="15"/>
      <c r="P107" s="16"/>
      <c r="Q107" s="16"/>
      <c r="R107" s="16"/>
      <c r="S107" s="15"/>
      <c r="T107" s="15"/>
      <c r="U107" s="15"/>
      <c r="V107" s="15"/>
      <c r="W107" s="15"/>
      <c r="X107" s="15"/>
      <c r="Y107" s="15"/>
      <c r="Z107" s="15"/>
      <c r="AA107" s="17"/>
      <c r="AB107" s="12"/>
      <c r="AC107" s="12"/>
      <c r="AD107" s="12"/>
      <c r="AE107" s="12"/>
      <c r="AF107" s="12"/>
      <c r="AG107" s="18"/>
      <c r="AH107" s="18"/>
      <c r="AI107" s="20"/>
      <c r="AJ107" s="12"/>
      <c r="AK107" s="12"/>
      <c r="AL107" s="12"/>
      <c r="AM107" s="12"/>
      <c r="AN107" s="12"/>
      <c r="AO107" s="12"/>
      <c r="AP107" s="18"/>
      <c r="AQ107" s="163"/>
      <c r="AR107" s="155"/>
      <c r="AS107" s="155"/>
      <c r="AT107" s="155"/>
      <c r="AU107" s="155"/>
    </row>
    <row r="108" spans="1:47" ht="12">
      <c r="A108" s="11"/>
      <c r="B108" s="12"/>
      <c r="C108" s="12"/>
      <c r="D108" s="14"/>
      <c r="E108" s="14"/>
      <c r="F108" s="12"/>
      <c r="G108" s="12"/>
      <c r="H108" s="12"/>
      <c r="I108" s="12"/>
      <c r="J108" s="12"/>
      <c r="K108" s="12"/>
      <c r="L108" s="13"/>
      <c r="M108" s="12"/>
      <c r="N108" s="12"/>
      <c r="O108" s="15"/>
      <c r="P108" s="16"/>
      <c r="Q108" s="16"/>
      <c r="R108" s="16"/>
      <c r="S108" s="15"/>
      <c r="T108" s="15"/>
      <c r="U108" s="15"/>
      <c r="V108" s="15"/>
      <c r="W108" s="15"/>
      <c r="X108" s="15"/>
      <c r="Y108" s="15"/>
      <c r="Z108" s="15"/>
      <c r="AA108" s="17"/>
      <c r="AB108" s="12"/>
      <c r="AC108" s="12"/>
      <c r="AD108" s="12"/>
      <c r="AE108" s="12"/>
      <c r="AF108" s="12"/>
      <c r="AG108" s="18"/>
      <c r="AH108" s="19"/>
      <c r="AI108" s="20"/>
      <c r="AJ108" s="12"/>
      <c r="AK108" s="12"/>
      <c r="AL108" s="12"/>
      <c r="AM108" s="12"/>
      <c r="AN108" s="12"/>
      <c r="AO108" s="12"/>
      <c r="AP108" s="18"/>
      <c r="AQ108" s="163"/>
      <c r="AR108" s="155"/>
      <c r="AS108" s="155"/>
      <c r="AT108" s="155"/>
      <c r="AU108" s="155"/>
    </row>
    <row r="109" spans="1:47" ht="12">
      <c r="A109" s="11"/>
      <c r="B109" s="12"/>
      <c r="C109" s="12"/>
      <c r="D109" s="14"/>
      <c r="E109" s="14"/>
      <c r="F109" s="12"/>
      <c r="G109" s="12"/>
      <c r="H109" s="12"/>
      <c r="I109" s="12"/>
      <c r="J109" s="12"/>
      <c r="K109" s="12"/>
      <c r="L109" s="13"/>
      <c r="M109" s="12"/>
      <c r="N109" s="12"/>
      <c r="O109" s="15"/>
      <c r="P109" s="16"/>
      <c r="Q109" s="16"/>
      <c r="R109" s="16"/>
      <c r="S109" s="15"/>
      <c r="T109" s="15"/>
      <c r="U109" s="15"/>
      <c r="V109" s="15"/>
      <c r="W109" s="15"/>
      <c r="X109" s="15"/>
      <c r="Y109" s="15"/>
      <c r="Z109" s="15"/>
      <c r="AA109" s="17"/>
      <c r="AB109" s="12"/>
      <c r="AC109" s="12"/>
      <c r="AD109" s="73"/>
      <c r="AE109" s="12"/>
      <c r="AF109" s="12"/>
      <c r="AG109" s="18"/>
      <c r="AH109" s="18"/>
      <c r="AI109" s="20"/>
      <c r="AJ109" s="12"/>
      <c r="AK109" s="12"/>
      <c r="AL109" s="12"/>
      <c r="AM109" s="12"/>
      <c r="AN109" s="12"/>
      <c r="AO109" s="12"/>
      <c r="AP109" s="18"/>
      <c r="AQ109" s="163"/>
      <c r="AR109" s="155"/>
      <c r="AS109" s="155"/>
      <c r="AT109" s="155"/>
      <c r="AU109" s="155"/>
    </row>
    <row r="110" spans="1:47" ht="12">
      <c r="A110" s="11"/>
      <c r="B110" s="12"/>
      <c r="C110" s="12"/>
      <c r="D110" s="14"/>
      <c r="E110" s="14"/>
      <c r="F110" s="12"/>
      <c r="G110" s="12"/>
      <c r="H110" s="12"/>
      <c r="I110" s="12"/>
      <c r="J110" s="12"/>
      <c r="K110" s="12"/>
      <c r="L110" s="13"/>
      <c r="M110" s="12"/>
      <c r="N110" s="12"/>
      <c r="O110" s="15"/>
      <c r="P110" s="16"/>
      <c r="Q110" s="16"/>
      <c r="R110" s="16"/>
      <c r="S110" s="15"/>
      <c r="T110" s="15"/>
      <c r="U110" s="15"/>
      <c r="V110" s="15"/>
      <c r="W110" s="15"/>
      <c r="X110" s="15"/>
      <c r="Y110" s="15"/>
      <c r="Z110" s="15"/>
      <c r="AA110" s="17"/>
      <c r="AB110" s="12"/>
      <c r="AC110" s="12"/>
      <c r="AD110" s="12"/>
      <c r="AE110" s="12"/>
      <c r="AF110" s="12"/>
      <c r="AG110" s="18"/>
      <c r="AH110" s="18"/>
      <c r="AI110" s="20"/>
      <c r="AJ110" s="12"/>
      <c r="AK110" s="12"/>
      <c r="AL110" s="12"/>
      <c r="AM110" s="12"/>
      <c r="AN110" s="12"/>
      <c r="AO110" s="12"/>
      <c r="AP110" s="18"/>
      <c r="AQ110" s="163"/>
      <c r="AR110" s="155"/>
      <c r="AS110" s="155"/>
      <c r="AT110" s="155"/>
      <c r="AU110" s="155"/>
    </row>
    <row r="111" spans="1:47" ht="12">
      <c r="A111" s="11"/>
      <c r="B111" s="12"/>
      <c r="C111" s="12"/>
      <c r="D111" s="14"/>
      <c r="E111" s="14"/>
      <c r="F111" s="12"/>
      <c r="G111" s="12"/>
      <c r="H111" s="12"/>
      <c r="I111" s="12"/>
      <c r="J111" s="12"/>
      <c r="K111" s="12"/>
      <c r="L111" s="12"/>
      <c r="M111" s="12"/>
      <c r="N111" s="12"/>
      <c r="O111" s="15"/>
      <c r="P111" s="16"/>
      <c r="Q111" s="16"/>
      <c r="R111" s="16"/>
      <c r="S111" s="15"/>
      <c r="T111" s="15"/>
      <c r="U111" s="15"/>
      <c r="V111" s="15"/>
      <c r="W111" s="15"/>
      <c r="X111" s="15"/>
      <c r="Y111" s="15"/>
      <c r="Z111" s="15"/>
      <c r="AA111" s="17"/>
      <c r="AB111" s="12"/>
      <c r="AC111" s="73"/>
      <c r="AD111" s="73"/>
      <c r="AE111" s="12"/>
      <c r="AF111" s="12"/>
      <c r="AG111" s="18"/>
      <c r="AH111" s="18"/>
      <c r="AI111" s="20"/>
      <c r="AJ111" s="12"/>
      <c r="AK111" s="12"/>
      <c r="AL111" s="12"/>
      <c r="AM111" s="12"/>
      <c r="AN111" s="12"/>
      <c r="AO111" s="12"/>
      <c r="AP111" s="18"/>
      <c r="AQ111" s="163"/>
      <c r="AR111" s="155"/>
      <c r="AS111" s="155"/>
      <c r="AT111" s="155"/>
      <c r="AU111" s="155"/>
    </row>
    <row r="112" spans="1:47" ht="12">
      <c r="A112" s="11"/>
      <c r="B112" s="12"/>
      <c r="C112" s="12"/>
      <c r="D112" s="14"/>
      <c r="E112" s="14"/>
      <c r="F112" s="12"/>
      <c r="G112" s="12"/>
      <c r="H112" s="12"/>
      <c r="I112" s="12"/>
      <c r="J112" s="12"/>
      <c r="K112" s="12"/>
      <c r="L112" s="12"/>
      <c r="M112" s="12"/>
      <c r="N112" s="12"/>
      <c r="O112" s="15"/>
      <c r="P112" s="16"/>
      <c r="Q112" s="16"/>
      <c r="R112" s="16"/>
      <c r="S112" s="15"/>
      <c r="T112" s="15"/>
      <c r="U112" s="15"/>
      <c r="V112" s="15"/>
      <c r="W112" s="15"/>
      <c r="X112" s="15"/>
      <c r="Y112" s="15"/>
      <c r="Z112" s="15"/>
      <c r="AA112" s="17"/>
      <c r="AB112" s="12"/>
      <c r="AC112" s="73"/>
      <c r="AD112" s="73"/>
      <c r="AE112" s="12"/>
      <c r="AF112" s="12"/>
      <c r="AG112" s="18"/>
      <c r="AH112" s="18"/>
      <c r="AI112" s="20"/>
      <c r="AJ112" s="12"/>
      <c r="AK112" s="12"/>
      <c r="AL112" s="12"/>
      <c r="AM112" s="12"/>
      <c r="AN112" s="12"/>
      <c r="AO112" s="12"/>
      <c r="AP112" s="18"/>
      <c r="AQ112" s="163"/>
      <c r="AR112" s="155"/>
      <c r="AS112" s="155"/>
      <c r="AT112" s="155"/>
      <c r="AU112" s="155"/>
    </row>
    <row r="113" spans="1:47" ht="12">
      <c r="A113" s="11"/>
      <c r="B113" s="12"/>
      <c r="C113" s="12"/>
      <c r="D113" s="14"/>
      <c r="E113" s="14"/>
      <c r="F113" s="12"/>
      <c r="G113" s="12"/>
      <c r="H113" s="12"/>
      <c r="I113" s="12"/>
      <c r="J113" s="12"/>
      <c r="K113" s="12"/>
      <c r="L113" s="12"/>
      <c r="M113" s="12"/>
      <c r="N113" s="12"/>
      <c r="O113" s="15"/>
      <c r="P113" s="16"/>
      <c r="Q113" s="16"/>
      <c r="R113" s="16"/>
      <c r="S113" s="15"/>
      <c r="T113" s="15"/>
      <c r="U113" s="15"/>
      <c r="V113" s="15"/>
      <c r="W113" s="15"/>
      <c r="X113" s="15"/>
      <c r="Y113" s="15"/>
      <c r="Z113" s="15"/>
      <c r="AA113" s="17"/>
      <c r="AB113" s="12"/>
      <c r="AC113" s="73"/>
      <c r="AD113" s="73"/>
      <c r="AE113" s="12"/>
      <c r="AF113" s="12"/>
      <c r="AG113" s="18"/>
      <c r="AH113" s="18"/>
      <c r="AI113" s="20"/>
      <c r="AJ113" s="12"/>
      <c r="AK113" s="12"/>
      <c r="AL113" s="12"/>
      <c r="AM113" s="12"/>
      <c r="AN113" s="12"/>
      <c r="AO113" s="12"/>
      <c r="AP113" s="18"/>
      <c r="AQ113" s="163"/>
      <c r="AR113" s="155"/>
      <c r="AS113" s="155"/>
      <c r="AT113" s="155"/>
      <c r="AU113" s="155"/>
    </row>
    <row r="114" spans="1:47" ht="12">
      <c r="A114" s="11"/>
      <c r="B114" s="12"/>
      <c r="C114" s="12"/>
      <c r="D114" s="14"/>
      <c r="E114" s="14"/>
      <c r="F114" s="12"/>
      <c r="G114" s="12"/>
      <c r="H114" s="12"/>
      <c r="I114" s="12"/>
      <c r="J114" s="12"/>
      <c r="K114" s="12"/>
      <c r="L114" s="12"/>
      <c r="M114" s="12"/>
      <c r="N114" s="12"/>
      <c r="O114" s="15"/>
      <c r="P114" s="16"/>
      <c r="Q114" s="16"/>
      <c r="R114" s="16"/>
      <c r="S114" s="15"/>
      <c r="T114" s="15"/>
      <c r="U114" s="15"/>
      <c r="V114" s="15"/>
      <c r="W114" s="15"/>
      <c r="X114" s="15"/>
      <c r="Y114" s="15"/>
      <c r="Z114" s="15"/>
      <c r="AA114" s="17"/>
      <c r="AB114" s="12"/>
      <c r="AC114" s="73"/>
      <c r="AD114" s="73"/>
      <c r="AE114" s="12"/>
      <c r="AF114" s="12"/>
      <c r="AG114" s="18"/>
      <c r="AH114" s="18"/>
      <c r="AI114" s="20"/>
      <c r="AJ114" s="12"/>
      <c r="AK114" s="12"/>
      <c r="AL114" s="12"/>
      <c r="AM114" s="12"/>
      <c r="AN114" s="12"/>
      <c r="AO114" s="12"/>
      <c r="AP114" s="18"/>
      <c r="AQ114" s="163"/>
      <c r="AR114" s="155"/>
      <c r="AS114" s="155"/>
      <c r="AT114" s="155"/>
      <c r="AU114" s="155"/>
    </row>
    <row r="115" spans="1:47" ht="12">
      <c r="A115" s="11"/>
      <c r="B115" s="12"/>
      <c r="C115" s="12"/>
      <c r="D115" s="14"/>
      <c r="E115" s="14"/>
      <c r="F115" s="12"/>
      <c r="G115" s="12"/>
      <c r="H115" s="12"/>
      <c r="I115" s="12"/>
      <c r="J115" s="12"/>
      <c r="K115" s="12"/>
      <c r="L115" s="12"/>
      <c r="M115" s="12"/>
      <c r="N115" s="12"/>
      <c r="O115" s="15"/>
      <c r="P115" s="16"/>
      <c r="Q115" s="16"/>
      <c r="R115" s="16"/>
      <c r="S115" s="15"/>
      <c r="T115" s="15"/>
      <c r="U115" s="15"/>
      <c r="V115" s="15"/>
      <c r="W115" s="15"/>
      <c r="X115" s="15"/>
      <c r="Y115" s="15"/>
      <c r="Z115" s="15"/>
      <c r="AA115" s="17"/>
      <c r="AB115" s="12"/>
      <c r="AC115" s="73"/>
      <c r="AD115" s="73"/>
      <c r="AE115" s="12"/>
      <c r="AF115" s="12"/>
      <c r="AG115" s="18"/>
      <c r="AH115" s="18"/>
      <c r="AI115" s="20"/>
      <c r="AJ115" s="12"/>
      <c r="AK115" s="12"/>
      <c r="AL115" s="12"/>
      <c r="AM115" s="12"/>
      <c r="AN115" s="12"/>
      <c r="AO115" s="12"/>
      <c r="AP115" s="18"/>
      <c r="AQ115" s="163"/>
      <c r="AR115" s="155"/>
      <c r="AS115" s="155"/>
      <c r="AT115" s="155"/>
      <c r="AU115" s="155"/>
    </row>
    <row r="116" spans="1:47" ht="12">
      <c r="A116" s="11"/>
      <c r="B116" s="12"/>
      <c r="C116" s="12"/>
      <c r="D116" s="14"/>
      <c r="E116" s="14"/>
      <c r="F116" s="12"/>
      <c r="G116" s="12"/>
      <c r="H116" s="12"/>
      <c r="I116" s="12"/>
      <c r="J116" s="12"/>
      <c r="K116" s="12"/>
      <c r="L116" s="12"/>
      <c r="M116" s="12"/>
      <c r="N116" s="12"/>
      <c r="O116" s="15"/>
      <c r="P116" s="15"/>
      <c r="Q116" s="15"/>
      <c r="R116" s="15"/>
      <c r="S116" s="15"/>
      <c r="T116" s="15"/>
      <c r="U116" s="15"/>
      <c r="V116" s="15"/>
      <c r="W116" s="15"/>
      <c r="X116" s="15"/>
      <c r="Y116" s="15"/>
      <c r="Z116" s="15"/>
      <c r="AA116" s="17"/>
      <c r="AB116" s="12"/>
      <c r="AC116" s="73"/>
      <c r="AD116" s="73"/>
      <c r="AE116" s="12"/>
      <c r="AF116" s="12"/>
      <c r="AG116" s="18"/>
      <c r="AH116" s="18"/>
      <c r="AI116" s="20"/>
      <c r="AJ116" s="12"/>
      <c r="AK116" s="12"/>
      <c r="AL116" s="12"/>
      <c r="AM116" s="12"/>
      <c r="AN116" s="12"/>
      <c r="AO116" s="12"/>
      <c r="AP116" s="18"/>
      <c r="AQ116" s="163"/>
      <c r="AR116" s="155"/>
      <c r="AS116" s="155"/>
      <c r="AT116" s="155"/>
      <c r="AU116" s="155"/>
    </row>
    <row r="117" spans="1:47" ht="12">
      <c r="A117" s="11"/>
      <c r="B117" s="12"/>
      <c r="C117" s="12"/>
      <c r="D117" s="14"/>
      <c r="E117" s="14"/>
      <c r="F117" s="12"/>
      <c r="G117" s="12"/>
      <c r="H117" s="12"/>
      <c r="I117" s="12"/>
      <c r="J117" s="12"/>
      <c r="K117" s="12"/>
      <c r="L117" s="12"/>
      <c r="M117" s="12"/>
      <c r="N117" s="12"/>
      <c r="O117" s="15"/>
      <c r="P117" s="16"/>
      <c r="Q117" s="16"/>
      <c r="R117" s="16"/>
      <c r="S117" s="15"/>
      <c r="T117" s="15"/>
      <c r="U117" s="15"/>
      <c r="V117" s="15"/>
      <c r="W117" s="15"/>
      <c r="X117" s="15"/>
      <c r="Y117" s="15"/>
      <c r="Z117" s="15"/>
      <c r="AA117" s="17"/>
      <c r="AB117" s="12"/>
      <c r="AC117" s="73"/>
      <c r="AD117" s="73"/>
      <c r="AE117" s="12"/>
      <c r="AF117" s="12"/>
      <c r="AG117" s="18"/>
      <c r="AH117" s="18"/>
      <c r="AI117" s="20"/>
      <c r="AJ117" s="12"/>
      <c r="AK117" s="12"/>
      <c r="AL117" s="12"/>
      <c r="AM117" s="12"/>
      <c r="AN117" s="12"/>
      <c r="AO117" s="12"/>
      <c r="AP117" s="18"/>
      <c r="AQ117" s="163"/>
      <c r="AR117" s="155"/>
      <c r="AS117" s="155"/>
      <c r="AT117" s="155"/>
      <c r="AU117" s="155"/>
    </row>
    <row r="118" spans="1:47" ht="12">
      <c r="A118" s="11"/>
      <c r="B118" s="12"/>
      <c r="C118" s="12"/>
      <c r="D118" s="14"/>
      <c r="E118" s="14"/>
      <c r="F118" s="12"/>
      <c r="G118" s="12"/>
      <c r="H118" s="12"/>
      <c r="I118" s="12"/>
      <c r="J118" s="12"/>
      <c r="K118" s="12"/>
      <c r="L118" s="12"/>
      <c r="M118" s="12"/>
      <c r="N118" s="12"/>
      <c r="O118" s="15"/>
      <c r="P118" s="16"/>
      <c r="Q118" s="16"/>
      <c r="R118" s="16"/>
      <c r="S118" s="15"/>
      <c r="T118" s="15"/>
      <c r="U118" s="15"/>
      <c r="V118" s="15"/>
      <c r="W118" s="15"/>
      <c r="X118" s="15"/>
      <c r="Y118" s="15"/>
      <c r="Z118" s="15"/>
      <c r="AA118" s="17"/>
      <c r="AB118" s="12"/>
      <c r="AC118" s="73"/>
      <c r="AD118" s="73"/>
      <c r="AE118" s="12"/>
      <c r="AF118" s="12"/>
      <c r="AG118" s="18"/>
      <c r="AH118" s="18"/>
      <c r="AI118" s="20"/>
      <c r="AJ118" s="12"/>
      <c r="AK118" s="12"/>
      <c r="AL118" s="12"/>
      <c r="AM118" s="12"/>
      <c r="AN118" s="12"/>
      <c r="AO118" s="12"/>
      <c r="AP118" s="18"/>
      <c r="AQ118" s="163"/>
      <c r="AR118" s="155"/>
      <c r="AS118" s="155"/>
      <c r="AT118" s="155"/>
      <c r="AU118" s="155"/>
    </row>
    <row r="119" spans="1:47" ht="12">
      <c r="A119" s="11"/>
      <c r="B119" s="12"/>
      <c r="C119" s="12"/>
      <c r="D119" s="14"/>
      <c r="E119" s="14"/>
      <c r="F119" s="12"/>
      <c r="G119" s="12"/>
      <c r="H119" s="12"/>
      <c r="I119" s="12"/>
      <c r="J119" s="12"/>
      <c r="K119" s="12"/>
      <c r="L119" s="12"/>
      <c r="M119" s="12"/>
      <c r="N119" s="12"/>
      <c r="O119" s="15"/>
      <c r="P119" s="16"/>
      <c r="Q119" s="16"/>
      <c r="R119" s="16"/>
      <c r="S119" s="15"/>
      <c r="T119" s="15"/>
      <c r="U119" s="15"/>
      <c r="V119" s="15"/>
      <c r="W119" s="15"/>
      <c r="X119" s="15"/>
      <c r="Y119" s="15"/>
      <c r="Z119" s="15"/>
      <c r="AA119" s="17"/>
      <c r="AB119" s="12"/>
      <c r="AC119" s="73"/>
      <c r="AD119" s="73"/>
      <c r="AE119" s="12"/>
      <c r="AF119" s="12"/>
      <c r="AG119" s="18"/>
      <c r="AH119" s="18"/>
      <c r="AI119" s="20"/>
      <c r="AJ119" s="12"/>
      <c r="AK119" s="12"/>
      <c r="AL119" s="12"/>
      <c r="AM119" s="12"/>
      <c r="AN119" s="12"/>
      <c r="AO119" s="12"/>
      <c r="AP119" s="19"/>
      <c r="AQ119" s="163"/>
      <c r="AR119" s="155"/>
      <c r="AS119" s="155"/>
      <c r="AT119" s="155"/>
      <c r="AU119" s="155"/>
    </row>
    <row r="120" spans="1:47" ht="12">
      <c r="A120" s="11"/>
      <c r="B120" s="12"/>
      <c r="C120" s="12"/>
      <c r="D120" s="14"/>
      <c r="E120" s="14"/>
      <c r="F120" s="12"/>
      <c r="G120" s="12"/>
      <c r="H120" s="12"/>
      <c r="I120" s="12"/>
      <c r="J120" s="12"/>
      <c r="K120" s="12"/>
      <c r="L120" s="12"/>
      <c r="M120" s="12"/>
      <c r="N120" s="12"/>
      <c r="O120" s="15"/>
      <c r="P120" s="15"/>
      <c r="Q120" s="15"/>
      <c r="R120" s="15"/>
      <c r="S120" s="15"/>
      <c r="T120" s="15"/>
      <c r="U120" s="15"/>
      <c r="V120" s="15"/>
      <c r="W120" s="15"/>
      <c r="X120" s="15"/>
      <c r="Y120" s="15"/>
      <c r="Z120" s="15"/>
      <c r="AA120" s="17"/>
      <c r="AB120" s="12"/>
      <c r="AC120" s="73"/>
      <c r="AD120" s="73"/>
      <c r="AE120" s="73"/>
      <c r="AF120" s="73"/>
      <c r="AG120" s="77"/>
      <c r="AH120" s="77"/>
      <c r="AI120" s="20"/>
      <c r="AJ120" s="12"/>
      <c r="AK120" s="12"/>
      <c r="AL120" s="12"/>
      <c r="AM120" s="12"/>
      <c r="AN120" s="12"/>
      <c r="AO120" s="12"/>
      <c r="AP120" s="18"/>
      <c r="AQ120" s="163"/>
      <c r="AR120" s="155"/>
      <c r="AS120" s="155"/>
      <c r="AT120" s="155"/>
      <c r="AU120" s="155"/>
    </row>
    <row r="121" spans="1:47" ht="12">
      <c r="A121" s="11"/>
      <c r="B121" s="12"/>
      <c r="C121" s="12"/>
      <c r="D121" s="14"/>
      <c r="E121" s="14"/>
      <c r="F121" s="12"/>
      <c r="G121" s="12"/>
      <c r="H121" s="12"/>
      <c r="I121" s="12"/>
      <c r="J121" s="12"/>
      <c r="K121" s="12"/>
      <c r="L121" s="12"/>
      <c r="M121" s="12"/>
      <c r="N121" s="12"/>
      <c r="O121" s="15"/>
      <c r="P121" s="16"/>
      <c r="Q121" s="16"/>
      <c r="R121" s="16"/>
      <c r="S121" s="15"/>
      <c r="T121" s="15"/>
      <c r="U121" s="15"/>
      <c r="V121" s="15"/>
      <c r="W121" s="15"/>
      <c r="X121" s="15"/>
      <c r="Y121" s="15"/>
      <c r="Z121" s="15"/>
      <c r="AA121" s="17"/>
      <c r="AB121" s="12"/>
      <c r="AC121" s="73"/>
      <c r="AD121" s="73"/>
      <c r="AE121" s="12"/>
      <c r="AF121" s="12"/>
      <c r="AG121" s="18"/>
      <c r="AH121" s="18"/>
      <c r="AI121" s="20"/>
      <c r="AJ121" s="12"/>
      <c r="AK121" s="12"/>
      <c r="AL121" s="12"/>
      <c r="AM121" s="12"/>
      <c r="AN121" s="12"/>
      <c r="AO121" s="12"/>
      <c r="AP121" s="19"/>
      <c r="AQ121" s="163"/>
      <c r="AR121" s="155"/>
      <c r="AS121" s="155"/>
      <c r="AT121" s="155"/>
      <c r="AU121" s="155"/>
    </row>
    <row r="122" spans="1:47" ht="12">
      <c r="A122" s="11"/>
      <c r="B122" s="12"/>
      <c r="C122" s="12"/>
      <c r="D122" s="14"/>
      <c r="E122" s="14"/>
      <c r="F122" s="12"/>
      <c r="G122" s="12"/>
      <c r="H122" s="12"/>
      <c r="I122" s="12"/>
      <c r="J122" s="12"/>
      <c r="K122" s="12"/>
      <c r="L122" s="12"/>
      <c r="M122" s="12"/>
      <c r="N122" s="12"/>
      <c r="O122" s="15"/>
      <c r="P122" s="16"/>
      <c r="Q122" s="16"/>
      <c r="R122" s="16"/>
      <c r="S122" s="15"/>
      <c r="T122" s="15"/>
      <c r="U122" s="15"/>
      <c r="V122" s="15"/>
      <c r="W122" s="15"/>
      <c r="X122" s="15"/>
      <c r="Y122" s="15"/>
      <c r="Z122" s="15"/>
      <c r="AA122" s="17"/>
      <c r="AB122" s="12"/>
      <c r="AC122" s="73"/>
      <c r="AD122" s="73"/>
      <c r="AE122" s="12"/>
      <c r="AF122" s="12"/>
      <c r="AG122" s="18"/>
      <c r="AH122" s="18"/>
      <c r="AI122" s="20"/>
      <c r="AJ122" s="12"/>
      <c r="AK122" s="12"/>
      <c r="AL122" s="12"/>
      <c r="AM122" s="12"/>
      <c r="AN122" s="12"/>
      <c r="AO122" s="12"/>
      <c r="AP122" s="18"/>
      <c r="AQ122" s="163"/>
      <c r="AR122" s="155"/>
      <c r="AS122" s="155"/>
      <c r="AT122" s="155"/>
      <c r="AU122" s="155"/>
    </row>
    <row r="123" spans="1:47" ht="12">
      <c r="A123" s="11"/>
      <c r="B123" s="12"/>
      <c r="C123" s="12"/>
      <c r="D123" s="14"/>
      <c r="E123" s="14"/>
      <c r="F123" s="12"/>
      <c r="G123" s="12"/>
      <c r="H123" s="12"/>
      <c r="I123" s="12"/>
      <c r="J123" s="12"/>
      <c r="K123" s="12"/>
      <c r="L123" s="12"/>
      <c r="M123" s="12"/>
      <c r="N123" s="12"/>
      <c r="O123" s="15"/>
      <c r="P123" s="16"/>
      <c r="Q123" s="16"/>
      <c r="R123" s="16"/>
      <c r="S123" s="15"/>
      <c r="T123" s="15"/>
      <c r="U123" s="15"/>
      <c r="V123" s="15"/>
      <c r="W123" s="15"/>
      <c r="X123" s="15"/>
      <c r="Y123" s="15"/>
      <c r="Z123" s="15"/>
      <c r="AA123" s="17"/>
      <c r="AB123" s="12"/>
      <c r="AC123" s="73"/>
      <c r="AD123" s="73"/>
      <c r="AE123" s="12"/>
      <c r="AF123" s="12"/>
      <c r="AG123" s="18"/>
      <c r="AH123" s="18"/>
      <c r="AI123" s="20"/>
      <c r="AJ123" s="12"/>
      <c r="AK123" s="12"/>
      <c r="AL123" s="12"/>
      <c r="AM123" s="12"/>
      <c r="AN123" s="12"/>
      <c r="AO123" s="12"/>
      <c r="AP123" s="18"/>
      <c r="AQ123" s="163"/>
      <c r="AR123" s="155"/>
      <c r="AS123" s="155"/>
      <c r="AT123" s="155"/>
      <c r="AU123" s="155"/>
    </row>
    <row r="124" spans="1:47" ht="12">
      <c r="A124" s="11"/>
      <c r="B124" s="12"/>
      <c r="C124" s="12"/>
      <c r="D124" s="14"/>
      <c r="E124" s="14"/>
      <c r="F124" s="12"/>
      <c r="G124" s="12"/>
      <c r="H124" s="12"/>
      <c r="I124" s="12"/>
      <c r="J124" s="12"/>
      <c r="K124" s="12"/>
      <c r="L124" s="12"/>
      <c r="M124" s="12"/>
      <c r="N124" s="12"/>
      <c r="O124" s="15"/>
      <c r="P124" s="16"/>
      <c r="Q124" s="16"/>
      <c r="R124" s="16"/>
      <c r="S124" s="15"/>
      <c r="T124" s="16"/>
      <c r="U124" s="16"/>
      <c r="V124" s="15"/>
      <c r="W124" s="15"/>
      <c r="X124" s="16"/>
      <c r="Y124" s="16"/>
      <c r="Z124" s="16"/>
      <c r="AA124" s="17"/>
      <c r="AB124" s="12"/>
      <c r="AC124" s="12"/>
      <c r="AD124" s="12"/>
      <c r="AE124" s="12"/>
      <c r="AF124" s="12"/>
      <c r="AG124" s="18"/>
      <c r="AH124" s="18"/>
      <c r="AI124" s="20"/>
      <c r="AJ124" s="12"/>
      <c r="AK124" s="12"/>
      <c r="AL124" s="12"/>
      <c r="AM124" s="12"/>
      <c r="AN124" s="12"/>
      <c r="AO124" s="12"/>
      <c r="AP124" s="19"/>
      <c r="AQ124" s="163"/>
      <c r="AR124" s="155"/>
      <c r="AS124" s="155"/>
      <c r="AT124" s="155"/>
      <c r="AU124" s="155"/>
    </row>
    <row r="125" spans="1:47" ht="12">
      <c r="A125" s="11"/>
      <c r="B125" s="12"/>
      <c r="C125" s="12"/>
      <c r="D125" s="14"/>
      <c r="E125" s="14"/>
      <c r="F125" s="12"/>
      <c r="G125" s="12"/>
      <c r="H125" s="12"/>
      <c r="I125" s="12"/>
      <c r="J125" s="12"/>
      <c r="K125" s="12"/>
      <c r="L125" s="12"/>
      <c r="M125" s="12"/>
      <c r="N125" s="12"/>
      <c r="O125" s="15"/>
      <c r="P125" s="16"/>
      <c r="Q125" s="16"/>
      <c r="R125" s="16"/>
      <c r="S125" s="15"/>
      <c r="T125" s="15"/>
      <c r="U125" s="15"/>
      <c r="V125" s="15"/>
      <c r="W125" s="15"/>
      <c r="X125" s="15"/>
      <c r="Y125" s="15"/>
      <c r="Z125" s="15"/>
      <c r="AA125" s="17"/>
      <c r="AB125" s="12"/>
      <c r="AC125" s="73"/>
      <c r="AD125" s="73"/>
      <c r="AE125" s="12"/>
      <c r="AF125" s="12"/>
      <c r="AG125" s="18"/>
      <c r="AH125" s="18"/>
      <c r="AI125" s="20"/>
      <c r="AJ125" s="12"/>
      <c r="AK125" s="12"/>
      <c r="AL125" s="12"/>
      <c r="AM125" s="12"/>
      <c r="AN125" s="12"/>
      <c r="AO125" s="12"/>
      <c r="AP125" s="19"/>
      <c r="AQ125" s="163"/>
      <c r="AR125" s="155"/>
      <c r="AS125" s="155"/>
      <c r="AT125" s="155"/>
      <c r="AU125" s="155"/>
    </row>
    <row r="126" spans="1:47" ht="12">
      <c r="A126" s="11"/>
      <c r="B126" s="12"/>
      <c r="C126" s="12"/>
      <c r="D126" s="14"/>
      <c r="E126" s="14"/>
      <c r="F126" s="12"/>
      <c r="G126" s="12"/>
      <c r="H126" s="12"/>
      <c r="I126" s="12"/>
      <c r="J126" s="12"/>
      <c r="K126" s="12"/>
      <c r="L126" s="12"/>
      <c r="M126" s="12"/>
      <c r="N126" s="12"/>
      <c r="O126" s="15"/>
      <c r="P126" s="16"/>
      <c r="Q126" s="16"/>
      <c r="R126" s="16"/>
      <c r="S126" s="15"/>
      <c r="T126" s="15"/>
      <c r="U126" s="15"/>
      <c r="V126" s="15"/>
      <c r="W126" s="15"/>
      <c r="X126" s="15"/>
      <c r="Y126" s="15"/>
      <c r="Z126" s="15"/>
      <c r="AA126" s="17"/>
      <c r="AB126" s="12"/>
      <c r="AC126" s="12"/>
      <c r="AD126" s="12"/>
      <c r="AE126" s="12"/>
      <c r="AF126" s="12"/>
      <c r="AG126" s="18"/>
      <c r="AH126" s="18"/>
      <c r="AI126" s="20"/>
      <c r="AJ126" s="12"/>
      <c r="AK126" s="12"/>
      <c r="AL126" s="12"/>
      <c r="AM126" s="12"/>
      <c r="AN126" s="12"/>
      <c r="AO126" s="12"/>
      <c r="AP126" s="18"/>
      <c r="AQ126" s="163"/>
      <c r="AR126" s="155"/>
      <c r="AS126" s="155"/>
      <c r="AT126" s="155"/>
      <c r="AU126" s="155"/>
    </row>
    <row r="127" spans="1:47" ht="12">
      <c r="A127" s="11"/>
      <c r="B127" s="12"/>
      <c r="C127" s="12"/>
      <c r="D127" s="14"/>
      <c r="E127" s="14"/>
      <c r="F127" s="12"/>
      <c r="G127" s="12"/>
      <c r="H127" s="12"/>
      <c r="I127" s="12"/>
      <c r="J127" s="12"/>
      <c r="K127" s="12"/>
      <c r="L127" s="12"/>
      <c r="M127" s="12"/>
      <c r="N127" s="12"/>
      <c r="O127" s="15"/>
      <c r="P127" s="15"/>
      <c r="Q127" s="15"/>
      <c r="R127" s="15"/>
      <c r="S127" s="15"/>
      <c r="T127" s="15"/>
      <c r="U127" s="15"/>
      <c r="V127" s="15"/>
      <c r="W127" s="15"/>
      <c r="X127" s="15"/>
      <c r="Y127" s="15"/>
      <c r="Z127" s="15"/>
      <c r="AA127" s="17"/>
      <c r="AB127" s="12"/>
      <c r="AC127" s="73"/>
      <c r="AD127" s="73"/>
      <c r="AE127" s="12"/>
      <c r="AF127" s="12"/>
      <c r="AG127" s="18"/>
      <c r="AH127" s="18"/>
      <c r="AI127" s="20"/>
      <c r="AJ127" s="12"/>
      <c r="AK127" s="12"/>
      <c r="AL127" s="12"/>
      <c r="AM127" s="12"/>
      <c r="AN127" s="12"/>
      <c r="AO127" s="12"/>
      <c r="AP127" s="18"/>
      <c r="AQ127" s="163"/>
      <c r="AR127" s="155"/>
      <c r="AS127" s="155"/>
      <c r="AT127" s="155"/>
      <c r="AU127" s="155"/>
    </row>
    <row r="128" spans="1:47" ht="12">
      <c r="A128" s="11"/>
      <c r="B128" s="12"/>
      <c r="C128" s="12"/>
      <c r="D128" s="14"/>
      <c r="E128" s="14"/>
      <c r="F128" s="12"/>
      <c r="G128" s="12"/>
      <c r="H128" s="12"/>
      <c r="I128" s="12"/>
      <c r="J128" s="12"/>
      <c r="K128" s="12"/>
      <c r="L128" s="12"/>
      <c r="M128" s="12"/>
      <c r="N128" s="12"/>
      <c r="O128" s="15"/>
      <c r="P128" s="23"/>
      <c r="Q128" s="16"/>
      <c r="R128" s="16"/>
      <c r="S128" s="15"/>
      <c r="T128" s="15"/>
      <c r="U128" s="15"/>
      <c r="V128" s="15"/>
      <c r="W128" s="15"/>
      <c r="X128" s="15"/>
      <c r="Y128" s="15"/>
      <c r="Z128" s="15"/>
      <c r="AA128" s="17"/>
      <c r="AB128" s="12"/>
      <c r="AC128" s="73"/>
      <c r="AD128" s="73"/>
      <c r="AE128" s="12"/>
      <c r="AF128" s="12"/>
      <c r="AG128" s="18"/>
      <c r="AH128" s="18"/>
      <c r="AI128" s="20"/>
      <c r="AJ128" s="12"/>
      <c r="AK128" s="12"/>
      <c r="AL128" s="12"/>
      <c r="AM128" s="12"/>
      <c r="AN128" s="12"/>
      <c r="AO128" s="12"/>
      <c r="AP128" s="18"/>
      <c r="AQ128" s="163"/>
      <c r="AR128" s="155"/>
      <c r="AS128" s="155"/>
      <c r="AT128" s="155"/>
      <c r="AU128" s="155"/>
    </row>
    <row r="129" spans="1:47" ht="12">
      <c r="A129" s="11"/>
      <c r="B129" s="12"/>
      <c r="C129" s="12"/>
      <c r="D129" s="14"/>
      <c r="E129" s="14"/>
      <c r="F129" s="12"/>
      <c r="G129" s="12"/>
      <c r="H129" s="12"/>
      <c r="I129" s="12"/>
      <c r="J129" s="12"/>
      <c r="K129" s="12"/>
      <c r="L129" s="12"/>
      <c r="M129" s="12"/>
      <c r="N129" s="12"/>
      <c r="O129" s="15"/>
      <c r="P129" s="23"/>
      <c r="Q129" s="16"/>
      <c r="R129" s="16"/>
      <c r="S129" s="15"/>
      <c r="T129" s="15"/>
      <c r="U129" s="15"/>
      <c r="V129" s="15"/>
      <c r="W129" s="15"/>
      <c r="X129" s="15"/>
      <c r="Y129" s="15"/>
      <c r="Z129" s="15"/>
      <c r="AA129" s="17"/>
      <c r="AB129" s="12"/>
      <c r="AC129" s="73"/>
      <c r="AD129" s="73"/>
      <c r="AE129" s="12"/>
      <c r="AF129" s="12"/>
      <c r="AG129" s="18"/>
      <c r="AH129" s="18"/>
      <c r="AI129" s="20"/>
      <c r="AJ129" s="12"/>
      <c r="AK129" s="12"/>
      <c r="AL129" s="12"/>
      <c r="AM129" s="12"/>
      <c r="AN129" s="12"/>
      <c r="AO129" s="12"/>
      <c r="AP129" s="18"/>
      <c r="AQ129" s="163"/>
      <c r="AR129" s="155"/>
      <c r="AS129" s="155"/>
      <c r="AT129" s="155"/>
      <c r="AU129" s="155"/>
    </row>
    <row r="130" spans="1:47" ht="12">
      <c r="A130" s="11"/>
      <c r="B130" s="12"/>
      <c r="C130" s="12"/>
      <c r="D130" s="14"/>
      <c r="E130" s="14"/>
      <c r="F130" s="12"/>
      <c r="G130" s="12"/>
      <c r="H130" s="12"/>
      <c r="I130" s="12"/>
      <c r="J130" s="12"/>
      <c r="K130" s="27"/>
      <c r="L130" s="27"/>
      <c r="M130" s="27"/>
      <c r="N130" s="27"/>
      <c r="O130" s="15"/>
      <c r="P130" s="23"/>
      <c r="Q130" s="16"/>
      <c r="R130" s="16"/>
      <c r="S130" s="15"/>
      <c r="T130" s="15"/>
      <c r="U130" s="15"/>
      <c r="V130" s="15"/>
      <c r="W130" s="15"/>
      <c r="X130" s="15"/>
      <c r="Y130" s="15"/>
      <c r="Z130" s="15"/>
      <c r="AA130" s="17"/>
      <c r="AB130" s="12"/>
      <c r="AC130" s="73"/>
      <c r="AD130" s="73"/>
      <c r="AE130" s="12"/>
      <c r="AF130" s="12"/>
      <c r="AG130" s="18"/>
      <c r="AH130" s="18"/>
      <c r="AI130" s="20"/>
      <c r="AJ130" s="12"/>
      <c r="AK130" s="12"/>
      <c r="AL130" s="12"/>
      <c r="AM130" s="12"/>
      <c r="AN130" s="12"/>
      <c r="AO130" s="12"/>
      <c r="AP130" s="18"/>
      <c r="AQ130" s="163"/>
      <c r="AR130" s="155"/>
      <c r="AS130" s="155"/>
      <c r="AT130" s="155"/>
      <c r="AU130" s="155"/>
    </row>
    <row r="131" spans="1:47" ht="12">
      <c r="A131" s="11"/>
      <c r="B131" s="12"/>
      <c r="C131" s="12"/>
      <c r="D131" s="14"/>
      <c r="E131" s="14"/>
      <c r="F131" s="12"/>
      <c r="G131" s="12"/>
      <c r="H131" s="12"/>
      <c r="I131" s="12"/>
      <c r="J131" s="12"/>
      <c r="K131" s="27"/>
      <c r="L131" s="27"/>
      <c r="M131" s="27"/>
      <c r="N131" s="27"/>
      <c r="O131" s="15"/>
      <c r="P131" s="23"/>
      <c r="Q131" s="16"/>
      <c r="R131" s="16"/>
      <c r="S131" s="15"/>
      <c r="T131" s="15"/>
      <c r="U131" s="15"/>
      <c r="V131" s="15"/>
      <c r="W131" s="15"/>
      <c r="X131" s="15"/>
      <c r="Y131" s="15"/>
      <c r="Z131" s="15"/>
      <c r="AA131" s="17"/>
      <c r="AB131" s="12"/>
      <c r="AC131" s="73"/>
      <c r="AD131" s="73"/>
      <c r="AE131" s="12"/>
      <c r="AF131" s="12"/>
      <c r="AG131" s="18"/>
      <c r="AH131" s="18"/>
      <c r="AI131" s="20"/>
      <c r="AJ131" s="12"/>
      <c r="AK131" s="12"/>
      <c r="AL131" s="12"/>
      <c r="AM131" s="12"/>
      <c r="AN131" s="12"/>
      <c r="AO131" s="12"/>
      <c r="AP131" s="18"/>
      <c r="AQ131" s="163"/>
      <c r="AR131" s="155"/>
      <c r="AS131" s="155"/>
      <c r="AT131" s="155"/>
      <c r="AU131" s="155"/>
    </row>
    <row r="132" spans="1:47" ht="12">
      <c r="A132" s="11"/>
      <c r="B132" s="12"/>
      <c r="C132" s="12"/>
      <c r="D132" s="14"/>
      <c r="E132" s="14"/>
      <c r="F132" s="12"/>
      <c r="G132" s="12"/>
      <c r="H132" s="12"/>
      <c r="I132" s="12"/>
      <c r="J132" s="12"/>
      <c r="K132" s="27"/>
      <c r="L132" s="27"/>
      <c r="M132" s="27"/>
      <c r="N132" s="27"/>
      <c r="O132" s="15"/>
      <c r="P132" s="23"/>
      <c r="Q132" s="16"/>
      <c r="R132" s="16"/>
      <c r="S132" s="15"/>
      <c r="T132" s="15"/>
      <c r="U132" s="15"/>
      <c r="V132" s="15"/>
      <c r="W132" s="15"/>
      <c r="X132" s="15"/>
      <c r="Y132" s="15"/>
      <c r="Z132" s="15"/>
      <c r="AA132" s="17"/>
      <c r="AB132" s="12"/>
      <c r="AC132" s="73"/>
      <c r="AD132" s="73"/>
      <c r="AE132" s="12"/>
      <c r="AF132" s="12"/>
      <c r="AG132" s="18"/>
      <c r="AH132" s="18"/>
      <c r="AI132" s="20"/>
      <c r="AJ132" s="12"/>
      <c r="AK132" s="12"/>
      <c r="AL132" s="12"/>
      <c r="AM132" s="12"/>
      <c r="AN132" s="12"/>
      <c r="AO132" s="12"/>
      <c r="AP132" s="18"/>
      <c r="AQ132" s="163"/>
      <c r="AR132" s="155"/>
      <c r="AS132" s="155"/>
      <c r="AT132" s="155"/>
      <c r="AU132" s="155"/>
    </row>
    <row r="133" spans="1:47" ht="12">
      <c r="A133" s="11"/>
      <c r="B133" s="12"/>
      <c r="C133" s="12"/>
      <c r="D133" s="14"/>
      <c r="E133" s="14"/>
      <c r="F133" s="12"/>
      <c r="G133" s="12"/>
      <c r="H133" s="12"/>
      <c r="I133" s="12"/>
      <c r="J133" s="12"/>
      <c r="K133" s="27"/>
      <c r="L133" s="27"/>
      <c r="M133" s="27"/>
      <c r="N133" s="27"/>
      <c r="O133" s="15"/>
      <c r="P133" s="23"/>
      <c r="Q133" s="16"/>
      <c r="R133" s="16"/>
      <c r="S133" s="15"/>
      <c r="T133" s="15"/>
      <c r="U133" s="15"/>
      <c r="V133" s="15"/>
      <c r="W133" s="15"/>
      <c r="X133" s="15"/>
      <c r="Y133" s="15"/>
      <c r="Z133" s="15"/>
      <c r="AA133" s="17"/>
      <c r="AB133" s="12"/>
      <c r="AC133" s="73"/>
      <c r="AD133" s="73"/>
      <c r="AE133" s="12"/>
      <c r="AF133" s="12"/>
      <c r="AG133" s="18"/>
      <c r="AH133" s="18"/>
      <c r="AI133" s="20"/>
      <c r="AJ133" s="12"/>
      <c r="AK133" s="12"/>
      <c r="AL133" s="12"/>
      <c r="AM133" s="12"/>
      <c r="AN133" s="12"/>
      <c r="AO133" s="12"/>
      <c r="AP133" s="18"/>
      <c r="AQ133" s="163"/>
      <c r="AR133" s="155"/>
      <c r="AS133" s="155"/>
      <c r="AT133" s="155"/>
      <c r="AU133" s="155"/>
    </row>
    <row r="134" spans="1:47" ht="12">
      <c r="A134" s="11"/>
      <c r="B134" s="12"/>
      <c r="C134" s="12"/>
      <c r="D134" s="14"/>
      <c r="E134" s="14"/>
      <c r="F134" s="12"/>
      <c r="G134" s="12"/>
      <c r="H134" s="12"/>
      <c r="I134" s="12"/>
      <c r="J134" s="12"/>
      <c r="K134" s="27"/>
      <c r="L134" s="27"/>
      <c r="M134" s="27"/>
      <c r="N134" s="27"/>
      <c r="O134" s="15"/>
      <c r="P134" s="23"/>
      <c r="Q134" s="16"/>
      <c r="R134" s="16"/>
      <c r="S134" s="15"/>
      <c r="T134" s="15"/>
      <c r="U134" s="15"/>
      <c r="V134" s="15"/>
      <c r="W134" s="15"/>
      <c r="X134" s="15"/>
      <c r="Y134" s="15"/>
      <c r="Z134" s="15"/>
      <c r="AA134" s="17"/>
      <c r="AB134" s="12"/>
      <c r="AC134" s="73"/>
      <c r="AD134" s="73"/>
      <c r="AE134" s="12"/>
      <c r="AF134" s="12"/>
      <c r="AG134" s="18"/>
      <c r="AH134" s="18"/>
      <c r="AI134" s="20"/>
      <c r="AJ134" s="12"/>
      <c r="AK134" s="12"/>
      <c r="AL134" s="12"/>
      <c r="AM134" s="12"/>
      <c r="AN134" s="12"/>
      <c r="AO134" s="12"/>
      <c r="AP134" s="18"/>
      <c r="AQ134" s="163"/>
      <c r="AR134" s="155"/>
      <c r="AS134" s="155"/>
      <c r="AT134" s="155"/>
      <c r="AU134" s="155"/>
    </row>
    <row r="135" spans="1:47" ht="12">
      <c r="A135" s="11"/>
      <c r="B135" s="12"/>
      <c r="C135" s="12"/>
      <c r="D135" s="14"/>
      <c r="E135" s="14"/>
      <c r="F135" s="12"/>
      <c r="G135" s="12"/>
      <c r="H135" s="12"/>
      <c r="I135" s="12"/>
      <c r="J135" s="12"/>
      <c r="K135" s="27"/>
      <c r="L135" s="27"/>
      <c r="M135" s="27"/>
      <c r="N135" s="27"/>
      <c r="O135" s="15"/>
      <c r="P135" s="23"/>
      <c r="Q135" s="16"/>
      <c r="R135" s="16"/>
      <c r="S135" s="15"/>
      <c r="T135" s="15"/>
      <c r="U135" s="15"/>
      <c r="V135" s="15"/>
      <c r="W135" s="15"/>
      <c r="X135" s="15"/>
      <c r="Y135" s="15"/>
      <c r="Z135" s="15"/>
      <c r="AA135" s="17"/>
      <c r="AB135" s="12"/>
      <c r="AC135" s="73"/>
      <c r="AD135" s="73"/>
      <c r="AE135" s="12"/>
      <c r="AF135" s="12"/>
      <c r="AG135" s="18"/>
      <c r="AH135" s="18"/>
      <c r="AI135" s="20"/>
      <c r="AJ135" s="12"/>
      <c r="AK135" s="12"/>
      <c r="AL135" s="12"/>
      <c r="AM135" s="12"/>
      <c r="AN135" s="12"/>
      <c r="AO135" s="12"/>
      <c r="AP135" s="18"/>
      <c r="AQ135" s="163"/>
      <c r="AR135" s="155"/>
      <c r="AS135" s="155"/>
      <c r="AT135" s="155"/>
      <c r="AU135" s="155"/>
    </row>
    <row r="136" spans="1:47" ht="12">
      <c r="A136" s="11"/>
      <c r="B136" s="12"/>
      <c r="C136" s="12"/>
      <c r="D136" s="14"/>
      <c r="E136" s="14"/>
      <c r="F136" s="12"/>
      <c r="G136" s="12"/>
      <c r="H136" s="12"/>
      <c r="I136" s="12"/>
      <c r="J136" s="12"/>
      <c r="K136" s="27"/>
      <c r="L136" s="27"/>
      <c r="M136" s="27"/>
      <c r="N136" s="27"/>
      <c r="O136" s="15"/>
      <c r="P136" s="23"/>
      <c r="Q136" s="16"/>
      <c r="R136" s="16"/>
      <c r="S136" s="15"/>
      <c r="T136" s="15"/>
      <c r="U136" s="15"/>
      <c r="V136" s="15"/>
      <c r="W136" s="15"/>
      <c r="X136" s="15"/>
      <c r="Y136" s="15"/>
      <c r="Z136" s="15"/>
      <c r="AA136" s="17"/>
      <c r="AB136" s="12"/>
      <c r="AC136" s="73"/>
      <c r="AD136" s="73"/>
      <c r="AE136" s="12"/>
      <c r="AF136" s="12"/>
      <c r="AG136" s="18"/>
      <c r="AH136" s="18"/>
      <c r="AI136" s="20"/>
      <c r="AJ136" s="12"/>
      <c r="AK136" s="12"/>
      <c r="AL136" s="12"/>
      <c r="AM136" s="12"/>
      <c r="AN136" s="12"/>
      <c r="AO136" s="12"/>
      <c r="AP136" s="18"/>
      <c r="AQ136" s="163"/>
      <c r="AR136" s="155"/>
      <c r="AS136" s="155"/>
      <c r="AT136" s="155"/>
      <c r="AU136" s="155"/>
    </row>
    <row r="137" spans="1:47" ht="12">
      <c r="A137" s="11"/>
      <c r="B137" s="12"/>
      <c r="C137" s="12"/>
      <c r="D137" s="14"/>
      <c r="E137" s="14"/>
      <c r="F137" s="12"/>
      <c r="G137" s="12"/>
      <c r="H137" s="12"/>
      <c r="I137" s="12"/>
      <c r="J137" s="12"/>
      <c r="K137" s="27"/>
      <c r="L137" s="27"/>
      <c r="M137" s="27"/>
      <c r="N137" s="27"/>
      <c r="O137" s="15"/>
      <c r="P137" s="23"/>
      <c r="Q137" s="16"/>
      <c r="R137" s="16"/>
      <c r="S137" s="15"/>
      <c r="T137" s="15"/>
      <c r="U137" s="15"/>
      <c r="V137" s="15"/>
      <c r="W137" s="15"/>
      <c r="X137" s="15"/>
      <c r="Y137" s="15"/>
      <c r="Z137" s="15"/>
      <c r="AA137" s="17"/>
      <c r="AB137" s="12"/>
      <c r="AC137" s="73"/>
      <c r="AD137" s="73"/>
      <c r="AE137" s="12"/>
      <c r="AF137" s="12"/>
      <c r="AG137" s="18"/>
      <c r="AH137" s="18"/>
      <c r="AI137" s="20"/>
      <c r="AJ137" s="12"/>
      <c r="AK137" s="12"/>
      <c r="AL137" s="12"/>
      <c r="AM137" s="12"/>
      <c r="AN137" s="12"/>
      <c r="AO137" s="12"/>
      <c r="AP137" s="18"/>
      <c r="AQ137" s="163"/>
      <c r="AR137" s="155"/>
      <c r="AS137" s="155"/>
      <c r="AT137" s="155"/>
      <c r="AU137" s="155"/>
    </row>
    <row r="138" spans="1:47" ht="12">
      <c r="A138" s="11"/>
      <c r="B138" s="12"/>
      <c r="C138" s="13"/>
      <c r="D138" s="14"/>
      <c r="E138" s="14"/>
      <c r="F138" s="12"/>
      <c r="G138" s="12"/>
      <c r="H138" s="12"/>
      <c r="I138" s="12"/>
      <c r="J138" s="12"/>
      <c r="K138" s="27"/>
      <c r="L138" s="27"/>
      <c r="M138" s="27"/>
      <c r="N138" s="27"/>
      <c r="O138" s="15"/>
      <c r="P138" s="23"/>
      <c r="Q138" s="16"/>
      <c r="R138" s="16"/>
      <c r="S138" s="15"/>
      <c r="T138" s="15"/>
      <c r="U138" s="15"/>
      <c r="V138" s="15"/>
      <c r="W138" s="15"/>
      <c r="X138" s="15"/>
      <c r="Y138" s="15"/>
      <c r="Z138" s="15"/>
      <c r="AA138" s="17"/>
      <c r="AB138" s="12"/>
      <c r="AC138" s="12"/>
      <c r="AD138" s="12"/>
      <c r="AE138" s="12"/>
      <c r="AF138" s="12"/>
      <c r="AG138" s="18"/>
      <c r="AH138" s="18"/>
      <c r="AI138" s="20"/>
      <c r="AJ138" s="12"/>
      <c r="AK138" s="12"/>
      <c r="AL138" s="12"/>
      <c r="AM138" s="12"/>
      <c r="AN138" s="12"/>
      <c r="AO138" s="12"/>
      <c r="AP138" s="18"/>
      <c r="AQ138" s="163"/>
      <c r="AR138" s="155"/>
      <c r="AS138" s="155"/>
      <c r="AT138" s="155"/>
      <c r="AU138" s="155"/>
    </row>
    <row r="139" spans="1:47" ht="12">
      <c r="A139" s="11"/>
      <c r="B139" s="12"/>
      <c r="C139" s="12"/>
      <c r="D139" s="14"/>
      <c r="E139" s="14"/>
      <c r="F139" s="12"/>
      <c r="G139" s="12"/>
      <c r="H139" s="12"/>
      <c r="I139" s="12"/>
      <c r="J139" s="12"/>
      <c r="K139" s="27"/>
      <c r="L139" s="27"/>
      <c r="M139" s="27"/>
      <c r="N139" s="27"/>
      <c r="O139" s="15"/>
      <c r="P139" s="23"/>
      <c r="Q139" s="16"/>
      <c r="R139" s="16"/>
      <c r="S139" s="15"/>
      <c r="T139" s="15"/>
      <c r="U139" s="15"/>
      <c r="V139" s="15"/>
      <c r="W139" s="15"/>
      <c r="X139" s="15"/>
      <c r="Y139" s="15"/>
      <c r="Z139" s="15"/>
      <c r="AA139" s="17"/>
      <c r="AB139" s="12"/>
      <c r="AC139" s="12"/>
      <c r="AD139" s="12"/>
      <c r="AE139" s="12"/>
      <c r="AF139" s="12"/>
      <c r="AG139" s="18"/>
      <c r="AH139" s="18"/>
      <c r="AI139" s="20"/>
      <c r="AJ139" s="12"/>
      <c r="AK139" s="12"/>
      <c r="AL139" s="12"/>
      <c r="AM139" s="12"/>
      <c r="AN139" s="12"/>
      <c r="AO139" s="12"/>
      <c r="AP139" s="18"/>
      <c r="AQ139" s="163"/>
      <c r="AR139" s="155"/>
      <c r="AS139" s="155"/>
      <c r="AT139" s="155"/>
      <c r="AU139" s="155"/>
    </row>
    <row r="140" spans="1:47" ht="12">
      <c r="A140" s="11"/>
      <c r="B140" s="12"/>
      <c r="C140" s="12"/>
      <c r="D140" s="14"/>
      <c r="E140" s="14"/>
      <c r="F140" s="12"/>
      <c r="G140" s="12"/>
      <c r="H140" s="12"/>
      <c r="I140" s="12"/>
      <c r="J140" s="12"/>
      <c r="K140" s="27"/>
      <c r="L140" s="27"/>
      <c r="M140" s="27"/>
      <c r="N140" s="27"/>
      <c r="O140" s="15"/>
      <c r="P140" s="23"/>
      <c r="Q140" s="16"/>
      <c r="R140" s="16"/>
      <c r="S140" s="15"/>
      <c r="T140" s="15"/>
      <c r="U140" s="15"/>
      <c r="V140" s="15"/>
      <c r="W140" s="15"/>
      <c r="X140" s="15"/>
      <c r="Y140" s="15"/>
      <c r="Z140" s="15"/>
      <c r="AA140" s="17"/>
      <c r="AB140" s="12"/>
      <c r="AC140" s="12"/>
      <c r="AD140" s="12"/>
      <c r="AE140" s="12"/>
      <c r="AF140" s="12"/>
      <c r="AG140" s="18"/>
      <c r="AH140" s="18"/>
      <c r="AI140" s="20"/>
      <c r="AJ140" s="12"/>
      <c r="AK140" s="12"/>
      <c r="AL140" s="12"/>
      <c r="AM140" s="12"/>
      <c r="AN140" s="12"/>
      <c r="AO140" s="12"/>
      <c r="AP140" s="18"/>
      <c r="AQ140" s="163"/>
      <c r="AR140" s="155"/>
      <c r="AS140" s="155"/>
      <c r="AT140" s="155"/>
      <c r="AU140" s="155"/>
    </row>
    <row r="141" spans="1:47" ht="12">
      <c r="A141" s="11"/>
      <c r="B141" s="12"/>
      <c r="C141" s="12"/>
      <c r="D141" s="14"/>
      <c r="E141" s="14"/>
      <c r="F141" s="12"/>
      <c r="G141" s="12"/>
      <c r="H141" s="12"/>
      <c r="I141" s="12"/>
      <c r="J141" s="12"/>
      <c r="K141" s="27"/>
      <c r="L141" s="27"/>
      <c r="M141" s="27"/>
      <c r="N141" s="27"/>
      <c r="O141" s="15"/>
      <c r="P141" s="23"/>
      <c r="Q141" s="16"/>
      <c r="R141" s="16"/>
      <c r="S141" s="15"/>
      <c r="T141" s="15"/>
      <c r="U141" s="15"/>
      <c r="V141" s="15"/>
      <c r="W141" s="15"/>
      <c r="X141" s="15"/>
      <c r="Y141" s="15"/>
      <c r="Z141" s="15"/>
      <c r="AA141" s="17"/>
      <c r="AB141" s="12"/>
      <c r="AC141" s="12"/>
      <c r="AD141" s="12"/>
      <c r="AE141" s="12"/>
      <c r="AF141" s="12"/>
      <c r="AG141" s="18"/>
      <c r="AH141" s="18"/>
      <c r="AI141" s="20"/>
      <c r="AJ141" s="12"/>
      <c r="AK141" s="12"/>
      <c r="AL141" s="12"/>
      <c r="AM141" s="12"/>
      <c r="AN141" s="12"/>
      <c r="AO141" s="12"/>
      <c r="AP141" s="18"/>
      <c r="AQ141" s="163"/>
      <c r="AR141" s="155"/>
      <c r="AS141" s="155"/>
      <c r="AT141" s="155"/>
      <c r="AU141" s="155"/>
    </row>
    <row r="142" spans="1:47" ht="12">
      <c r="A142" s="11"/>
      <c r="B142" s="12"/>
      <c r="C142" s="12"/>
      <c r="D142" s="14"/>
      <c r="E142" s="14"/>
      <c r="F142" s="12"/>
      <c r="G142" s="12"/>
      <c r="H142" s="12"/>
      <c r="I142" s="12"/>
      <c r="J142" s="12"/>
      <c r="K142" s="27"/>
      <c r="L142" s="27"/>
      <c r="M142" s="27"/>
      <c r="N142" s="27"/>
      <c r="O142" s="15"/>
      <c r="P142" s="23"/>
      <c r="Q142" s="16"/>
      <c r="R142" s="16"/>
      <c r="S142" s="15"/>
      <c r="T142" s="15"/>
      <c r="U142" s="15"/>
      <c r="V142" s="15"/>
      <c r="W142" s="15"/>
      <c r="X142" s="15"/>
      <c r="Y142" s="15"/>
      <c r="Z142" s="15"/>
      <c r="AA142" s="17"/>
      <c r="AB142" s="12"/>
      <c r="AC142" s="12"/>
      <c r="AD142" s="12"/>
      <c r="AE142" s="12"/>
      <c r="AF142" s="12"/>
      <c r="AG142" s="18"/>
      <c r="AH142" s="18"/>
      <c r="AI142" s="20"/>
      <c r="AJ142" s="12"/>
      <c r="AK142" s="12"/>
      <c r="AL142" s="12"/>
      <c r="AM142" s="12"/>
      <c r="AN142" s="12"/>
      <c r="AO142" s="12"/>
      <c r="AP142" s="18"/>
      <c r="AQ142" s="163"/>
      <c r="AR142" s="155"/>
      <c r="AS142" s="155"/>
      <c r="AT142" s="155"/>
      <c r="AU142" s="155"/>
    </row>
    <row r="143" spans="1:47" ht="12">
      <c r="A143" s="11"/>
      <c r="B143" s="12"/>
      <c r="C143" s="12"/>
      <c r="D143" s="14"/>
      <c r="E143" s="14"/>
      <c r="F143" s="12"/>
      <c r="G143" s="12"/>
      <c r="H143" s="12"/>
      <c r="I143" s="12"/>
      <c r="J143" s="12"/>
      <c r="K143" s="27"/>
      <c r="L143" s="27"/>
      <c r="M143" s="27"/>
      <c r="N143" s="27"/>
      <c r="O143" s="101"/>
      <c r="P143" s="23"/>
      <c r="Q143" s="16"/>
      <c r="R143" s="16"/>
      <c r="S143" s="15"/>
      <c r="T143" s="15"/>
      <c r="U143" s="15"/>
      <c r="V143" s="15"/>
      <c r="W143" s="15"/>
      <c r="X143" s="15"/>
      <c r="Y143" s="15"/>
      <c r="Z143" s="15"/>
      <c r="AA143" s="17"/>
      <c r="AB143" s="12"/>
      <c r="AC143" s="12"/>
      <c r="AD143" s="12"/>
      <c r="AE143" s="12"/>
      <c r="AF143" s="12"/>
      <c r="AG143" s="18"/>
      <c r="AH143" s="18"/>
      <c r="AI143" s="20"/>
      <c r="AJ143" s="12"/>
      <c r="AK143" s="12"/>
      <c r="AL143" s="12"/>
      <c r="AM143" s="12"/>
      <c r="AN143" s="12"/>
      <c r="AO143" s="12"/>
      <c r="AP143" s="18"/>
      <c r="AQ143" s="163"/>
      <c r="AR143" s="155"/>
      <c r="AS143" s="155"/>
      <c r="AT143" s="155"/>
      <c r="AU143" s="155"/>
    </row>
    <row r="144" spans="1:47" ht="12">
      <c r="A144" s="11"/>
      <c r="B144" s="12"/>
      <c r="C144" s="12"/>
      <c r="D144" s="14"/>
      <c r="E144" s="14"/>
      <c r="F144" s="12"/>
      <c r="G144" s="12"/>
      <c r="H144" s="12"/>
      <c r="I144" s="12"/>
      <c r="J144" s="12"/>
      <c r="K144" s="27"/>
      <c r="L144" s="27"/>
      <c r="M144" s="27"/>
      <c r="N144" s="27"/>
      <c r="O144" s="15"/>
      <c r="P144" s="23"/>
      <c r="Q144" s="16"/>
      <c r="R144" s="16"/>
      <c r="S144" s="15"/>
      <c r="T144" s="15"/>
      <c r="U144" s="15"/>
      <c r="V144" s="15"/>
      <c r="W144" s="15"/>
      <c r="X144" s="15"/>
      <c r="Y144" s="15"/>
      <c r="Z144" s="15"/>
      <c r="AA144" s="17"/>
      <c r="AB144" s="12"/>
      <c r="AC144" s="12"/>
      <c r="AD144" s="12"/>
      <c r="AE144" s="12"/>
      <c r="AF144" s="12"/>
      <c r="AG144" s="18"/>
      <c r="AH144" s="18"/>
      <c r="AI144" s="20"/>
      <c r="AJ144" s="12"/>
      <c r="AK144" s="12"/>
      <c r="AL144" s="12"/>
      <c r="AM144" s="12"/>
      <c r="AN144" s="12"/>
      <c r="AO144" s="12"/>
      <c r="AP144" s="18"/>
      <c r="AQ144" s="163"/>
      <c r="AR144" s="155"/>
      <c r="AS144" s="155"/>
      <c r="AT144" s="155"/>
      <c r="AU144" s="155"/>
    </row>
    <row r="145" spans="1:47" ht="12">
      <c r="A145" s="11"/>
      <c r="B145" s="12"/>
      <c r="C145" s="12"/>
      <c r="D145" s="14"/>
      <c r="E145" s="14"/>
      <c r="F145" s="12"/>
      <c r="G145" s="12"/>
      <c r="H145" s="12"/>
      <c r="I145" s="12"/>
      <c r="J145" s="12"/>
      <c r="K145" s="27"/>
      <c r="L145" s="27"/>
      <c r="M145" s="27"/>
      <c r="N145" s="27"/>
      <c r="O145" s="15"/>
      <c r="P145" s="23"/>
      <c r="Q145" s="16"/>
      <c r="R145" s="16"/>
      <c r="S145" s="15"/>
      <c r="T145" s="15"/>
      <c r="U145" s="15"/>
      <c r="V145" s="15"/>
      <c r="W145" s="15"/>
      <c r="X145" s="15"/>
      <c r="Y145" s="15"/>
      <c r="Z145" s="15"/>
      <c r="AA145" s="17"/>
      <c r="AB145" s="12"/>
      <c r="AC145" s="12"/>
      <c r="AD145" s="12"/>
      <c r="AE145" s="12"/>
      <c r="AF145" s="12"/>
      <c r="AG145" s="18"/>
      <c r="AH145" s="18"/>
      <c r="AI145" s="20"/>
      <c r="AJ145" s="12"/>
      <c r="AK145" s="12"/>
      <c r="AL145" s="12"/>
      <c r="AM145" s="12"/>
      <c r="AN145" s="12"/>
      <c r="AO145" s="12"/>
      <c r="AP145" s="18"/>
      <c r="AQ145" s="163"/>
      <c r="AR145" s="155"/>
      <c r="AS145" s="155"/>
      <c r="AT145" s="155"/>
      <c r="AU145" s="155"/>
    </row>
    <row r="146" spans="1:47" ht="12">
      <c r="A146" s="11"/>
      <c r="B146" s="12"/>
      <c r="C146" s="12"/>
      <c r="D146" s="14"/>
      <c r="E146" s="14"/>
      <c r="F146" s="12"/>
      <c r="G146" s="12"/>
      <c r="H146" s="12"/>
      <c r="I146" s="12"/>
      <c r="J146" s="12"/>
      <c r="K146" s="27"/>
      <c r="L146" s="27"/>
      <c r="M146" s="27"/>
      <c r="N146" s="27"/>
      <c r="O146" s="15"/>
      <c r="P146" s="23"/>
      <c r="Q146" s="16"/>
      <c r="R146" s="16"/>
      <c r="S146" s="15"/>
      <c r="T146" s="23"/>
      <c r="U146" s="16"/>
      <c r="V146" s="16"/>
      <c r="W146" s="15"/>
      <c r="X146" s="15"/>
      <c r="Y146" s="15"/>
      <c r="Z146" s="15"/>
      <c r="AA146" s="17"/>
      <c r="AB146" s="12"/>
      <c r="AC146" s="12"/>
      <c r="AD146" s="12"/>
      <c r="AE146" s="12"/>
      <c r="AF146" s="12"/>
      <c r="AG146" s="18"/>
      <c r="AH146" s="18"/>
      <c r="AI146" s="20"/>
      <c r="AJ146" s="12"/>
      <c r="AK146" s="12"/>
      <c r="AL146" s="12"/>
      <c r="AM146" s="12"/>
      <c r="AN146" s="12"/>
      <c r="AO146" s="12"/>
      <c r="AP146" s="18"/>
      <c r="AQ146" s="163"/>
      <c r="AR146" s="155"/>
      <c r="AS146" s="155"/>
      <c r="AT146" s="155"/>
      <c r="AU146" s="155"/>
    </row>
    <row r="147" spans="1:47" ht="12">
      <c r="A147" s="11"/>
      <c r="B147" s="12"/>
      <c r="C147" s="12"/>
      <c r="D147" s="14"/>
      <c r="E147" s="14"/>
      <c r="F147" s="12"/>
      <c r="G147" s="12"/>
      <c r="H147" s="12"/>
      <c r="I147" s="12"/>
      <c r="J147" s="12"/>
      <c r="K147" s="27"/>
      <c r="L147" s="27"/>
      <c r="M147" s="27"/>
      <c r="N147" s="27"/>
      <c r="O147" s="15"/>
      <c r="P147" s="23"/>
      <c r="Q147" s="16"/>
      <c r="R147" s="16"/>
      <c r="S147" s="15"/>
      <c r="T147" s="23"/>
      <c r="U147" s="16"/>
      <c r="V147" s="16"/>
      <c r="W147" s="15"/>
      <c r="X147" s="15"/>
      <c r="Y147" s="15"/>
      <c r="Z147" s="15"/>
      <c r="AA147" s="17"/>
      <c r="AB147" s="12"/>
      <c r="AC147" s="12"/>
      <c r="AD147" s="12"/>
      <c r="AE147" s="12"/>
      <c r="AF147" s="12"/>
      <c r="AG147" s="18"/>
      <c r="AH147" s="18"/>
      <c r="AI147" s="20"/>
      <c r="AJ147" s="12"/>
      <c r="AK147" s="12"/>
      <c r="AL147" s="12"/>
      <c r="AM147" s="12"/>
      <c r="AN147" s="12"/>
      <c r="AO147" s="12"/>
      <c r="AP147" s="18"/>
      <c r="AQ147" s="163"/>
      <c r="AR147" s="155"/>
      <c r="AS147" s="155"/>
      <c r="AT147" s="155"/>
      <c r="AU147" s="155"/>
    </row>
    <row r="148" spans="1:47" ht="13">
      <c r="A148" s="11"/>
      <c r="B148" s="12"/>
      <c r="C148" s="12"/>
      <c r="D148" s="14"/>
      <c r="E148" s="14"/>
      <c r="F148" s="12"/>
      <c r="G148" s="12"/>
      <c r="H148" s="12"/>
      <c r="I148" s="12"/>
      <c r="J148" s="12"/>
      <c r="K148" s="27"/>
      <c r="L148" s="27"/>
      <c r="M148" s="27"/>
      <c r="N148" s="27"/>
      <c r="O148" s="15"/>
      <c r="P148" s="23"/>
      <c r="Q148" s="16"/>
      <c r="R148" s="16"/>
      <c r="S148" s="15"/>
      <c r="T148" s="23"/>
      <c r="U148" s="16"/>
      <c r="V148" s="16"/>
      <c r="W148" s="15"/>
      <c r="X148" s="15"/>
      <c r="Y148" s="15"/>
      <c r="Z148" s="15"/>
      <c r="AA148" s="17"/>
      <c r="AB148" s="12"/>
      <c r="AC148" s="12"/>
      <c r="AD148" s="12"/>
      <c r="AE148" s="12"/>
      <c r="AF148" s="12"/>
      <c r="AG148" s="18"/>
      <c r="AH148" s="21"/>
      <c r="AI148" s="20"/>
      <c r="AJ148" s="12"/>
      <c r="AK148" s="12"/>
      <c r="AL148" s="12"/>
      <c r="AM148" s="12"/>
      <c r="AN148" s="12"/>
      <c r="AO148" s="12"/>
      <c r="AP148" s="18"/>
      <c r="AQ148" s="163"/>
      <c r="AR148" s="155"/>
      <c r="AS148" s="155"/>
      <c r="AT148" s="155"/>
      <c r="AU148" s="155"/>
    </row>
    <row r="149" spans="1:47" ht="12">
      <c r="A149" s="11"/>
      <c r="B149" s="12"/>
      <c r="C149" s="12"/>
      <c r="D149" s="14"/>
      <c r="E149" s="14"/>
      <c r="F149" s="12"/>
      <c r="G149" s="12"/>
      <c r="H149" s="12"/>
      <c r="I149" s="12"/>
      <c r="J149" s="12"/>
      <c r="K149" s="27"/>
      <c r="L149" s="27"/>
      <c r="M149" s="27"/>
      <c r="N149" s="27"/>
      <c r="O149" s="15"/>
      <c r="P149" s="23"/>
      <c r="Q149" s="16"/>
      <c r="R149" s="16"/>
      <c r="S149" s="15"/>
      <c r="T149" s="23"/>
      <c r="U149" s="16"/>
      <c r="V149" s="16"/>
      <c r="W149" s="15"/>
      <c r="X149" s="15"/>
      <c r="Y149" s="15"/>
      <c r="Z149" s="15"/>
      <c r="AA149" s="17"/>
      <c r="AB149" s="12"/>
      <c r="AC149" s="12"/>
      <c r="AD149" s="12"/>
      <c r="AE149" s="12"/>
      <c r="AF149" s="12"/>
      <c r="AG149" s="18"/>
      <c r="AH149" s="18"/>
      <c r="AI149" s="20"/>
      <c r="AJ149" s="12"/>
      <c r="AK149" s="12"/>
      <c r="AL149" s="12"/>
      <c r="AM149" s="12"/>
      <c r="AN149" s="12"/>
      <c r="AO149" s="12"/>
      <c r="AP149" s="18"/>
      <c r="AQ149" s="163"/>
      <c r="AR149" s="155"/>
      <c r="AS149" s="155"/>
      <c r="AT149" s="155"/>
      <c r="AU149" s="155"/>
    </row>
    <row r="150" spans="1:47" ht="13">
      <c r="A150" s="11"/>
      <c r="B150" s="12"/>
      <c r="C150" s="12"/>
      <c r="D150" s="14"/>
      <c r="E150" s="14"/>
      <c r="F150" s="12"/>
      <c r="G150" s="12"/>
      <c r="H150" s="12"/>
      <c r="I150" s="12"/>
      <c r="J150" s="12"/>
      <c r="K150" s="27"/>
      <c r="L150" s="27"/>
      <c r="M150" s="27"/>
      <c r="N150" s="27"/>
      <c r="O150" s="15"/>
      <c r="P150" s="23"/>
      <c r="Q150" s="16"/>
      <c r="R150" s="16"/>
      <c r="S150" s="15"/>
      <c r="T150" s="23"/>
      <c r="U150" s="16"/>
      <c r="V150" s="16"/>
      <c r="W150" s="15"/>
      <c r="X150" s="15"/>
      <c r="Y150" s="15"/>
      <c r="Z150" s="15"/>
      <c r="AA150" s="17"/>
      <c r="AB150" s="12"/>
      <c r="AC150" s="12"/>
      <c r="AD150" s="12"/>
      <c r="AE150" s="12"/>
      <c r="AF150" s="12"/>
      <c r="AG150" s="18"/>
      <c r="AH150" s="21"/>
      <c r="AI150" s="20"/>
      <c r="AJ150" s="12"/>
      <c r="AK150" s="12"/>
      <c r="AL150" s="12"/>
      <c r="AM150" s="12"/>
      <c r="AN150" s="12"/>
      <c r="AO150" s="12"/>
      <c r="AP150" s="18"/>
      <c r="AQ150" s="163"/>
      <c r="AR150" s="155"/>
      <c r="AS150" s="155"/>
      <c r="AT150" s="155"/>
      <c r="AU150" s="155"/>
    </row>
    <row r="151" spans="1:47" ht="12">
      <c r="A151" s="11"/>
      <c r="B151" s="12"/>
      <c r="C151" s="12"/>
      <c r="D151" s="14"/>
      <c r="E151" s="14"/>
      <c r="F151" s="12"/>
      <c r="G151" s="12"/>
      <c r="H151" s="12"/>
      <c r="I151" s="12"/>
      <c r="J151" s="12"/>
      <c r="K151" s="27"/>
      <c r="L151" s="27"/>
      <c r="M151" s="27"/>
      <c r="N151" s="27"/>
      <c r="O151" s="15"/>
      <c r="P151" s="23"/>
      <c r="Q151" s="16"/>
      <c r="R151" s="16"/>
      <c r="S151" s="15"/>
      <c r="T151" s="23"/>
      <c r="U151" s="16"/>
      <c r="V151" s="16"/>
      <c r="W151" s="15"/>
      <c r="X151" s="15"/>
      <c r="Y151" s="15"/>
      <c r="Z151" s="15"/>
      <c r="AA151" s="17"/>
      <c r="AB151" s="12"/>
      <c r="AC151" s="12"/>
      <c r="AD151" s="12"/>
      <c r="AE151" s="12"/>
      <c r="AF151" s="12"/>
      <c r="AG151" s="18"/>
      <c r="AH151" s="18"/>
      <c r="AI151" s="20"/>
      <c r="AJ151" s="12"/>
      <c r="AK151" s="12"/>
      <c r="AL151" s="12"/>
      <c r="AM151" s="12"/>
      <c r="AN151" s="12"/>
      <c r="AO151" s="12"/>
      <c r="AP151" s="18"/>
      <c r="AQ151" s="163"/>
      <c r="AR151" s="155"/>
      <c r="AS151" s="155"/>
      <c r="AT151" s="155"/>
      <c r="AU151" s="155"/>
    </row>
    <row r="152" spans="1:47" ht="12">
      <c r="A152" s="11"/>
      <c r="B152" s="12"/>
      <c r="C152" s="12"/>
      <c r="D152" s="14"/>
      <c r="E152" s="14"/>
      <c r="F152" s="12"/>
      <c r="G152" s="12"/>
      <c r="H152" s="12"/>
      <c r="I152" s="12"/>
      <c r="J152" s="12"/>
      <c r="K152" s="27"/>
      <c r="L152" s="27"/>
      <c r="M152" s="27"/>
      <c r="N152" s="27"/>
      <c r="O152" s="15"/>
      <c r="P152" s="23"/>
      <c r="Q152" s="16"/>
      <c r="R152" s="16"/>
      <c r="S152" s="15"/>
      <c r="T152" s="23"/>
      <c r="U152" s="16"/>
      <c r="V152" s="16"/>
      <c r="W152" s="15"/>
      <c r="X152" s="15"/>
      <c r="Y152" s="15"/>
      <c r="Z152" s="15"/>
      <c r="AA152" s="17"/>
      <c r="AB152" s="12"/>
      <c r="AC152" s="12"/>
      <c r="AD152" s="12"/>
      <c r="AE152" s="12"/>
      <c r="AF152" s="12"/>
      <c r="AG152" s="18"/>
      <c r="AH152" s="18"/>
      <c r="AI152" s="20"/>
      <c r="AJ152" s="12"/>
      <c r="AK152" s="12"/>
      <c r="AL152" s="12"/>
      <c r="AM152" s="12"/>
      <c r="AN152" s="12"/>
      <c r="AO152" s="12"/>
      <c r="AP152" s="18"/>
      <c r="AQ152" s="163"/>
      <c r="AR152" s="155"/>
      <c r="AS152" s="155"/>
      <c r="AT152" s="155"/>
      <c r="AU152" s="155"/>
    </row>
    <row r="153" spans="1:47" ht="12">
      <c r="A153" s="11"/>
      <c r="B153" s="12"/>
      <c r="C153" s="12"/>
      <c r="D153" s="14"/>
      <c r="E153" s="14"/>
      <c r="F153" s="12"/>
      <c r="G153" s="12"/>
      <c r="H153" s="12"/>
      <c r="I153" s="12"/>
      <c r="J153" s="12"/>
      <c r="K153" s="27"/>
      <c r="L153" s="27"/>
      <c r="M153" s="27"/>
      <c r="N153" s="27"/>
      <c r="O153" s="15"/>
      <c r="P153" s="23"/>
      <c r="Q153" s="16"/>
      <c r="R153" s="16"/>
      <c r="S153" s="15"/>
      <c r="T153" s="23"/>
      <c r="U153" s="16"/>
      <c r="V153" s="16"/>
      <c r="W153" s="15"/>
      <c r="X153" s="15"/>
      <c r="Y153" s="15"/>
      <c r="Z153" s="15"/>
      <c r="AA153" s="17"/>
      <c r="AB153" s="12"/>
      <c r="AC153" s="12"/>
      <c r="AD153" s="12"/>
      <c r="AE153" s="12"/>
      <c r="AF153" s="12"/>
      <c r="AG153" s="18"/>
      <c r="AH153" s="18"/>
      <c r="AI153" s="20"/>
      <c r="AJ153" s="12"/>
      <c r="AK153" s="12"/>
      <c r="AL153" s="12"/>
      <c r="AM153" s="12"/>
      <c r="AN153" s="12"/>
      <c r="AO153" s="12"/>
      <c r="AP153" s="18"/>
      <c r="AQ153" s="163"/>
      <c r="AR153" s="155"/>
      <c r="AS153" s="155"/>
      <c r="AT153" s="155"/>
      <c r="AU153" s="155"/>
    </row>
    <row r="154" spans="1:47" ht="12">
      <c r="A154" s="11"/>
      <c r="B154" s="12"/>
      <c r="C154" s="12"/>
      <c r="D154" s="14"/>
      <c r="E154" s="14"/>
      <c r="F154" s="12"/>
      <c r="G154" s="12"/>
      <c r="H154" s="12"/>
      <c r="I154" s="12"/>
      <c r="J154" s="12"/>
      <c r="K154" s="27"/>
      <c r="L154" s="27"/>
      <c r="M154" s="27"/>
      <c r="N154" s="27"/>
      <c r="O154" s="15"/>
      <c r="P154" s="23"/>
      <c r="Q154" s="16"/>
      <c r="R154" s="16"/>
      <c r="S154" s="15"/>
      <c r="T154" s="23"/>
      <c r="U154" s="16"/>
      <c r="V154" s="16"/>
      <c r="W154" s="15"/>
      <c r="X154" s="15"/>
      <c r="Y154" s="15"/>
      <c r="Z154" s="15"/>
      <c r="AA154" s="17"/>
      <c r="AB154" s="12"/>
      <c r="AC154" s="12"/>
      <c r="AD154" s="12"/>
      <c r="AE154" s="12"/>
      <c r="AF154" s="12"/>
      <c r="AG154" s="18"/>
      <c r="AH154" s="18"/>
      <c r="AI154" s="20"/>
      <c r="AJ154" s="12"/>
      <c r="AK154" s="12"/>
      <c r="AL154" s="12"/>
      <c r="AM154" s="12"/>
      <c r="AN154" s="12"/>
      <c r="AO154" s="12"/>
      <c r="AP154" s="18"/>
      <c r="AQ154" s="163"/>
      <c r="AR154" s="155"/>
      <c r="AS154" s="155"/>
      <c r="AT154" s="155"/>
      <c r="AU154" s="155"/>
    </row>
    <row r="155" spans="1:47" ht="12">
      <c r="A155" s="148"/>
      <c r="B155" s="149"/>
      <c r="C155" s="149"/>
      <c r="D155" s="150"/>
      <c r="E155" s="150"/>
      <c r="F155" s="149"/>
      <c r="G155" s="149"/>
      <c r="H155" s="149"/>
      <c r="I155" s="149"/>
      <c r="J155" s="149"/>
      <c r="K155" s="149"/>
      <c r="L155" s="149"/>
      <c r="M155" s="149"/>
      <c r="N155" s="149"/>
      <c r="O155" s="26"/>
      <c r="P155" s="26"/>
      <c r="Q155" s="26"/>
      <c r="R155" s="26"/>
      <c r="S155" s="26"/>
      <c r="T155" s="26"/>
      <c r="U155" s="26"/>
      <c r="V155" s="26"/>
      <c r="W155" s="26"/>
      <c r="X155" s="26"/>
      <c r="Y155" s="26"/>
      <c r="Z155" s="26"/>
      <c r="AA155" s="151"/>
      <c r="AB155" s="149"/>
      <c r="AC155" s="149"/>
      <c r="AD155" s="149"/>
      <c r="AE155" s="149"/>
      <c r="AF155" s="149"/>
      <c r="AG155" s="152"/>
      <c r="AH155" s="152"/>
      <c r="AI155" s="153"/>
      <c r="AJ155" s="149"/>
      <c r="AK155" s="149"/>
      <c r="AL155" s="149"/>
      <c r="AM155" s="149"/>
      <c r="AN155" s="149"/>
      <c r="AO155" s="149"/>
      <c r="AP155" s="152"/>
      <c r="AQ155" s="164"/>
      <c r="AR155" s="155"/>
      <c r="AS155" s="155"/>
      <c r="AT155" s="155"/>
      <c r="AU155" s="155"/>
    </row>
    <row r="156" spans="1:47" ht="12">
      <c r="A156" s="154"/>
      <c r="B156" s="155"/>
      <c r="C156" s="155"/>
      <c r="D156" s="156"/>
      <c r="E156" s="156"/>
      <c r="F156" s="155"/>
      <c r="G156" s="155"/>
      <c r="H156" s="155"/>
      <c r="I156" s="155"/>
      <c r="J156" s="155"/>
      <c r="K156" s="155"/>
      <c r="L156" s="155"/>
      <c r="M156" s="155"/>
      <c r="N156" s="155"/>
      <c r="O156" s="157"/>
      <c r="P156" s="157"/>
      <c r="Q156" s="157"/>
      <c r="R156" s="157"/>
      <c r="S156" s="157"/>
      <c r="T156" s="157"/>
      <c r="U156" s="157"/>
      <c r="V156" s="157"/>
      <c r="W156" s="157"/>
      <c r="X156" s="157"/>
      <c r="Y156" s="157"/>
      <c r="Z156" s="157"/>
      <c r="AA156" s="158"/>
      <c r="AB156" s="155"/>
      <c r="AC156" s="155"/>
      <c r="AD156" s="155"/>
      <c r="AE156" s="155"/>
      <c r="AF156" s="155"/>
      <c r="AG156" s="159"/>
      <c r="AH156" s="159"/>
      <c r="AI156" s="160"/>
      <c r="AJ156" s="155"/>
      <c r="AK156" s="155"/>
      <c r="AL156" s="155"/>
      <c r="AM156" s="155"/>
      <c r="AN156" s="155"/>
      <c r="AO156" s="155"/>
      <c r="AP156" s="159"/>
      <c r="AQ156" s="165"/>
      <c r="AR156" s="155"/>
      <c r="AS156" s="155"/>
      <c r="AT156" s="155"/>
      <c r="AU156" s="155"/>
    </row>
    <row r="157" spans="1:47" ht="15.75" customHeight="1">
      <c r="A157" s="154"/>
      <c r="B157" s="155"/>
      <c r="C157" s="155"/>
      <c r="D157" s="156"/>
      <c r="E157" s="156"/>
      <c r="F157" s="155"/>
      <c r="G157" s="155"/>
      <c r="H157" s="155"/>
      <c r="I157" s="155"/>
      <c r="J157" s="155"/>
      <c r="K157" s="155"/>
      <c r="L157" s="155"/>
      <c r="M157" s="155"/>
      <c r="N157" s="155"/>
      <c r="O157" s="157"/>
      <c r="P157" s="157"/>
      <c r="Q157" s="157"/>
      <c r="R157" s="157"/>
      <c r="S157" s="157"/>
      <c r="T157" s="157"/>
      <c r="U157" s="157"/>
      <c r="V157" s="157"/>
      <c r="W157" s="157"/>
      <c r="X157" s="157"/>
      <c r="Y157" s="157"/>
      <c r="Z157" s="157"/>
      <c r="AA157" s="158"/>
      <c r="AB157" s="155"/>
      <c r="AC157" s="155"/>
      <c r="AD157" s="155"/>
      <c r="AE157" s="155"/>
      <c r="AF157" s="155"/>
      <c r="AG157" s="159"/>
      <c r="AH157" s="159"/>
      <c r="AI157" s="160"/>
      <c r="AJ157" s="155"/>
      <c r="AK157" s="155"/>
      <c r="AL157" s="155"/>
      <c r="AM157" s="155"/>
      <c r="AN157" s="155"/>
      <c r="AO157" s="155"/>
      <c r="AP157" s="159"/>
      <c r="AQ157" s="165"/>
      <c r="AR157" s="155"/>
      <c r="AS157" s="155"/>
      <c r="AT157" s="155"/>
      <c r="AU157" s="155"/>
    </row>
    <row r="158" spans="1:47" ht="15.75" customHeight="1">
      <c r="A158" s="154"/>
      <c r="B158" s="155"/>
      <c r="C158" s="155"/>
      <c r="D158" s="156"/>
      <c r="E158" s="156"/>
      <c r="F158" s="155"/>
      <c r="G158" s="155"/>
      <c r="H158" s="155"/>
      <c r="I158" s="155"/>
      <c r="J158" s="155"/>
      <c r="K158" s="155"/>
      <c r="L158" s="155"/>
      <c r="M158" s="155"/>
      <c r="N158" s="155"/>
      <c r="O158" s="157"/>
      <c r="P158" s="157"/>
      <c r="Q158" s="157"/>
      <c r="R158" s="157"/>
      <c r="S158" s="157"/>
      <c r="T158" s="157"/>
      <c r="U158" s="157"/>
      <c r="V158" s="157"/>
      <c r="W158" s="157"/>
      <c r="X158" s="157"/>
      <c r="Y158" s="157"/>
      <c r="Z158" s="157"/>
      <c r="AA158" s="158"/>
      <c r="AB158" s="155"/>
      <c r="AC158" s="155"/>
      <c r="AD158" s="155"/>
      <c r="AE158" s="155"/>
      <c r="AF158" s="155"/>
      <c r="AG158" s="159"/>
      <c r="AH158" s="159"/>
      <c r="AI158" s="160"/>
      <c r="AJ158" s="155"/>
      <c r="AK158" s="155"/>
      <c r="AL158" s="155"/>
      <c r="AM158" s="155"/>
      <c r="AN158" s="155"/>
      <c r="AO158" s="155"/>
      <c r="AP158" s="159"/>
      <c r="AQ158" s="165"/>
      <c r="AR158" s="155"/>
      <c r="AS158" s="155"/>
      <c r="AT158" s="155"/>
      <c r="AU158" s="155"/>
    </row>
    <row r="159" spans="1:47" ht="15.75" customHeight="1">
      <c r="A159" s="154"/>
      <c r="B159" s="155"/>
      <c r="C159" s="155"/>
      <c r="D159" s="156"/>
      <c r="E159" s="156"/>
      <c r="F159" s="155"/>
      <c r="G159" s="155"/>
      <c r="H159" s="155"/>
      <c r="I159" s="155"/>
      <c r="J159" s="155"/>
      <c r="K159" s="155"/>
      <c r="L159" s="155"/>
      <c r="M159" s="155"/>
      <c r="N159" s="155"/>
      <c r="O159" s="157"/>
      <c r="P159" s="157"/>
      <c r="Q159" s="157"/>
      <c r="R159" s="157"/>
      <c r="S159" s="157"/>
      <c r="T159" s="157"/>
      <c r="U159" s="157"/>
      <c r="V159" s="157"/>
      <c r="W159" s="157"/>
      <c r="X159" s="157"/>
      <c r="Y159" s="157"/>
      <c r="Z159" s="157"/>
      <c r="AA159" s="158"/>
      <c r="AB159" s="155"/>
      <c r="AC159" s="155"/>
      <c r="AD159" s="155"/>
      <c r="AE159" s="155"/>
      <c r="AF159" s="155"/>
      <c r="AG159" s="159"/>
      <c r="AH159" s="159"/>
      <c r="AI159" s="160"/>
      <c r="AJ159" s="155"/>
      <c r="AK159" s="155"/>
      <c r="AL159" s="155"/>
      <c r="AM159" s="155"/>
      <c r="AN159" s="155"/>
      <c r="AO159" s="155"/>
      <c r="AP159" s="159"/>
      <c r="AQ159" s="165"/>
      <c r="AR159" s="155"/>
      <c r="AS159" s="155"/>
      <c r="AT159" s="155"/>
      <c r="AU159" s="155"/>
    </row>
    <row r="160" spans="1:47" ht="15.75" customHeight="1">
      <c r="A160" s="154"/>
      <c r="B160" s="155"/>
      <c r="C160" s="155"/>
      <c r="D160" s="156"/>
      <c r="E160" s="156"/>
      <c r="F160" s="155"/>
      <c r="G160" s="155"/>
      <c r="H160" s="155"/>
      <c r="I160" s="155"/>
      <c r="J160" s="155"/>
      <c r="K160" s="155"/>
      <c r="L160" s="155"/>
      <c r="M160" s="155"/>
      <c r="N160" s="155"/>
      <c r="O160" s="157"/>
      <c r="P160" s="157"/>
      <c r="Q160" s="157"/>
      <c r="R160" s="157"/>
      <c r="S160" s="157"/>
      <c r="T160" s="157"/>
      <c r="U160" s="157"/>
      <c r="V160" s="157"/>
      <c r="W160" s="157"/>
      <c r="X160" s="157"/>
      <c r="Y160" s="157"/>
      <c r="Z160" s="157"/>
      <c r="AA160" s="158"/>
      <c r="AB160" s="155"/>
      <c r="AC160" s="155"/>
      <c r="AD160" s="155"/>
      <c r="AE160" s="155"/>
      <c r="AF160" s="155"/>
      <c r="AG160" s="159"/>
      <c r="AH160" s="159"/>
      <c r="AI160" s="160"/>
      <c r="AJ160" s="155"/>
      <c r="AK160" s="155"/>
      <c r="AL160" s="155"/>
      <c r="AM160" s="155"/>
      <c r="AN160" s="155"/>
      <c r="AO160" s="155"/>
      <c r="AP160" s="159"/>
      <c r="AQ160" s="165"/>
      <c r="AR160" s="155"/>
      <c r="AS160" s="155"/>
      <c r="AT160" s="155"/>
      <c r="AU160" s="155"/>
    </row>
    <row r="161" spans="1:47" ht="15.75" customHeight="1">
      <c r="A161" s="154"/>
      <c r="B161" s="155"/>
      <c r="C161" s="155"/>
      <c r="D161" s="156"/>
      <c r="E161" s="156"/>
      <c r="F161" s="155"/>
      <c r="G161" s="155"/>
      <c r="H161" s="155"/>
      <c r="I161" s="155"/>
      <c r="J161" s="155"/>
      <c r="K161" s="155"/>
      <c r="L161" s="155"/>
      <c r="M161" s="155"/>
      <c r="N161" s="155"/>
      <c r="O161" s="157"/>
      <c r="P161" s="157"/>
      <c r="Q161" s="157"/>
      <c r="R161" s="157"/>
      <c r="S161" s="157"/>
      <c r="T161" s="157"/>
      <c r="U161" s="157"/>
      <c r="V161" s="157"/>
      <c r="W161" s="157"/>
      <c r="X161" s="157"/>
      <c r="Y161" s="157"/>
      <c r="Z161" s="157"/>
      <c r="AA161" s="158"/>
      <c r="AB161" s="155"/>
      <c r="AC161" s="155"/>
      <c r="AD161" s="155"/>
      <c r="AE161" s="155"/>
      <c r="AF161" s="155"/>
      <c r="AG161" s="159"/>
      <c r="AH161" s="159"/>
      <c r="AI161" s="160"/>
      <c r="AJ161" s="155"/>
      <c r="AK161" s="155"/>
      <c r="AL161" s="155"/>
      <c r="AM161" s="155"/>
      <c r="AN161" s="155"/>
      <c r="AO161" s="155"/>
      <c r="AP161" s="159"/>
      <c r="AQ161" s="165"/>
      <c r="AR161" s="155"/>
      <c r="AS161" s="155"/>
      <c r="AT161" s="155"/>
      <c r="AU161" s="155"/>
    </row>
    <row r="162" spans="1:47" ht="15.75" customHeight="1">
      <c r="A162" s="154"/>
      <c r="B162" s="155"/>
      <c r="C162" s="155"/>
      <c r="D162" s="156"/>
      <c r="E162" s="156"/>
      <c r="F162" s="155"/>
      <c r="G162" s="155"/>
      <c r="H162" s="155"/>
      <c r="I162" s="155"/>
      <c r="J162" s="155"/>
      <c r="K162" s="155"/>
      <c r="L162" s="155"/>
      <c r="M162" s="155"/>
      <c r="N162" s="155"/>
      <c r="O162" s="157"/>
      <c r="P162" s="157"/>
      <c r="Q162" s="157"/>
      <c r="R162" s="157"/>
      <c r="S162" s="157"/>
      <c r="T162" s="157"/>
      <c r="U162" s="157"/>
      <c r="V162" s="157"/>
      <c r="W162" s="157"/>
      <c r="X162" s="157"/>
      <c r="Y162" s="157"/>
      <c r="Z162" s="157"/>
      <c r="AA162" s="158"/>
      <c r="AB162" s="155"/>
      <c r="AC162" s="155"/>
      <c r="AD162" s="155"/>
      <c r="AE162" s="155"/>
      <c r="AF162" s="155"/>
      <c r="AG162" s="159"/>
      <c r="AH162" s="159"/>
      <c r="AI162" s="160"/>
      <c r="AJ162" s="155"/>
      <c r="AK162" s="155"/>
      <c r="AL162" s="155"/>
      <c r="AM162" s="155"/>
      <c r="AN162" s="155"/>
      <c r="AO162" s="155"/>
      <c r="AP162" s="159"/>
      <c r="AQ162" s="165"/>
      <c r="AR162" s="155"/>
      <c r="AS162" s="155"/>
      <c r="AT162" s="155"/>
      <c r="AU162" s="155"/>
    </row>
    <row r="163" spans="1:47" ht="15.75" customHeight="1">
      <c r="A163" s="154"/>
      <c r="B163" s="155"/>
      <c r="C163" s="155"/>
      <c r="D163" s="156"/>
      <c r="E163" s="156"/>
      <c r="F163" s="155"/>
      <c r="G163" s="155"/>
      <c r="H163" s="155"/>
      <c r="I163" s="155"/>
      <c r="J163" s="155"/>
      <c r="K163" s="155"/>
      <c r="L163" s="155"/>
      <c r="M163" s="155"/>
      <c r="N163" s="155"/>
      <c r="O163" s="157"/>
      <c r="P163" s="157"/>
      <c r="Q163" s="157"/>
      <c r="R163" s="157"/>
      <c r="S163" s="157"/>
      <c r="T163" s="157"/>
      <c r="U163" s="157"/>
      <c r="V163" s="157"/>
      <c r="W163" s="157"/>
      <c r="X163" s="157"/>
      <c r="Y163" s="157"/>
      <c r="Z163" s="157"/>
      <c r="AA163" s="158"/>
      <c r="AB163" s="155"/>
      <c r="AC163" s="155"/>
      <c r="AD163" s="155"/>
      <c r="AE163" s="155"/>
      <c r="AF163" s="155"/>
      <c r="AG163" s="159"/>
      <c r="AH163" s="159"/>
      <c r="AI163" s="160"/>
      <c r="AJ163" s="155"/>
      <c r="AK163" s="155"/>
      <c r="AL163" s="155"/>
      <c r="AM163" s="155"/>
      <c r="AN163" s="155"/>
      <c r="AO163" s="155"/>
      <c r="AP163" s="159"/>
      <c r="AQ163" s="165"/>
      <c r="AR163" s="155"/>
      <c r="AS163" s="155"/>
      <c r="AT163" s="155"/>
      <c r="AU163" s="155"/>
    </row>
    <row r="164" spans="1:47" ht="15.75" customHeight="1">
      <c r="A164" s="154"/>
      <c r="B164" s="155"/>
      <c r="C164" s="155"/>
      <c r="D164" s="156"/>
      <c r="E164" s="156"/>
      <c r="F164" s="155"/>
      <c r="G164" s="155"/>
      <c r="H164" s="155"/>
      <c r="I164" s="155"/>
      <c r="J164" s="155"/>
      <c r="K164" s="155"/>
      <c r="L164" s="155"/>
      <c r="M164" s="155"/>
      <c r="N164" s="155"/>
      <c r="O164" s="157"/>
      <c r="P164" s="157"/>
      <c r="Q164" s="157"/>
      <c r="R164" s="157"/>
      <c r="S164" s="157"/>
      <c r="T164" s="157"/>
      <c r="U164" s="157"/>
      <c r="V164" s="157"/>
      <c r="W164" s="157"/>
      <c r="X164" s="157"/>
      <c r="Y164" s="157"/>
      <c r="Z164" s="157"/>
      <c r="AA164" s="158"/>
      <c r="AB164" s="155"/>
      <c r="AC164" s="155"/>
      <c r="AD164" s="155"/>
      <c r="AE164" s="155"/>
      <c r="AF164" s="155"/>
      <c r="AG164" s="159"/>
      <c r="AH164" s="159"/>
      <c r="AI164" s="160"/>
      <c r="AJ164" s="155"/>
      <c r="AK164" s="155"/>
      <c r="AL164" s="155"/>
      <c r="AM164" s="155"/>
      <c r="AN164" s="155"/>
      <c r="AO164" s="155"/>
      <c r="AP164" s="159"/>
      <c r="AQ164" s="165"/>
      <c r="AR164" s="155"/>
      <c r="AS164" s="155"/>
      <c r="AT164" s="155"/>
      <c r="AU164" s="155"/>
    </row>
    <row r="165" spans="1:47" ht="15.75" customHeight="1">
      <c r="A165" s="154"/>
      <c r="B165" s="155"/>
      <c r="C165" s="155"/>
      <c r="D165" s="156"/>
      <c r="E165" s="156"/>
      <c r="F165" s="155"/>
      <c r="G165" s="155"/>
      <c r="H165" s="155"/>
      <c r="I165" s="155"/>
      <c r="J165" s="155"/>
      <c r="K165" s="155"/>
      <c r="L165" s="155"/>
      <c r="M165" s="155"/>
      <c r="N165" s="155"/>
      <c r="O165" s="157"/>
      <c r="P165" s="157"/>
      <c r="Q165" s="157"/>
      <c r="R165" s="157"/>
      <c r="S165" s="157"/>
      <c r="T165" s="157"/>
      <c r="U165" s="157"/>
      <c r="V165" s="157"/>
      <c r="W165" s="157"/>
      <c r="X165" s="157"/>
      <c r="Y165" s="157"/>
      <c r="Z165" s="157"/>
      <c r="AA165" s="158"/>
      <c r="AB165" s="155"/>
      <c r="AC165" s="155"/>
      <c r="AD165" s="155"/>
      <c r="AE165" s="155"/>
      <c r="AF165" s="155"/>
      <c r="AG165" s="159"/>
      <c r="AH165" s="159"/>
      <c r="AI165" s="160"/>
      <c r="AJ165" s="155"/>
      <c r="AK165" s="155"/>
      <c r="AL165" s="155"/>
      <c r="AM165" s="155"/>
      <c r="AN165" s="155"/>
      <c r="AO165" s="155"/>
      <c r="AP165" s="159"/>
      <c r="AQ165" s="165"/>
      <c r="AR165" s="155"/>
      <c r="AS165" s="155"/>
      <c r="AT165" s="155"/>
      <c r="AU165" s="155"/>
    </row>
  </sheetData>
  <autoFilter ref="A1:AU156"/>
  <dataValidations count="2">
    <dataValidation type="list" allowBlank="1" sqref="R42:R77 R79:R97 R99:R101 R105 R107:R119 R121:R123 V121:V123 Z121:Z123 R125:R126 V125:V126 Z125:Z126 R128:R130 R132:R156 V128:V156 Z128:Z156 AO2:AO156 Z2:Z119 V2:V119 R2:R40">
      <formula1>#REF!</formula1>
    </dataValidation>
    <dataValidation type="list" allowBlank="1" showErrorMessage="1" sqref="C2:C156 AS2:AU156 AJ2:AN156 AB2:AF156 J2:J156">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3F3F3"/>
  </sheetPr>
  <dimension ref="A1:J77"/>
  <sheetViews>
    <sheetView workbookViewId="0"/>
  </sheetViews>
  <sheetFormatPr baseColWidth="10" defaultColWidth="14.5" defaultRowHeight="15.75" customHeight="1" x14ac:dyDescent="0"/>
  <cols>
    <col min="1" max="1" width="34.33203125" customWidth="1"/>
    <col min="3" max="3" width="11" customWidth="1"/>
    <col min="4" max="4" width="12.5" customWidth="1"/>
    <col min="6" max="6" width="15.1640625" customWidth="1"/>
    <col min="9" max="10" width="18.1640625" customWidth="1"/>
  </cols>
  <sheetData>
    <row r="1" spans="1:10" ht="15.75" customHeight="1">
      <c r="A1" s="28"/>
      <c r="B1" s="29">
        <v>2009</v>
      </c>
      <c r="C1" s="29">
        <v>2010</v>
      </c>
      <c r="D1" s="29">
        <v>2011</v>
      </c>
      <c r="E1" s="29">
        <v>2012</v>
      </c>
      <c r="F1" s="29">
        <v>2013</v>
      </c>
      <c r="G1" s="29">
        <v>2014</v>
      </c>
      <c r="H1" s="30">
        <v>2015</v>
      </c>
      <c r="I1" s="31">
        <v>2016</v>
      </c>
      <c r="J1" s="31" t="s">
        <v>101</v>
      </c>
    </row>
    <row r="2" spans="1:10" ht="15.75" customHeight="1">
      <c r="A2" s="29" t="s">
        <v>6</v>
      </c>
      <c r="B2" s="32">
        <f>COUNTIFS(Data!$A$2:$A75, "&gt;=1/1/2009", Data!$A$2:$A75, "&lt;=1/31/2009")</f>
        <v>0</v>
      </c>
      <c r="C2" s="32">
        <f>COUNTIFS(Data!$A$2:$A75, "&gt;=1/1/2010", Data!$A$2:$A75, "&lt;=1/31/2010")</f>
        <v>0</v>
      </c>
      <c r="D2" s="32">
        <f>COUNTIFS(Data!$A$2:$A75, "&gt;=1/1/2011", Data!$A$2:$A75, "&lt;=1/31/2011")</f>
        <v>0</v>
      </c>
      <c r="E2" s="32">
        <f>COUNTIFS(Data!$A$2:$A75, "&gt;=1/1/2012", Data!$A$2:$A75, "&lt;=1/31/2012")</f>
        <v>0</v>
      </c>
      <c r="F2" s="32">
        <f>COUNTIFS(Data!$A$2:$A75, "&gt;=1/1/2013", Data!$A$2:$A75, "&lt;=1/31/2013")</f>
        <v>0</v>
      </c>
      <c r="G2" s="32">
        <f>COUNTIFS(Data!$A$2:$A75, "&gt;=1/1/2014", Data!$A$2:$A75, "&lt;=1/31/2014")</f>
        <v>0</v>
      </c>
      <c r="H2" s="32">
        <f>COUNTIFS(Data!$A$2:$A75, "&gt;=1/1/2015", Data!$A$2:$A75, "&lt;=1/31/2015")</f>
        <v>0</v>
      </c>
      <c r="I2" s="32">
        <f>COUNTIFS(Data!$A$2:$A75, "&gt;=1/1/2016", Data!$A$2:$A75, "&lt;=1/31/2016")</f>
        <v>0</v>
      </c>
      <c r="J2" s="33">
        <f t="shared" ref="J2:J14" si="0">SUM(B2:I2)</f>
        <v>0</v>
      </c>
    </row>
    <row r="3" spans="1:10" ht="15.75" customHeight="1">
      <c r="A3" s="29" t="s">
        <v>8</v>
      </c>
      <c r="B3" s="32">
        <f>COUNTIFS(Data!$A$2:$A75, "&gt;=2/1/2009", Data!$A$2:$A75, "&lt;=2/28/2009")</f>
        <v>0</v>
      </c>
      <c r="C3" s="32">
        <f>COUNTIFS(Data!$A$2:$A75, "&gt;=2/1/2010", Data!$A$2:$A75, "&lt;=2/28/2010")</f>
        <v>0</v>
      </c>
      <c r="D3" s="32">
        <f>COUNTIFS(Data!$A$2:$A75, "&gt;=2/1/2011", Data!$A$2:$A75, "&lt;=2/28/2011")</f>
        <v>0</v>
      </c>
      <c r="E3" s="32">
        <f>COUNTIFS(Data!$A$2:$A75, "&gt;=2/1/2012", Data!$A$2:$A75, "&lt;=2/28/2012")</f>
        <v>0</v>
      </c>
      <c r="F3" s="32">
        <f>COUNTIFS(Data!$A$2:$A75, "&gt;=2/1/2013", Data!$A$2:$A75, "&lt;=2/28/2013")</f>
        <v>0</v>
      </c>
      <c r="G3" s="32">
        <f>COUNTIFS(Data!$A$2:$A75, "&gt;=2/1/2014", Data!$A$2:$A75, "&lt;=2/28/2014")</f>
        <v>0</v>
      </c>
      <c r="H3" s="32">
        <f>COUNTIFS(Data!$A$2:$A75, "&gt;=2/1/2015", Data!$A$2:$A75, "&lt;=2/28/2015")</f>
        <v>0</v>
      </c>
      <c r="I3" s="34">
        <f>COUNTIFS(Data!$A$2:$A75, "&gt;=2/1/2016", Data!$A$2:$A75, "&lt;=2/28/2016")</f>
        <v>0</v>
      </c>
      <c r="J3" s="33">
        <f t="shared" si="0"/>
        <v>0</v>
      </c>
    </row>
    <row r="4" spans="1:10" ht="15.75" customHeight="1">
      <c r="A4" s="29" t="s">
        <v>16</v>
      </c>
      <c r="B4" s="32">
        <f>COUNTIFS(Data!$A$2:$A75, "&gt;=3/1/2009", Data!$A$2:$A75, "&lt;=3/30/2009")</f>
        <v>0</v>
      </c>
      <c r="C4" s="32">
        <f>COUNTIFS(Data!$A$2:$A75, "&gt;=3/1/2010", Data!$A$2:$A75, "&lt;=3/30/2010")</f>
        <v>0</v>
      </c>
      <c r="D4" s="32">
        <f>COUNTIFS(Data!$A$2:$A75, "&gt;=3/1/2011", Data!$A$2:$A75, "&lt;=3/30/2011")</f>
        <v>0</v>
      </c>
      <c r="E4" s="32">
        <f>COUNTIFS(Data!$A$2:$A75, "&gt;=3/1/2012", Data!$A$2:$A75, "&lt;=3/30/2012")</f>
        <v>0</v>
      </c>
      <c r="F4" s="32">
        <f>COUNTIFS(Data!$A$2:$A75, "&gt;=3/1/2013", Data!$A$2:$A75, "&lt;=3/30/2013")</f>
        <v>0</v>
      </c>
      <c r="G4" s="32">
        <f>COUNTIFS(Data!$A$2:$A75, "&gt;=3/1/2014", Data!$A$2:$A75, "&lt;=3/30/2014")</f>
        <v>0</v>
      </c>
      <c r="H4" s="32">
        <f>COUNTIFS(Data!$A$2:$A75, "&gt;=3/1/2015", Data!$A$2:$A75, "&lt;=3/30/2015")</f>
        <v>0</v>
      </c>
      <c r="I4" s="34">
        <f>COUNTIFS(Data!$A$2:$A75, "&gt;=3/1/2016", Data!$A$2:$A75, "&lt;=3/31/2016")</f>
        <v>0</v>
      </c>
      <c r="J4" s="33">
        <f t="shared" si="0"/>
        <v>0</v>
      </c>
    </row>
    <row r="5" spans="1:10" ht="15.75" customHeight="1">
      <c r="A5" s="29" t="s">
        <v>19</v>
      </c>
      <c r="B5" s="32">
        <f>COUNTIFS(Data!$A$2:$A75, "&gt;=4/1/2009", Data!$A$2:$A75, "&lt;=4/30/2009")</f>
        <v>0</v>
      </c>
      <c r="C5" s="32">
        <f>COUNTIFS(Data!$A$2:$A75, "&gt;=4/1/2010", Data!$A$2:$A75, "&lt;=4/30/2010")</f>
        <v>0</v>
      </c>
      <c r="D5" s="32">
        <f>COUNTIFS(Data!$A$2:$A75, "&gt;=4/1/2011", Data!$A$2:$A75, "&lt;=4/30/2011")</f>
        <v>0</v>
      </c>
      <c r="E5" s="32">
        <f>COUNTIFS(Data!$A$2:$A75, "&gt;=4/1/2012", Data!$A$2:$A75, "&lt;=4/30/2012")</f>
        <v>0</v>
      </c>
      <c r="F5" s="32">
        <f>COUNTIFS(Data!$A$2:$A75, "&gt;=4/1/2013", Data!$A$2:$A75, "&lt;=4/30/2013")</f>
        <v>0</v>
      </c>
      <c r="G5" s="32">
        <f>COUNTIFS(Data!$A$2:$A75, "&gt;=4/1/2014", Data!$A$2:$A75, "&lt;=4/30/2014")</f>
        <v>0</v>
      </c>
      <c r="H5" s="32">
        <f>COUNTIFS(Data!$A$2:$A75, "&gt;=4/1/2015", Data!$A$2:$A75, "&lt;=4/30/2015")</f>
        <v>0</v>
      </c>
      <c r="I5" s="34"/>
      <c r="J5" s="33">
        <f t="shared" si="0"/>
        <v>0</v>
      </c>
    </row>
    <row r="6" spans="1:10" ht="15.75" customHeight="1">
      <c r="A6" s="29" t="s">
        <v>23</v>
      </c>
      <c r="B6" s="32">
        <f>COUNTIFS(Data!$A$2:$A75, "&gt;=5/1/2009", Data!$A$2:$A75, "&lt;=5/31/2009")</f>
        <v>0</v>
      </c>
      <c r="C6" s="32">
        <f>COUNTIFS(Data!$A$2:$A75, "&gt;=5/1/2010", Data!$A$2:$A75, "&lt;=5/31/2010")</f>
        <v>0</v>
      </c>
      <c r="D6" s="32">
        <f>COUNTIFS(Data!$A$2:$A75, "&gt;=5/1/2011", Data!$A$2:$A75, "&lt;=5/31/2011")</f>
        <v>0</v>
      </c>
      <c r="E6" s="32">
        <f>COUNTIFS(Data!$A$2:$A75, "&gt;=5/1/2012", Data!$A$2:$A75, "&lt;=5/31/2012")</f>
        <v>0</v>
      </c>
      <c r="F6" s="32">
        <f>COUNTIFS(Data!$A$2:$A75, "&gt;=5/1/2013", Data!$A$2:$A75, "&lt;=5/31/2013")</f>
        <v>0</v>
      </c>
      <c r="G6" s="32">
        <f>COUNTIFS(Data!$A$2:$A75, "&gt;=5/1/2014", Data!$A$2:$A75, "&lt;=5/31/2014")</f>
        <v>0</v>
      </c>
      <c r="H6" s="32">
        <f>COUNTIFS(Data!$A$2:$A75, "&gt;=5/1/2015", Data!$A$2:$A75, "&lt;=5/31/2015")</f>
        <v>0</v>
      </c>
      <c r="I6" s="34"/>
      <c r="J6" s="33">
        <f t="shared" si="0"/>
        <v>0</v>
      </c>
    </row>
    <row r="7" spans="1:10" ht="15.75" customHeight="1">
      <c r="A7" s="29" t="s">
        <v>25</v>
      </c>
      <c r="B7" s="32">
        <f>COUNTIFS(Data!$A$2:$A75, "&gt;=6/1/2009", Data!$A$2:$A75, "&lt;=6/30/2009")</f>
        <v>0</v>
      </c>
      <c r="C7" s="32">
        <f>COUNTIFS(Data!$A$2:$A75, "&gt;=6/1/2010", Data!$A$2:$A75, "&lt;=6/30/2010")</f>
        <v>0</v>
      </c>
      <c r="D7" s="32">
        <f>COUNTIFS(Data!$A$2:$A75, "&gt;=6/1/2011", Data!$A$2:$A75, "&lt;=6/30/2011")</f>
        <v>0</v>
      </c>
      <c r="E7" s="32">
        <f>COUNTIFS(Data!$A$2:$A75, "&gt;=6/1/2012", Data!$A$2:$A75, "&lt;=6/30/2012")</f>
        <v>0</v>
      </c>
      <c r="F7" s="32">
        <f>COUNTIFS(Data!$A$2:$A75, "&gt;=6/1/2013", Data!$A$2:$A75, "&lt;=6/30/2013")</f>
        <v>0</v>
      </c>
      <c r="G7" s="32">
        <f>COUNTIFS(Data!$A$2:$A75, "&gt;=6/1/2014", Data!$A$2:$A75, "&lt;=6/30/2014")</f>
        <v>0</v>
      </c>
      <c r="H7" s="32">
        <f>COUNTIFS(Data!$A$2:$A75, "&gt;=6/1/2015", Data!$A$2:$A75, "&lt;=6/30/2015")</f>
        <v>0</v>
      </c>
      <c r="I7" s="34"/>
      <c r="J7" s="33">
        <f t="shared" si="0"/>
        <v>0</v>
      </c>
    </row>
    <row r="8" spans="1:10" ht="15.75" customHeight="1">
      <c r="A8" s="29" t="s">
        <v>29</v>
      </c>
      <c r="B8" s="32">
        <f>COUNTIFS(Data!$A$2:$A75, "&gt;=7/1/2009", Data!$A$2:$A75, "&lt;=7/31/2009")</f>
        <v>0</v>
      </c>
      <c r="C8" s="32">
        <f>COUNTIFS(Data!$A$2:$A75, "&gt;=7/1/2010", Data!$A$2:$A75, "&lt;=7/31/2010")</f>
        <v>0</v>
      </c>
      <c r="D8" s="32">
        <f>COUNTIFS(Data!$A$2:$A75, "&gt;=7/1/2011", Data!$A$2:$A75, "&lt;=7/31/2011")</f>
        <v>0</v>
      </c>
      <c r="E8" s="32">
        <f>COUNTIFS(Data!$A$2:$A75, "&gt;=7/1/2012", Data!$A$2:$A75, "&lt;=7/31/2012")</f>
        <v>0</v>
      </c>
      <c r="F8" s="32">
        <f>COUNTIFS(Data!$A$2:$A75, "&gt;=7/1/2013", Data!$A$2:$A75, "&lt;=7/31/2013")</f>
        <v>0</v>
      </c>
      <c r="G8" s="32">
        <f>COUNTIFS(Data!$A$2:$A75, "&gt;=7/1/2014", Data!$A$2:$A75, "&lt;=7/31/2014")</f>
        <v>0</v>
      </c>
      <c r="H8" s="32">
        <f>COUNTIFS(Data!$A$2:$A75, "&gt;=7/1/2015", Data!$A$2:$A75, "&lt;=7/31/2015")</f>
        <v>0</v>
      </c>
      <c r="I8" s="34"/>
      <c r="J8" s="33">
        <f t="shared" si="0"/>
        <v>0</v>
      </c>
    </row>
    <row r="9" spans="1:10" ht="15.75" customHeight="1">
      <c r="A9" s="29" t="s">
        <v>30</v>
      </c>
      <c r="B9" s="32">
        <f>COUNTIFS(Data!$A$2:$A75, "&gt;=8/1/2009", Data!$A$2:$A75, "&lt;=8/31/2009")</f>
        <v>0</v>
      </c>
      <c r="C9" s="32">
        <f>COUNTIFS(Data!$A$2:$A75, "&gt;=8/1/2010", Data!$A$2:$A75, "&lt;=8/31/2010")</f>
        <v>0</v>
      </c>
      <c r="D9" s="32">
        <f>COUNTIFS(Data!$A$2:$A75, "&gt;=8/1/2011", Data!$A$2:$A75, "&lt;=8/31/2011")</f>
        <v>0</v>
      </c>
      <c r="E9" s="32">
        <f>COUNTIFS(Data!$A$2:$A75, "&gt;=8/1/2012", Data!$A$2:$A75, "&lt;=8/31/2012")</f>
        <v>0</v>
      </c>
      <c r="F9" s="32">
        <f>COUNTIFS(Data!$A$2:$A75, "&gt;=8/1/2013", Data!$A$2:$A75, "&lt;=8/31/2013")</f>
        <v>0</v>
      </c>
      <c r="G9" s="32">
        <f>COUNTIFS(Data!$A$2:$A75, "&gt;=8/1/2014", Data!$A$2:$A75, "&lt;=8/31/2014")</f>
        <v>0</v>
      </c>
      <c r="H9" s="32">
        <f>COUNTIFS(Data!$A$2:$A75, "&gt;=8/1/2015", Data!$A$2:$A75, "&lt;=8/31/2015")</f>
        <v>0</v>
      </c>
      <c r="I9" s="34"/>
      <c r="J9" s="33">
        <f t="shared" si="0"/>
        <v>0</v>
      </c>
    </row>
    <row r="10" spans="1:10" ht="15.75" customHeight="1">
      <c r="A10" s="29" t="s">
        <v>32</v>
      </c>
      <c r="B10" s="32">
        <f>COUNTIFS(Data!$A$2:$A75, "&gt;=9/1/2009", Data!$A$2:$A75, "&lt;=9/30/2009")</f>
        <v>0</v>
      </c>
      <c r="C10" s="32">
        <f>COUNTIFS(Data!$A$2:$A75, "&gt;=9/1/2010", Data!$A$2:$A75, "&lt;=9/30/2010")</f>
        <v>0</v>
      </c>
      <c r="D10" s="32">
        <f>COUNTIFS(Data!$A$2:$A75, "&gt;=9/1/2011", Data!$A$2:$A75, "&lt;=9/30/2011")</f>
        <v>0</v>
      </c>
      <c r="E10" s="32">
        <f>COUNTIFS(Data!$A$2:$A75, "&gt;=9/1/2012", Data!$A$2:$A75, "&lt;=9/30/2012")</f>
        <v>0</v>
      </c>
      <c r="F10" s="32">
        <f>COUNTIFS(Data!$A$2:$A75, "&gt;=9/1/2013", Data!$A$2:$A75, "&lt;=9/30/2013")</f>
        <v>0</v>
      </c>
      <c r="G10" s="32">
        <f>COUNTIFS(Data!$A$2:$A75, "&gt;=9/1/2014", Data!$A$2:$A75, "&lt;=9/30/2014")</f>
        <v>0</v>
      </c>
      <c r="H10" s="32">
        <f>COUNTIFS(Data!$A$2:$A75, "&gt;=9/1/2015", Data!$A$2:$A75, "&lt;=9/30/2015")</f>
        <v>0</v>
      </c>
      <c r="I10" s="34"/>
      <c r="J10" s="33">
        <f t="shared" si="0"/>
        <v>0</v>
      </c>
    </row>
    <row r="11" spans="1:10" ht="15.75" customHeight="1">
      <c r="A11" s="29" t="s">
        <v>37</v>
      </c>
      <c r="B11" s="32">
        <f>COUNTIFS(Data!$A$2:$A75, "&gt;=10/1/2009", Data!$A$2:$A75, "&lt;=10/31/2009")</f>
        <v>0</v>
      </c>
      <c r="C11" s="32">
        <f>COUNTIFS(Data!$A$2:$A75, "&gt;=10/1/2010", Data!$A$2:$A75, "&lt;=10/31/2010")</f>
        <v>0</v>
      </c>
      <c r="D11" s="32">
        <f>COUNTIFS(Data!$A$2:$A75, "&gt;=10/1/2011", Data!$A$2:$A75, "&lt;=10/31/2011")</f>
        <v>0</v>
      </c>
      <c r="E11" s="32">
        <f>COUNTIFS(Data!$A$2:$A75, "&gt;=10/1/2012", Data!$A$2:$A75, "&lt;=10/31/2012")</f>
        <v>0</v>
      </c>
      <c r="F11" s="32">
        <f>COUNTIFS(Data!$A$2:$A75, "&gt;=10/1/2013", Data!$A$2:$A75, "&lt;=10/31/2013")</f>
        <v>0</v>
      </c>
      <c r="G11" s="32">
        <f>COUNTIFS(Data!$A$2:$A75, "&gt;=10/1/2014", Data!$A$2:$A75, "&lt;=10/31/2014")</f>
        <v>0</v>
      </c>
      <c r="H11" s="32">
        <f>COUNTIFS(Data!$A$2:$A75, "&gt;=10/1/2015", Data!$A$2:$A75, "&lt;=10/31/2015")</f>
        <v>0</v>
      </c>
      <c r="I11" s="34"/>
      <c r="J11" s="33">
        <f t="shared" si="0"/>
        <v>0</v>
      </c>
    </row>
    <row r="12" spans="1:10" ht="15.75" customHeight="1">
      <c r="A12" s="29" t="s">
        <v>82</v>
      </c>
      <c r="B12" s="32">
        <f>COUNTIFS(Data!$A$2:$A75, "&gt;=11/1/2009", Data!$A$2:$A75, "&lt;=11/30/2009")</f>
        <v>0</v>
      </c>
      <c r="C12" s="32">
        <f>COUNTIFS(Data!$A$2:$A75, "&gt;=11/1/2010", Data!$A$2:$A75, "&lt;=11/30/2010")</f>
        <v>0</v>
      </c>
      <c r="D12" s="32">
        <f>COUNTIFS(Data!$A$2:$A75, "&gt;=11/1/2011", Data!$A$2:$A75, "&lt;=11/30/2011")</f>
        <v>0</v>
      </c>
      <c r="E12" s="32">
        <f>COUNTIFS(Data!$A$2:$A75, "&gt;=11/1/2012", Data!$A$2:$A75, "&lt;=11/30/2012")</f>
        <v>0</v>
      </c>
      <c r="F12" s="32">
        <f>COUNTIFS(Data!$A$2:$A75, "&gt;=11/1/2013", Data!$A$2:$A75, "&lt;=11/30/2013")</f>
        <v>0</v>
      </c>
      <c r="G12" s="32">
        <f>COUNTIFS(Data!$A$2:$A75, "&gt;=11/1/2014", Data!$A$2:$A75, "&lt;=11/30/2014")</f>
        <v>0</v>
      </c>
      <c r="H12" s="32">
        <f>COUNTIFS(Data!$A$2:$A75, "&gt;=11/1/2015", Data!$A$2:$A75, "&lt;=11/30/2015")</f>
        <v>0</v>
      </c>
      <c r="I12" s="34"/>
      <c r="J12" s="33">
        <f t="shared" si="0"/>
        <v>0</v>
      </c>
    </row>
    <row r="13" spans="1:10" ht="15.75" customHeight="1">
      <c r="A13" s="29" t="s">
        <v>39</v>
      </c>
      <c r="B13" s="32">
        <f>COUNTIFS(Data!$A$2:$A75, "&gt;=12/1/2009", Data!$A$2:$A75, "&lt;=12/31/2009")</f>
        <v>0</v>
      </c>
      <c r="C13" s="32">
        <f>COUNTIFS(Data!$A$2:$A75, "&gt;=12/1/2010", Data!$A$2:$A75, "&lt;=12/31/2010")</f>
        <v>0</v>
      </c>
      <c r="D13" s="32">
        <f>COUNTIFS(Data!$A$2:$A75, "&gt;=12/1/2011", Data!$A$2:$A75, "&lt;=12/31/2011")</f>
        <v>0</v>
      </c>
      <c r="E13" s="32">
        <f>COUNTIFS(Data!$A$2:$A75, "&gt;=12/1/2012", Data!$A$2:$A75, "&lt;=12/31/2012")</f>
        <v>0</v>
      </c>
      <c r="F13" s="32">
        <f>COUNTIFS(Data!$A$2:$A75, "&gt;=12/1/2013", Data!$A$2:$A75, "&lt;=12/31/2013")</f>
        <v>0</v>
      </c>
      <c r="G13" s="32">
        <f>COUNTIFS(Data!$A$2:$A75, "&gt;=12/1/2014", Data!$A$2:$A75, "&lt;=12/31/2014")</f>
        <v>0</v>
      </c>
      <c r="H13" s="32">
        <f>COUNTIFS(Data!$A$2:$A75, "&gt;=12/1/2015", Data!$A$2:$A75, "&lt;=12/31/2015")</f>
        <v>0</v>
      </c>
      <c r="I13" s="34"/>
      <c r="J13" s="33">
        <f t="shared" si="0"/>
        <v>0</v>
      </c>
    </row>
    <row r="14" spans="1:10" ht="15.75" customHeight="1">
      <c r="A14" s="35" t="s">
        <v>101</v>
      </c>
      <c r="B14" s="33">
        <f t="shared" ref="B14:I14" si="1">SUM(B2:B13)</f>
        <v>0</v>
      </c>
      <c r="C14" s="33">
        <f t="shared" si="1"/>
        <v>0</v>
      </c>
      <c r="D14" s="33">
        <f t="shared" si="1"/>
        <v>0</v>
      </c>
      <c r="E14" s="33">
        <f t="shared" si="1"/>
        <v>0</v>
      </c>
      <c r="F14" s="33">
        <f t="shared" si="1"/>
        <v>0</v>
      </c>
      <c r="G14" s="33">
        <f t="shared" si="1"/>
        <v>0</v>
      </c>
      <c r="H14" s="33">
        <f t="shared" si="1"/>
        <v>0</v>
      </c>
      <c r="I14" s="33">
        <f t="shared" si="1"/>
        <v>0</v>
      </c>
      <c r="J14" s="33">
        <f t="shared" si="0"/>
        <v>0</v>
      </c>
    </row>
    <row r="15" spans="1:10" ht="15.75" customHeight="1">
      <c r="A15" s="36"/>
      <c r="B15" s="36"/>
      <c r="C15" s="36"/>
      <c r="D15" s="36"/>
      <c r="E15" s="36"/>
      <c r="F15" s="36"/>
      <c r="G15" s="36"/>
      <c r="H15" s="36"/>
      <c r="I15" s="36"/>
      <c r="J15" s="36"/>
    </row>
    <row r="16" spans="1:10" ht="15.75" customHeight="1">
      <c r="A16" s="168" t="s">
        <v>112</v>
      </c>
      <c r="B16" s="169"/>
      <c r="C16" s="169"/>
      <c r="D16" s="169"/>
      <c r="E16" s="169"/>
      <c r="F16" s="169"/>
      <c r="G16" s="169"/>
      <c r="H16" s="169"/>
      <c r="I16" s="169"/>
    </row>
    <row r="17" spans="1:10" ht="15.75" customHeight="1">
      <c r="A17" s="30" t="s">
        <v>103</v>
      </c>
      <c r="B17" s="30" t="s">
        <v>89</v>
      </c>
      <c r="C17" s="30" t="s">
        <v>104</v>
      </c>
      <c r="D17" s="30" t="s">
        <v>105</v>
      </c>
      <c r="E17" s="30" t="s">
        <v>104</v>
      </c>
      <c r="F17" s="30" t="s">
        <v>48</v>
      </c>
      <c r="G17" s="30" t="s">
        <v>101</v>
      </c>
      <c r="H17" s="38" t="s">
        <v>114</v>
      </c>
      <c r="I17" s="38" t="s">
        <v>104</v>
      </c>
      <c r="J17" s="37"/>
    </row>
    <row r="18" spans="1:10" ht="15.75" customHeight="1">
      <c r="A18" s="39" t="s">
        <v>115</v>
      </c>
      <c r="B18" s="40">
        <f>COUNTIF(Data!$Q$2:$Q75, "Male")+ COUNTIF(Data!$U$2:$U75, "Male") + COUNTIF(Data!$Y$2:$Y75, "Male")</f>
        <v>0</v>
      </c>
      <c r="C18" s="41" t="e">
        <f>(B18/(B18+D18))</f>
        <v>#DIV/0!</v>
      </c>
      <c r="D18" s="40">
        <f>COUNTIF(Data!$Q$2:$Q75, "Female")+ COUNTIF(Data!$U$2:$U75, "Female") + COUNTIF(Data!$Y$2:$Y75, "Female")</f>
        <v>0</v>
      </c>
      <c r="E18" s="41" t="e">
        <f>D18/(B18+D18)</f>
        <v>#DIV/0!</v>
      </c>
      <c r="F18" s="40">
        <f>COUNTIF(Data!$Q$2:$Q75, "Unknown")+ COUNTIF(Data!$U$2:$U75, "Unknown") + COUNTIF(Data!$Y$2:$Y75, "Unknown")</f>
        <v>0</v>
      </c>
      <c r="G18" s="40">
        <f t="shared" ref="G18:G19" si="2">SUM(F18,D18,B18)</f>
        <v>0</v>
      </c>
      <c r="H18" s="42"/>
      <c r="I18" s="42"/>
      <c r="J18" s="43"/>
    </row>
    <row r="19" spans="1:10" ht="15.75" customHeight="1">
      <c r="A19" s="39" t="s">
        <v>116</v>
      </c>
      <c r="B19" s="40">
        <f>SUM(Data!H2:H75)</f>
        <v>12</v>
      </c>
      <c r="C19" s="41">
        <f>B19/G19</f>
        <v>1</v>
      </c>
      <c r="D19" s="40">
        <f>SUM(Data!G2:G75)</f>
        <v>0</v>
      </c>
      <c r="E19" s="41">
        <f>D19/G19</f>
        <v>0</v>
      </c>
      <c r="F19" s="44">
        <f>SUM(Data!E2:E75)-(B19+D19)</f>
        <v>0</v>
      </c>
      <c r="G19" s="40">
        <f t="shared" si="2"/>
        <v>12</v>
      </c>
      <c r="H19" s="42">
        <f>SUM(Data!I1:I135)</f>
        <v>0</v>
      </c>
      <c r="I19" s="45">
        <f>H19/G19</f>
        <v>0</v>
      </c>
      <c r="J19" s="46"/>
    </row>
    <row r="20" spans="1:10" ht="15.75" customHeight="1">
      <c r="F20" s="47"/>
      <c r="H20" s="47"/>
      <c r="I20" s="48"/>
      <c r="J20" s="46"/>
    </row>
    <row r="21" spans="1:10" ht="15.75" customHeight="1">
      <c r="A21" s="168" t="s">
        <v>117</v>
      </c>
      <c r="B21" s="169"/>
      <c r="C21" s="37"/>
      <c r="D21" s="47"/>
    </row>
    <row r="22" spans="1:10" ht="15.75" customHeight="1">
      <c r="A22" s="49" t="s">
        <v>101</v>
      </c>
      <c r="B22" s="42">
        <f>COUNTIF(Data!AI2:AI75, "YES")</f>
        <v>1</v>
      </c>
      <c r="C22" s="47"/>
    </row>
    <row r="23" spans="1:10" ht="15.75" customHeight="1">
      <c r="A23" s="49" t="s">
        <v>104</v>
      </c>
      <c r="B23" s="50" t="e">
        <f>B22/J14</f>
        <v>#DIV/0!</v>
      </c>
    </row>
    <row r="24" spans="1:10" ht="15.75" customHeight="1">
      <c r="A24" s="49" t="s">
        <v>118</v>
      </c>
      <c r="B24" s="42">
        <f>COUNTIF(Data!$AF$1:$AF75, "Yes")</f>
        <v>0</v>
      </c>
    </row>
    <row r="25" spans="1:10" ht="15.75" customHeight="1">
      <c r="A25" s="49" t="s">
        <v>104</v>
      </c>
      <c r="B25" s="51" t="e">
        <f>B24/J14</f>
        <v>#DIV/0!</v>
      </c>
      <c r="H25" s="52"/>
      <c r="I25" s="52"/>
      <c r="J25" s="52"/>
    </row>
    <row r="26" spans="1:10" ht="15.75" customHeight="1">
      <c r="A26" s="49" t="s">
        <v>119</v>
      </c>
      <c r="B26" s="42">
        <f>COUNTIF(Data!$AF$1:$AF75, "Yes")</f>
        <v>0</v>
      </c>
      <c r="H26" s="53"/>
      <c r="I26" s="53"/>
      <c r="J26" s="53"/>
    </row>
    <row r="27" spans="1:10" ht="15.75" customHeight="1">
      <c r="A27" s="49" t="s">
        <v>104</v>
      </c>
      <c r="B27" s="51" t="e">
        <f>B26/J14</f>
        <v>#DIV/0!</v>
      </c>
      <c r="H27" s="52"/>
      <c r="I27" s="53"/>
      <c r="J27" s="53"/>
    </row>
    <row r="29" spans="1:10" ht="15.75" customHeight="1">
      <c r="A29" s="168" t="s">
        <v>120</v>
      </c>
      <c r="B29" s="169"/>
    </row>
    <row r="30" spans="1:10" ht="15.75" customHeight="1">
      <c r="A30" s="49" t="s">
        <v>121</v>
      </c>
      <c r="B30" s="42">
        <f>COUNTIF(Data!AB2:AB75, "Yes")</f>
        <v>0</v>
      </c>
    </row>
    <row r="31" spans="1:10" ht="15.75" customHeight="1">
      <c r="A31" s="49" t="s">
        <v>122</v>
      </c>
      <c r="B31" s="42">
        <f>COUNTIFS(Data!AB2:AB75, "Yes", Data!AC2:AC75, "No", Data!AD2:AD75, "No")</f>
        <v>0</v>
      </c>
    </row>
    <row r="32" spans="1:10" ht="15.75" customHeight="1">
      <c r="A32" s="49" t="s">
        <v>104</v>
      </c>
      <c r="B32" s="51" t="e">
        <f>B31/B30</f>
        <v>#DIV/0!</v>
      </c>
      <c r="E32" s="47"/>
    </row>
    <row r="33" spans="1:10" ht="15.75" customHeight="1">
      <c r="A33" s="49" t="s">
        <v>123</v>
      </c>
      <c r="B33" s="54">
        <f>COUNTIFS(Data!AB2:AB131, "No", Data!AE2:AE131, "Yes")</f>
        <v>0</v>
      </c>
    </row>
    <row r="34" spans="1:10" ht="15.75" customHeight="1">
      <c r="A34" s="49" t="s">
        <v>124</v>
      </c>
      <c r="B34" s="54">
        <f>COUNTIFS(Data!AA2:AA131, "Yes", Data!AF2:AF131, "Yes")</f>
        <v>0</v>
      </c>
    </row>
    <row r="36" spans="1:10" ht="15.75" customHeight="1">
      <c r="A36" s="38"/>
      <c r="B36" s="38" t="s">
        <v>111</v>
      </c>
      <c r="C36" s="38" t="s">
        <v>102</v>
      </c>
      <c r="D36" s="38" t="s">
        <v>125</v>
      </c>
      <c r="E36" s="38" t="s">
        <v>98</v>
      </c>
      <c r="F36" s="38" t="s">
        <v>126</v>
      </c>
      <c r="G36" s="38" t="s">
        <v>97</v>
      </c>
    </row>
    <row r="37" spans="1:10" ht="15.75" customHeight="1">
      <c r="A37" s="49" t="s">
        <v>127</v>
      </c>
      <c r="B37" s="55" t="e">
        <f>COUNTIF(Data!#REF!, "Yes")</f>
        <v>#REF!</v>
      </c>
      <c r="C37" s="56" t="e">
        <f>B37/J14</f>
        <v>#REF!</v>
      </c>
      <c r="D37" s="57" t="e">
        <f>SUMIF(Data!#REF!, "Yes", Data!D2:D75)</f>
        <v>#REF!</v>
      </c>
      <c r="E37" s="58" t="e">
        <f t="shared" ref="E37:E38" si="3">D37/B37</f>
        <v>#REF!</v>
      </c>
      <c r="F37" s="57" t="e">
        <f>SUMIF(Data!#REF!, "Yes", Data!E2:E75)</f>
        <v>#REF!</v>
      </c>
      <c r="G37" s="58" t="e">
        <f t="shared" ref="G37:G38" si="4">F37/B37</f>
        <v>#REF!</v>
      </c>
    </row>
    <row r="38" spans="1:10" ht="15.75" customHeight="1">
      <c r="A38" s="49" t="s">
        <v>128</v>
      </c>
      <c r="B38" s="55" t="e">
        <f>COUNTIF(Data!#REF!, "No")</f>
        <v>#REF!</v>
      </c>
      <c r="C38" s="56" t="e">
        <f>B38/J14</f>
        <v>#REF!</v>
      </c>
      <c r="D38" s="57" t="e">
        <f>SUMIF(Data!#REF!, "No", Data!D2:D75)</f>
        <v>#REF!</v>
      </c>
      <c r="E38" s="58" t="e">
        <f t="shared" si="3"/>
        <v>#REF!</v>
      </c>
      <c r="F38" s="57" t="e">
        <f>SUMIF(Data!#REF!, "No", Data!E2:E75)</f>
        <v>#REF!</v>
      </c>
      <c r="G38" s="58" t="e">
        <f t="shared" si="4"/>
        <v>#REF!</v>
      </c>
    </row>
    <row r="39" spans="1:10" ht="15.75" customHeight="1">
      <c r="A39" s="38" t="s">
        <v>129</v>
      </c>
      <c r="B39" s="59"/>
      <c r="C39" s="59"/>
      <c r="D39" s="59"/>
      <c r="E39" s="60" t="e">
        <f>(E37-E38)/E38</f>
        <v>#REF!</v>
      </c>
      <c r="F39" s="59"/>
      <c r="G39" s="60" t="e">
        <f>(G37-G38)/G38</f>
        <v>#REF!</v>
      </c>
      <c r="H39" s="61"/>
      <c r="I39" s="61"/>
      <c r="J39" s="61"/>
    </row>
    <row r="40" spans="1:10" ht="15.75" customHeight="1">
      <c r="A40" s="47"/>
      <c r="B40" s="62"/>
    </row>
    <row r="41" spans="1:10" ht="15.75" customHeight="1">
      <c r="A41" s="168" t="s">
        <v>106</v>
      </c>
      <c r="B41" s="169"/>
    </row>
    <row r="42" spans="1:10" ht="15.75" customHeight="1">
      <c r="A42" s="49" t="s">
        <v>101</v>
      </c>
      <c r="B42" s="42" t="e">
        <f>COUNTIF(Data!#REF!, "Yes")</f>
        <v>#REF!</v>
      </c>
    </row>
    <row r="43" spans="1:10" ht="15.75" customHeight="1">
      <c r="A43" s="49" t="s">
        <v>104</v>
      </c>
      <c r="B43" s="63" t="e">
        <f>B42/J14</f>
        <v>#REF!</v>
      </c>
    </row>
    <row r="45" spans="1:10" ht="15.75" customHeight="1">
      <c r="A45" s="171" t="s">
        <v>107</v>
      </c>
      <c r="B45" s="172"/>
      <c r="G45" s="64" t="s">
        <v>130</v>
      </c>
      <c r="H45" s="64" t="s">
        <v>131</v>
      </c>
    </row>
    <row r="46" spans="1:10" ht="15.75" customHeight="1">
      <c r="A46" s="65" t="s">
        <v>132</v>
      </c>
      <c r="B46" s="66">
        <f>I14-COUNTIF(Data!AA2:AA75, "Unknown")</f>
        <v>0</v>
      </c>
      <c r="C46" s="47"/>
      <c r="D46" s="47"/>
      <c r="G46" s="166" t="s">
        <v>112</v>
      </c>
      <c r="H46" s="170"/>
    </row>
    <row r="47" spans="1:10" ht="12">
      <c r="A47" s="67" t="s">
        <v>133</v>
      </c>
      <c r="B47" s="68">
        <f>COUNTIF(Data!AA2:AA75, "Yes")</f>
        <v>0</v>
      </c>
      <c r="C47" s="69"/>
      <c r="D47" s="69"/>
      <c r="G47" s="49" t="s">
        <v>134</v>
      </c>
      <c r="H47" s="49" t="s">
        <v>135</v>
      </c>
    </row>
    <row r="48" spans="1:10" ht="12">
      <c r="A48" s="70" t="s">
        <v>104</v>
      </c>
      <c r="B48" s="71" t="e">
        <f>B47/B46</f>
        <v>#DIV/0!</v>
      </c>
      <c r="D48" s="47"/>
      <c r="G48" s="49" t="s">
        <v>136</v>
      </c>
      <c r="H48" s="49" t="s">
        <v>137</v>
      </c>
    </row>
    <row r="49" spans="1:8" ht="12">
      <c r="A49" s="37"/>
      <c r="B49" s="37"/>
      <c r="G49" s="166" t="s">
        <v>117</v>
      </c>
      <c r="H49" s="170"/>
    </row>
    <row r="50" spans="1:8" ht="12">
      <c r="A50" s="168" t="s">
        <v>99</v>
      </c>
      <c r="B50" s="169"/>
      <c r="G50" s="72">
        <v>0.56999999999999995</v>
      </c>
      <c r="H50" s="72" t="e">
        <f>B23</f>
        <v>#DIV/0!</v>
      </c>
    </row>
    <row r="51" spans="1:8" ht="12">
      <c r="A51" s="49" t="s">
        <v>101</v>
      </c>
      <c r="B51" s="42">
        <f>COUNTIF(Data!J2:J75, "Yes")</f>
        <v>0</v>
      </c>
      <c r="G51" s="166" t="s">
        <v>138</v>
      </c>
      <c r="H51" s="170"/>
    </row>
    <row r="52" spans="1:8" ht="12">
      <c r="A52" s="49" t="s">
        <v>104</v>
      </c>
      <c r="B52" s="63" t="e">
        <f>B51/I14</f>
        <v>#DIV/0!</v>
      </c>
      <c r="D52" s="47"/>
      <c r="G52" s="72">
        <v>0.25</v>
      </c>
      <c r="H52" s="72" t="e">
        <f>B32</f>
        <v>#DIV/0!</v>
      </c>
    </row>
    <row r="53" spans="1:8" ht="12">
      <c r="G53" s="166" t="s">
        <v>139</v>
      </c>
      <c r="H53" s="170"/>
    </row>
    <row r="54" spans="1:8" ht="12">
      <c r="A54" s="168" t="s">
        <v>108</v>
      </c>
      <c r="B54" s="169"/>
      <c r="G54" s="72">
        <v>0.75</v>
      </c>
      <c r="H54" s="72">
        <v>0.75</v>
      </c>
    </row>
    <row r="55" spans="1:8" ht="12">
      <c r="A55" s="49" t="s">
        <v>101</v>
      </c>
      <c r="B55" s="42">
        <f>COUNTIF(Data!AJ2:AJ75, "Yes")</f>
        <v>0</v>
      </c>
      <c r="G55" s="166" t="s">
        <v>140</v>
      </c>
      <c r="H55" s="167"/>
    </row>
    <row r="56" spans="1:8" ht="12">
      <c r="A56" s="49" t="s">
        <v>104</v>
      </c>
      <c r="B56" s="63" t="e">
        <f>B55/I14</f>
        <v>#DIV/0!</v>
      </c>
      <c r="G56" s="72">
        <v>0.13</v>
      </c>
      <c r="H56" s="72" t="e">
        <f>C37</f>
        <v>#REF!</v>
      </c>
    </row>
    <row r="57" spans="1:8" ht="12">
      <c r="G57" s="166" t="s">
        <v>141</v>
      </c>
      <c r="H57" s="167"/>
    </row>
    <row r="58" spans="1:8" ht="12">
      <c r="A58" s="168" t="s">
        <v>109</v>
      </c>
      <c r="B58" s="169"/>
      <c r="G58" s="72">
        <v>1.56</v>
      </c>
      <c r="H58" s="72" t="e">
        <f>E39</f>
        <v>#REF!</v>
      </c>
    </row>
    <row r="59" spans="1:8" ht="12">
      <c r="A59" s="49" t="s">
        <v>101</v>
      </c>
      <c r="B59" s="42">
        <f>COUNTIF(Data!AN2:AN75, "Yes")</f>
        <v>0</v>
      </c>
      <c r="G59" s="166" t="s">
        <v>142</v>
      </c>
      <c r="H59" s="167"/>
    </row>
    <row r="60" spans="1:8" ht="12">
      <c r="A60" s="49" t="s">
        <v>104</v>
      </c>
      <c r="B60" s="63" t="e">
        <f>B59/I14</f>
        <v>#DIV/0!</v>
      </c>
      <c r="G60" s="72">
        <v>0.63</v>
      </c>
      <c r="H60" s="72">
        <f>B40</f>
        <v>0</v>
      </c>
    </row>
    <row r="61" spans="1:8" ht="12">
      <c r="G61" s="166" t="s">
        <v>106</v>
      </c>
      <c r="H61" s="167"/>
    </row>
    <row r="62" spans="1:8" ht="12">
      <c r="A62" s="168" t="s">
        <v>110</v>
      </c>
      <c r="B62" s="169"/>
      <c r="G62" s="72">
        <v>0.11</v>
      </c>
      <c r="H62" s="72">
        <v>0.11</v>
      </c>
    </row>
    <row r="63" spans="1:8" ht="12">
      <c r="A63" s="49" t="s">
        <v>101</v>
      </c>
      <c r="B63" s="42">
        <f>COUNTIF(Data!AM2:AM75, "Yes")</f>
        <v>0</v>
      </c>
      <c r="G63" s="166" t="s">
        <v>143</v>
      </c>
      <c r="H63" s="167"/>
    </row>
    <row r="64" spans="1:8" ht="12">
      <c r="A64" s="49" t="s">
        <v>104</v>
      </c>
      <c r="B64" s="63" t="e">
        <f>B63/I14</f>
        <v>#DIV/0!</v>
      </c>
      <c r="G64" s="49" t="s">
        <v>144</v>
      </c>
      <c r="H64" s="49" t="s">
        <v>145</v>
      </c>
    </row>
    <row r="65" spans="1:8" ht="12">
      <c r="G65" s="166" t="s">
        <v>107</v>
      </c>
      <c r="H65" s="167"/>
    </row>
    <row r="66" spans="1:8" ht="12">
      <c r="A66" s="168" t="s">
        <v>146</v>
      </c>
      <c r="B66" s="169"/>
      <c r="C66" s="74"/>
      <c r="G66" s="72">
        <v>0.42</v>
      </c>
      <c r="H66" s="72" t="e">
        <f>B48</f>
        <v>#DIV/0!</v>
      </c>
    </row>
    <row r="67" spans="1:8" ht="12">
      <c r="A67" s="49" t="s">
        <v>101</v>
      </c>
      <c r="B67" s="42">
        <f>COUNTIF(Data!AU2:AU75, "Yes")</f>
        <v>0</v>
      </c>
      <c r="C67" s="75"/>
      <c r="G67" s="166" t="s">
        <v>99</v>
      </c>
      <c r="H67" s="167"/>
    </row>
    <row r="68" spans="1:8" ht="12">
      <c r="A68" s="49" t="s">
        <v>104</v>
      </c>
      <c r="B68" s="63" t="e">
        <f>B67/I14</f>
        <v>#DIV/0!</v>
      </c>
      <c r="C68" s="76"/>
      <c r="G68" s="72">
        <v>0.42</v>
      </c>
      <c r="H68" s="72" t="e">
        <f>B52</f>
        <v>#DIV/0!</v>
      </c>
    </row>
    <row r="69" spans="1:8" ht="12">
      <c r="G69" s="166" t="s">
        <v>108</v>
      </c>
      <c r="H69" s="167"/>
    </row>
    <row r="70" spans="1:8" ht="12">
      <c r="A70" s="168" t="s">
        <v>147</v>
      </c>
      <c r="B70" s="169"/>
      <c r="G70" s="72">
        <v>0.12</v>
      </c>
      <c r="H70" s="72">
        <v>0.1</v>
      </c>
    </row>
    <row r="71" spans="1:8" ht="12">
      <c r="A71" s="49" t="s">
        <v>148</v>
      </c>
      <c r="B71" s="42">
        <f>SUMPRODUCT((Data!AT2:AT75="YES")*(Data!AU2:AU75="No"))</f>
        <v>0</v>
      </c>
      <c r="C71" s="47"/>
      <c r="D71" s="47"/>
      <c r="G71" s="166" t="s">
        <v>109</v>
      </c>
      <c r="H71" s="167"/>
    </row>
    <row r="72" spans="1:8" ht="12">
      <c r="A72" s="49" t="s">
        <v>149</v>
      </c>
      <c r="B72" s="42">
        <f>SUMPRODUCT((Data!AT2:AT75="YES"))</f>
        <v>0</v>
      </c>
      <c r="G72" s="72">
        <v>0.05</v>
      </c>
      <c r="H72" s="72" t="e">
        <f>B60</f>
        <v>#DIV/0!</v>
      </c>
    </row>
    <row r="73" spans="1:8" ht="12">
      <c r="A73" s="49" t="s">
        <v>104</v>
      </c>
      <c r="B73" s="63" t="e">
        <f>B71/B72</f>
        <v>#DIV/0!</v>
      </c>
      <c r="G73" s="166" t="s">
        <v>110</v>
      </c>
      <c r="H73" s="167"/>
    </row>
    <row r="74" spans="1:8" ht="12">
      <c r="A74" s="52"/>
      <c r="B74" s="43"/>
      <c r="G74" s="72">
        <v>0.04</v>
      </c>
      <c r="H74" s="72" t="e">
        <f>B64</f>
        <v>#DIV/0!</v>
      </c>
    </row>
    <row r="75" spans="1:8" ht="12">
      <c r="A75" s="168" t="s">
        <v>150</v>
      </c>
      <c r="B75" s="169"/>
      <c r="G75" s="166" t="s">
        <v>146</v>
      </c>
      <c r="H75" s="167"/>
    </row>
    <row r="76" spans="1:8" ht="12">
      <c r="A76" s="49" t="s">
        <v>151</v>
      </c>
      <c r="B76" s="42">
        <f>COUNTIFS(Data!$AM$2:$AM75, "No", Data!$AN$2:$AN75, "No", Data!$AL$2:$AL75, "Yes")</f>
        <v>0</v>
      </c>
      <c r="G76" s="72">
        <v>0.14000000000000001</v>
      </c>
      <c r="H76" s="72" t="e">
        <f>B68</f>
        <v>#DIV/0!</v>
      </c>
    </row>
    <row r="77" spans="1:8" ht="12">
      <c r="A77" s="49" t="s">
        <v>104</v>
      </c>
      <c r="B77" s="63">
        <f>B76/134</f>
        <v>0</v>
      </c>
    </row>
  </sheetData>
  <mergeCells count="27">
    <mergeCell ref="A75:B75"/>
    <mergeCell ref="A70:B70"/>
    <mergeCell ref="A66:B66"/>
    <mergeCell ref="A41:B41"/>
    <mergeCell ref="A45:B45"/>
    <mergeCell ref="A58:B58"/>
    <mergeCell ref="A16:I16"/>
    <mergeCell ref="A21:B21"/>
    <mergeCell ref="G53:H53"/>
    <mergeCell ref="G55:H55"/>
    <mergeCell ref="G57:H57"/>
    <mergeCell ref="G49:H49"/>
    <mergeCell ref="G51:H51"/>
    <mergeCell ref="A54:B54"/>
    <mergeCell ref="G46:H46"/>
    <mergeCell ref="A50:B50"/>
    <mergeCell ref="A29:B29"/>
    <mergeCell ref="G59:H59"/>
    <mergeCell ref="A62:B62"/>
    <mergeCell ref="G67:H67"/>
    <mergeCell ref="G65:H65"/>
    <mergeCell ref="G63:H63"/>
    <mergeCell ref="G75:H75"/>
    <mergeCell ref="G69:H69"/>
    <mergeCell ref="G73:H73"/>
    <mergeCell ref="G71:H71"/>
    <mergeCell ref="G61:H61"/>
  </mergeCells>
  <conditionalFormatting sqref="B2:H13 I2">
    <cfRule type="colorScale" priority="1">
      <colorScale>
        <cfvo type="min"/>
        <cfvo type="max"/>
        <color rgb="FFFFFFFF"/>
        <color rgb="FFFF0000"/>
      </colorScale>
    </cfRule>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sheetPr>
  <dimension ref="A1:BC5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
  <cols>
    <col min="1" max="1" width="19.6640625" customWidth="1"/>
    <col min="2" max="8" width="7.33203125" customWidth="1"/>
    <col min="9" max="36" width="8.1640625" customWidth="1"/>
    <col min="37" max="43" width="11.5" customWidth="1"/>
    <col min="44" max="47" width="17.83203125" customWidth="1"/>
    <col min="49" max="55" width="17.83203125" customWidth="1"/>
  </cols>
  <sheetData>
    <row r="1" spans="1:55" ht="24" customHeight="1">
      <c r="A1" s="78" t="s">
        <v>166</v>
      </c>
      <c r="B1" s="174" t="s">
        <v>167</v>
      </c>
      <c r="C1" s="167"/>
      <c r="D1" s="167"/>
      <c r="E1" s="167"/>
      <c r="F1" s="167"/>
      <c r="G1" s="167"/>
      <c r="H1" s="170"/>
      <c r="I1" s="173" t="s">
        <v>168</v>
      </c>
      <c r="J1" s="167"/>
      <c r="K1" s="167"/>
      <c r="L1" s="167"/>
      <c r="M1" s="167"/>
      <c r="N1" s="167"/>
      <c r="O1" s="170"/>
      <c r="P1" s="177" t="s">
        <v>169</v>
      </c>
      <c r="Q1" s="167"/>
      <c r="R1" s="167"/>
      <c r="S1" s="167"/>
      <c r="T1" s="167"/>
      <c r="U1" s="167"/>
      <c r="V1" s="170"/>
      <c r="W1" s="178" t="s">
        <v>170</v>
      </c>
      <c r="X1" s="167"/>
      <c r="Y1" s="167"/>
      <c r="Z1" s="167"/>
      <c r="AA1" s="167"/>
      <c r="AB1" s="167"/>
      <c r="AC1" s="170"/>
      <c r="AD1" s="180" t="s">
        <v>177</v>
      </c>
      <c r="AE1" s="167"/>
      <c r="AF1" s="167"/>
      <c r="AG1" s="167"/>
      <c r="AH1" s="167"/>
      <c r="AI1" s="167"/>
      <c r="AJ1" s="170"/>
      <c r="AK1" s="179" t="s">
        <v>171</v>
      </c>
      <c r="AL1" s="167"/>
      <c r="AM1" s="167"/>
      <c r="AN1" s="167"/>
      <c r="AO1" s="167"/>
      <c r="AP1" s="167"/>
      <c r="AQ1" s="170"/>
      <c r="AR1" s="175" t="s">
        <v>178</v>
      </c>
      <c r="AS1" s="175" t="s">
        <v>179</v>
      </c>
      <c r="AT1" s="175" t="s">
        <v>180</v>
      </c>
      <c r="AU1" s="175" t="s">
        <v>168</v>
      </c>
      <c r="AV1" s="175" t="s">
        <v>181</v>
      </c>
      <c r="AW1" s="175" t="s">
        <v>182</v>
      </c>
      <c r="AX1" s="175" t="s">
        <v>183</v>
      </c>
      <c r="AY1" s="175" t="s">
        <v>184</v>
      </c>
      <c r="AZ1" s="175" t="s">
        <v>172</v>
      </c>
      <c r="BA1" s="175" t="s">
        <v>173</v>
      </c>
      <c r="BB1" s="175" t="s">
        <v>174</v>
      </c>
      <c r="BC1" s="175" t="s">
        <v>175</v>
      </c>
    </row>
    <row r="2" spans="1:55" ht="25.5" customHeight="1">
      <c r="A2" s="79"/>
      <c r="B2" s="80">
        <v>2009</v>
      </c>
      <c r="C2" s="80">
        <v>2010</v>
      </c>
      <c r="D2" s="80">
        <v>2011</v>
      </c>
      <c r="E2" s="80">
        <v>2012</v>
      </c>
      <c r="F2" s="80">
        <v>2013</v>
      </c>
      <c r="G2" s="81">
        <v>2014</v>
      </c>
      <c r="H2" s="81">
        <v>2015</v>
      </c>
      <c r="I2" s="82">
        <v>2009</v>
      </c>
      <c r="J2" s="82">
        <v>2010</v>
      </c>
      <c r="K2" s="82">
        <v>2011</v>
      </c>
      <c r="L2" s="82">
        <v>2012</v>
      </c>
      <c r="M2" s="82">
        <v>2013</v>
      </c>
      <c r="N2" s="83">
        <v>2014</v>
      </c>
      <c r="O2" s="83">
        <v>2015</v>
      </c>
      <c r="P2" s="84">
        <v>2009</v>
      </c>
      <c r="Q2" s="84">
        <v>2010</v>
      </c>
      <c r="R2" s="84">
        <v>2011</v>
      </c>
      <c r="S2" s="84">
        <v>2012</v>
      </c>
      <c r="T2" s="84">
        <v>2013</v>
      </c>
      <c r="U2" s="85">
        <v>2014</v>
      </c>
      <c r="V2" s="85">
        <v>2015</v>
      </c>
      <c r="W2" s="86">
        <v>2009</v>
      </c>
      <c r="X2" s="86">
        <v>2010</v>
      </c>
      <c r="Y2" s="86">
        <v>2011</v>
      </c>
      <c r="Z2" s="86">
        <v>2012</v>
      </c>
      <c r="AA2" s="86">
        <v>2013</v>
      </c>
      <c r="AB2" s="87">
        <v>2014</v>
      </c>
      <c r="AC2" s="87">
        <v>2015</v>
      </c>
      <c r="AD2" s="88">
        <v>2009</v>
      </c>
      <c r="AE2" s="88">
        <v>2010</v>
      </c>
      <c r="AF2" s="88">
        <v>2011</v>
      </c>
      <c r="AG2" s="88">
        <v>2012</v>
      </c>
      <c r="AH2" s="88">
        <v>2013</v>
      </c>
      <c r="AI2" s="88">
        <v>2014</v>
      </c>
      <c r="AJ2" s="88">
        <v>2015</v>
      </c>
      <c r="AK2" s="89">
        <v>2009</v>
      </c>
      <c r="AL2" s="89">
        <v>2010</v>
      </c>
      <c r="AM2" s="89">
        <v>2011</v>
      </c>
      <c r="AN2" s="89">
        <v>2012</v>
      </c>
      <c r="AO2" s="89">
        <v>2013</v>
      </c>
      <c r="AP2" s="89">
        <v>2014</v>
      </c>
      <c r="AQ2" s="90" t="s">
        <v>176</v>
      </c>
      <c r="AR2" s="176"/>
      <c r="AS2" s="176"/>
      <c r="AT2" s="176"/>
      <c r="AU2" s="176"/>
      <c r="AV2" s="176"/>
      <c r="AW2" s="176"/>
      <c r="AX2" s="176"/>
      <c r="AY2" s="176"/>
      <c r="AZ2" s="176"/>
      <c r="BA2" s="181"/>
      <c r="BB2" s="176"/>
      <c r="BC2" s="176"/>
    </row>
    <row r="3" spans="1:55" ht="12">
      <c r="A3" s="91" t="s">
        <v>86</v>
      </c>
      <c r="B3" s="92" t="e">
        <f>SUMPRODUCT((Data!$C$2:$C55=$A3)*(Data!#REF!=B$2)*(Data!$A$2:$A55&lt;42217))</f>
        <v>#REF!</v>
      </c>
      <c r="C3" s="92" t="e">
        <f>SUMPRODUCT((Data!$C$2:$C55=$A3)*(Data!#REF!=C$2)*(Data!$A$2:$A55&lt;42217))</f>
        <v>#REF!</v>
      </c>
      <c r="D3" s="92" t="e">
        <f>SUMPRODUCT((Data!$C$2:$C55=$A3)*(Data!#REF!=D$2)*(Data!$A$2:$A55&lt;42217))</f>
        <v>#REF!</v>
      </c>
      <c r="E3" s="92" t="e">
        <f>SUMPRODUCT((Data!$C$2:$C55=$A3)*(Data!#REF!=E$2)*(Data!$A$2:$A55&lt;42217))</f>
        <v>#REF!</v>
      </c>
      <c r="F3" s="92" t="e">
        <f>SUMPRODUCT((Data!$C$2:$C55=$A3)*(Data!#REF!=F$2)*(Data!$A$2:$A55&lt;42217))</f>
        <v>#REF!</v>
      </c>
      <c r="G3" s="92" t="e">
        <f>SUMPRODUCT((Data!$C$2:$C55=$A3)*(Data!#REF!=G$2)*(Data!$A$2:$A55&lt;42217))</f>
        <v>#REF!</v>
      </c>
      <c r="H3" s="92" t="e">
        <f>SUMPRODUCT((Data!$C$2:$C55=$A3)*(Data!#REF!=H$2)*(Data!$A$2:$A55&lt;42217))</f>
        <v>#REF!</v>
      </c>
      <c r="I3" s="93" t="e">
        <f>SUMPRODUCT((Data!$C$2:$C55=$A3)*(Data!#REF!=I$2)*(Data!$AI$2:$AI55="Yes")*(Data!$A$2:$A55&lt;42217))</f>
        <v>#REF!</v>
      </c>
      <c r="J3" s="93" t="e">
        <f>SUMPRODUCT((Data!$C$2:$C55=$A3)*(Data!#REF!=J$2)*(Data!$AI$2:$AI55="Yes")*(Data!$A$2:$A55&lt;42217))</f>
        <v>#REF!</v>
      </c>
      <c r="K3" s="93" t="e">
        <f>SUMPRODUCT((Data!$C$2:$C55=$A3)*(Data!#REF!=K$2)*(Data!$AI$2:$AI55="Yes")*(Data!$A$2:$A55&lt;42217))</f>
        <v>#REF!</v>
      </c>
      <c r="L3" s="93" t="e">
        <f>SUMPRODUCT((Data!$C$2:$C55=$A3)*(Data!#REF!=L$2)*(Data!$AI$2:$AI55="Yes")*(Data!$A$2:$A55&lt;42217))</f>
        <v>#REF!</v>
      </c>
      <c r="M3" s="93" t="e">
        <f>SUMPRODUCT((Data!$C$2:$C55=$A3)*(Data!#REF!=M$2)*(Data!$AI$2:$AI55="Yes")*(Data!$A$2:$A55&lt;42217))</f>
        <v>#REF!</v>
      </c>
      <c r="N3" s="93" t="e">
        <f>SUMPRODUCT((Data!$C$2:$C55=$A3)*(Data!#REF!=N$2)*(Data!$AI$2:$AI55="Yes")*(Data!$A$2:$A55&lt;42217))</f>
        <v>#REF!</v>
      </c>
      <c r="O3" s="93" t="e">
        <f>SUMPRODUCT((Data!$C$2:$C55=$A3)*(Data!#REF!=O$2)*(Data!$AI$2:$AI55="Yes")*(Data!$A$2:$A55&lt;42217))</f>
        <v>#REF!</v>
      </c>
      <c r="P3" s="94" t="e">
        <f>SUMPRODUCT((Data!$C$2:$C55=$A3)*(Data!#REF!=P$2)*(Data!$AA$2:$AA55="Yes")*(Data!$A$2:$A55&lt;42217))</f>
        <v>#REF!</v>
      </c>
      <c r="Q3" s="94" t="e">
        <f>SUMPRODUCT((Data!$C$2:$C55=$A3)*(Data!#REF!=Q$2)*(Data!$AA$2:$AA55="Yes")*(Data!$A$2:$A55&lt;42217))</f>
        <v>#REF!</v>
      </c>
      <c r="R3" s="94" t="e">
        <f>SUMPRODUCT((Data!$C$2:$C55=$A3)*(Data!#REF!=R$2)*(Data!$AA$2:$AA55="Yes")*(Data!$A$2:$A55&lt;42217))</f>
        <v>#REF!</v>
      </c>
      <c r="S3" s="94" t="e">
        <f>SUMPRODUCT((Data!$C$2:$C55=$A3)*(Data!#REF!=S$2)*(Data!$AA$2:$AA55="Yes")*(Data!$A$2:$A55&lt;42217))</f>
        <v>#REF!</v>
      </c>
      <c r="T3" s="94" t="e">
        <f>SUMPRODUCT((Data!$C$2:$C55=$A3)*(Data!#REF!=T$2)*(Data!$AA$2:$AA55="Yes")*(Data!$A$2:$A55&lt;42217))</f>
        <v>#REF!</v>
      </c>
      <c r="U3" s="94" t="e">
        <f>SUMPRODUCT((Data!$C$2:$C55=$A3)*(Data!#REF!=U$2)*(Data!$AA$2:$AA55="Yes")*(Data!$A$2:$A55&lt;42217))</f>
        <v>#REF!</v>
      </c>
      <c r="V3" s="94" t="e">
        <f>SUMPRODUCT((Data!$C$2:$C55=$A3)*(Data!#REF!=V$2)*(Data!$AA$2:$AA55="Yes")*(Data!$A$2:$A55&lt;42217))</f>
        <v>#REF!</v>
      </c>
      <c r="W3" s="95" t="e">
        <f>SUMPRODUCT((Data!$C$2:$C55=$A3)*(Data!#REF!=W$2)*(Data!$AA$2:$AA55="No")*(Data!$A$2:$A55&lt;42217))</f>
        <v>#REF!</v>
      </c>
      <c r="X3" s="95" t="e">
        <f>SUMPRODUCT((Data!$C$2:$C55=$A3)*(Data!#REF!=X$2)*(Data!$AA$2:$AA55="No")*(Data!$A$2:$A55&lt;42217))</f>
        <v>#REF!</v>
      </c>
      <c r="Y3" s="95" t="e">
        <f>SUMPRODUCT((Data!$C$2:$C55=$A3)*(Data!#REF!=Y$2)*(Data!$AA$2:$AA55="No")*(Data!$A$2:$A55&lt;42217))</f>
        <v>#REF!</v>
      </c>
      <c r="Z3" s="95" t="e">
        <f>SUMPRODUCT((Data!$C$2:$C55=$A3)*(Data!#REF!=Z$2)*(Data!$AA$2:$AA55="No")*(Data!$A$2:$A55&lt;42217))</f>
        <v>#REF!</v>
      </c>
      <c r="AA3" s="95" t="e">
        <f>SUMPRODUCT((Data!$C$2:$C55=$A3)*(Data!#REF!=AA$2)*(Data!$AA$2:$AA55="No")*(Data!$A$2:$A55&lt;42217))</f>
        <v>#REF!</v>
      </c>
      <c r="AB3" s="95" t="e">
        <f>SUMPRODUCT((Data!$C$2:$C55=$A3)*(Data!#REF!=AB$2)*(Data!$AA$2:$AA55="No")*(Data!$A$2:$A55&lt;42217))</f>
        <v>#REF!</v>
      </c>
      <c r="AC3" s="95" t="e">
        <f>SUMPRODUCT((Data!$C$2:$C55=$A3)*(Data!#REF!=AC$2)*(Data!$AA$2:$AA55="No")*(Data!$A$2:$A55&lt;42217))</f>
        <v>#REF!</v>
      </c>
      <c r="AD3" s="96" t="s">
        <v>17</v>
      </c>
      <c r="AE3" s="96" t="s">
        <v>17</v>
      </c>
      <c r="AF3" s="96" t="s">
        <v>17</v>
      </c>
      <c r="AG3" s="96" t="s">
        <v>17</v>
      </c>
      <c r="AH3" s="96" t="s">
        <v>17</v>
      </c>
      <c r="AI3" s="96" t="s">
        <v>17</v>
      </c>
      <c r="AJ3" s="96" t="s">
        <v>17</v>
      </c>
      <c r="AK3" s="97">
        <v>4708708</v>
      </c>
      <c r="AL3" s="97">
        <v>4785822</v>
      </c>
      <c r="AM3" s="97">
        <v>4801695</v>
      </c>
      <c r="AN3" s="97">
        <v>4817484</v>
      </c>
      <c r="AO3" s="97">
        <v>4833996</v>
      </c>
      <c r="AP3" s="97">
        <v>4849377</v>
      </c>
      <c r="AQ3" s="98">
        <f t="shared" ref="AQ3:AQ53" si="0">AP3*7/12</f>
        <v>2828803.25</v>
      </c>
      <c r="AR3" s="99">
        <f t="shared" ref="AR3:AR53" si="1">SUMIF(AD3:AJ3,"Yes", B3:H3)</f>
        <v>0</v>
      </c>
      <c r="AS3" s="99" t="e">
        <f t="shared" ref="AS3:AS53" si="2">SUMIF(AD3:AJ3,"No", B3:H3)</f>
        <v>#REF!</v>
      </c>
      <c r="AT3" s="99" t="e">
        <f t="shared" ref="AT3:AT53" si="3">SUM(AR3:AS3)</f>
        <v>#REF!</v>
      </c>
      <c r="AU3" s="99" t="e">
        <f t="shared" ref="AU3:AU53" si="4">SUM(I3:O3)</f>
        <v>#REF!</v>
      </c>
      <c r="AV3" s="99" t="e">
        <f t="shared" ref="AV3:AV56" si="5">SUM(P3:V3)</f>
        <v>#REF!</v>
      </c>
      <c r="AW3" s="99" t="e">
        <f t="shared" ref="AW3:AW56" si="6">SUM(W3:AC3)</f>
        <v>#REF!</v>
      </c>
      <c r="AX3" s="99">
        <f t="shared" ref="AX3:AX53" si="7">SUMIF(AD3:AJ3,"Yes", AK3:AQ3)</f>
        <v>0</v>
      </c>
      <c r="AY3" s="99">
        <f t="shared" ref="AY3:AY53" si="8">SUMIF(AD3:AJ3,"No", AK3:AQ3)</f>
        <v>31625885.25</v>
      </c>
      <c r="AZ3" s="99">
        <f t="shared" ref="AZ3:AZ53" si="9">SUM(AK3:AQ3)</f>
        <v>31625885.25</v>
      </c>
      <c r="BA3" s="100" t="e">
        <f t="shared" ref="BA3:BC3" si="10">(AT3/$AZ3)*100000000</f>
        <v>#REF!</v>
      </c>
      <c r="BB3" s="100" t="e">
        <f t="shared" si="10"/>
        <v>#REF!</v>
      </c>
      <c r="BC3" s="100" t="e">
        <f t="shared" si="10"/>
        <v>#REF!</v>
      </c>
    </row>
    <row r="4" spans="1:55" ht="12">
      <c r="A4" s="91" t="s">
        <v>157</v>
      </c>
      <c r="B4" s="92" t="e">
        <f>SUMPRODUCT((Data!$C$2:$C55=$A4)*(Data!#REF!=B$2)*(Data!$A$2:$A55&lt;42217))</f>
        <v>#REF!</v>
      </c>
      <c r="C4" s="92" t="e">
        <f>SUMPRODUCT((Data!$C$2:$C55=$A4)*(Data!#REF!=C$2)*(Data!$A$2:$A55&lt;42217))</f>
        <v>#REF!</v>
      </c>
      <c r="D4" s="92" t="e">
        <f>SUMPRODUCT((Data!$C$2:$C55=$A4)*(Data!#REF!=D$2)*(Data!$A$2:$A55&lt;42217))</f>
        <v>#REF!</v>
      </c>
      <c r="E4" s="92" t="e">
        <f>SUMPRODUCT((Data!$C$2:$C55=$A4)*(Data!#REF!=E$2)*(Data!$A$2:$A55&lt;42217))</f>
        <v>#REF!</v>
      </c>
      <c r="F4" s="92" t="e">
        <f>SUMPRODUCT((Data!$C$2:$C55=$A4)*(Data!#REF!=F$2)*(Data!$A$2:$A55&lt;42217))</f>
        <v>#REF!</v>
      </c>
      <c r="G4" s="92" t="e">
        <f>SUMPRODUCT((Data!$C$2:$C55=$A4)*(Data!#REF!=G$2)*(Data!$A$2:$A55&lt;42217))</f>
        <v>#REF!</v>
      </c>
      <c r="H4" s="92" t="e">
        <f>SUMPRODUCT((Data!$C$2:$C55=$A4)*(Data!#REF!=H$2)*(Data!$A$2:$A55&lt;42217))</f>
        <v>#REF!</v>
      </c>
      <c r="I4" s="93" t="e">
        <f>SUMPRODUCT((Data!$C$2:$C55=$A4)*(Data!#REF!=I$2)*(Data!$AI$2:$AI55="Yes")*(Data!$A$2:$A55&lt;42217))</f>
        <v>#REF!</v>
      </c>
      <c r="J4" s="93" t="e">
        <f>SUMPRODUCT((Data!$C$2:$C55=$A4)*(Data!#REF!=J$2)*(Data!$AI$2:$AI55="Yes")*(Data!$A$2:$A55&lt;42217))</f>
        <v>#REF!</v>
      </c>
      <c r="K4" s="93" t="e">
        <f>SUMPRODUCT((Data!$C$2:$C55=$A4)*(Data!#REF!=K$2)*(Data!$AI$2:$AI55="Yes")*(Data!$A$2:$A55&lt;42217))</f>
        <v>#REF!</v>
      </c>
      <c r="L4" s="93" t="e">
        <f>SUMPRODUCT((Data!$C$2:$C55=$A4)*(Data!#REF!=L$2)*(Data!$AI$2:$AI55="Yes")*(Data!$A$2:$A55&lt;42217))</f>
        <v>#REF!</v>
      </c>
      <c r="M4" s="93" t="e">
        <f>SUMPRODUCT((Data!$C$2:$C55=$A4)*(Data!#REF!=M$2)*(Data!$AI$2:$AI55="Yes")*(Data!$A$2:$A55&lt;42217))</f>
        <v>#REF!</v>
      </c>
      <c r="N4" s="93" t="e">
        <f>SUMPRODUCT((Data!$C$2:$C55=$A4)*(Data!#REF!=N$2)*(Data!$AI$2:$AI55="Yes")*(Data!$A$2:$A55&lt;42217))</f>
        <v>#REF!</v>
      </c>
      <c r="O4" s="93" t="e">
        <f>SUMPRODUCT((Data!$C$2:$C55=$A4)*(Data!#REF!=O$2)*(Data!$AI$2:$AI55="Yes")*(Data!$A$2:$A55&lt;42217))</f>
        <v>#REF!</v>
      </c>
      <c r="P4" s="94" t="e">
        <f>SUMPRODUCT((Data!$C$2:$C55=$A4)*(Data!#REF!=P$2)*(Data!$AA$2:$AA55="Yes")*(Data!$A$2:$A55&lt;42217))</f>
        <v>#REF!</v>
      </c>
      <c r="Q4" s="94" t="e">
        <f>SUMPRODUCT((Data!$C$2:$C55=$A4)*(Data!#REF!=Q$2)*(Data!$AA$2:$AA55="Yes")*(Data!$A$2:$A55&lt;42217))</f>
        <v>#REF!</v>
      </c>
      <c r="R4" s="94" t="e">
        <f>SUMPRODUCT((Data!$C$2:$C55=$A4)*(Data!#REF!=R$2)*(Data!$AA$2:$AA55="Yes")*(Data!$A$2:$A55&lt;42217))</f>
        <v>#REF!</v>
      </c>
      <c r="S4" s="94" t="e">
        <f>SUMPRODUCT((Data!$C$2:$C55=$A4)*(Data!#REF!=S$2)*(Data!$AA$2:$AA55="Yes")*(Data!$A$2:$A55&lt;42217))</f>
        <v>#REF!</v>
      </c>
      <c r="T4" s="94" t="e">
        <f>SUMPRODUCT((Data!$C$2:$C55=$A4)*(Data!#REF!=T$2)*(Data!$AA$2:$AA55="Yes")*(Data!$A$2:$A55&lt;42217))</f>
        <v>#REF!</v>
      </c>
      <c r="U4" s="94" t="e">
        <f>SUMPRODUCT((Data!$C$2:$C55=$A4)*(Data!#REF!=U$2)*(Data!$AA$2:$AA55="Yes")*(Data!$A$2:$A55&lt;42217))</f>
        <v>#REF!</v>
      </c>
      <c r="V4" s="94" t="e">
        <f>SUMPRODUCT((Data!$C$2:$C55=$A4)*(Data!#REF!=V$2)*(Data!$AA$2:$AA55="Yes")*(Data!$A$2:$A55&lt;42217))</f>
        <v>#REF!</v>
      </c>
      <c r="W4" s="95" t="e">
        <f>SUMPRODUCT((Data!$C$2:$C55=$A4)*(Data!#REF!=W$2)*(Data!$AA$2:$AA55="No")*(Data!$A$2:$A55&lt;42217))</f>
        <v>#REF!</v>
      </c>
      <c r="X4" s="95" t="e">
        <f>SUMPRODUCT((Data!$C$2:$C55=$A4)*(Data!#REF!=X$2)*(Data!$AA$2:$AA55="No")*(Data!$A$2:$A55&lt;42217))</f>
        <v>#REF!</v>
      </c>
      <c r="Y4" s="95" t="e">
        <f>SUMPRODUCT((Data!$C$2:$C55=$A4)*(Data!#REF!=Y$2)*(Data!$AA$2:$AA55="No")*(Data!$A$2:$A55&lt;42217))</f>
        <v>#REF!</v>
      </c>
      <c r="Z4" s="95" t="e">
        <f>SUMPRODUCT((Data!$C$2:$C55=$A4)*(Data!#REF!=Z$2)*(Data!$AA$2:$AA55="No")*(Data!$A$2:$A55&lt;42217))</f>
        <v>#REF!</v>
      </c>
      <c r="AA4" s="95" t="e">
        <f>SUMPRODUCT((Data!$C$2:$C55=$A4)*(Data!#REF!=AA$2)*(Data!$AA$2:$AA55="No")*(Data!$A$2:$A55&lt;42217))</f>
        <v>#REF!</v>
      </c>
      <c r="AB4" s="95" t="e">
        <f>SUMPRODUCT((Data!$C$2:$C55=$A4)*(Data!#REF!=AB$2)*(Data!$AA$2:$AA55="No")*(Data!$A$2:$A55&lt;42217))</f>
        <v>#REF!</v>
      </c>
      <c r="AC4" s="95" t="e">
        <f>SUMPRODUCT((Data!$C$2:$C55=$A4)*(Data!#REF!=AC$2)*(Data!$AA$2:$AA55="No")*(Data!$A$2:$A55&lt;42217))</f>
        <v>#REF!</v>
      </c>
      <c r="AD4" s="96" t="s">
        <v>17</v>
      </c>
      <c r="AE4" s="96" t="s">
        <v>17</v>
      </c>
      <c r="AF4" s="96" t="s">
        <v>17</v>
      </c>
      <c r="AG4" s="96" t="s">
        <v>17</v>
      </c>
      <c r="AH4" s="96" t="s">
        <v>17</v>
      </c>
      <c r="AI4" s="96" t="s">
        <v>17</v>
      </c>
      <c r="AJ4" s="96" t="s">
        <v>17</v>
      </c>
      <c r="AK4" s="97">
        <v>698473</v>
      </c>
      <c r="AL4" s="97">
        <v>713856</v>
      </c>
      <c r="AM4" s="97">
        <v>722572</v>
      </c>
      <c r="AN4" s="97">
        <v>731081</v>
      </c>
      <c r="AO4" s="97">
        <v>737259</v>
      </c>
      <c r="AP4" s="97">
        <v>736732</v>
      </c>
      <c r="AQ4" s="98">
        <f t="shared" si="0"/>
        <v>429760.33333333331</v>
      </c>
      <c r="AR4" s="99">
        <f t="shared" si="1"/>
        <v>0</v>
      </c>
      <c r="AS4" s="99" t="e">
        <f t="shared" si="2"/>
        <v>#REF!</v>
      </c>
      <c r="AT4" s="99" t="e">
        <f t="shared" si="3"/>
        <v>#REF!</v>
      </c>
      <c r="AU4" s="99" t="e">
        <f t="shared" si="4"/>
        <v>#REF!</v>
      </c>
      <c r="AV4" s="99" t="e">
        <f t="shared" si="5"/>
        <v>#REF!</v>
      </c>
      <c r="AW4" s="99" t="e">
        <f t="shared" si="6"/>
        <v>#REF!</v>
      </c>
      <c r="AX4" s="99">
        <f t="shared" si="7"/>
        <v>0</v>
      </c>
      <c r="AY4" s="99">
        <f t="shared" si="8"/>
        <v>4769733.333333333</v>
      </c>
      <c r="AZ4" s="99">
        <f t="shared" si="9"/>
        <v>4769733.333333333</v>
      </c>
      <c r="BA4" s="100" t="e">
        <f t="shared" ref="BA4:BC4" si="11">(AT4/$AZ4)*100000000</f>
        <v>#REF!</v>
      </c>
      <c r="BB4" s="100" t="e">
        <f t="shared" si="11"/>
        <v>#REF!</v>
      </c>
      <c r="BC4" s="100" t="e">
        <f t="shared" si="11"/>
        <v>#REF!</v>
      </c>
    </row>
    <row r="5" spans="1:55" ht="12">
      <c r="A5" s="91" t="s">
        <v>87</v>
      </c>
      <c r="B5" s="92" t="e">
        <f>SUMPRODUCT((Data!$C$2:$C55=$A5)*(Data!#REF!=B$2)*(Data!$A$2:$A55&lt;42217))</f>
        <v>#REF!</v>
      </c>
      <c r="C5" s="92" t="e">
        <f>SUMPRODUCT((Data!$C$2:$C55=$A5)*(Data!#REF!=C$2)*(Data!$A$2:$A55&lt;42217))</f>
        <v>#REF!</v>
      </c>
      <c r="D5" s="92" t="e">
        <f>SUMPRODUCT((Data!$C$2:$C55=$A5)*(Data!#REF!=D$2)*(Data!$A$2:$A55&lt;42217))</f>
        <v>#REF!</v>
      </c>
      <c r="E5" s="92" t="e">
        <f>SUMPRODUCT((Data!$C$2:$C55=$A5)*(Data!#REF!=E$2)*(Data!$A$2:$A55&lt;42217))</f>
        <v>#REF!</v>
      </c>
      <c r="F5" s="92" t="e">
        <f>SUMPRODUCT((Data!$C$2:$C55=$A5)*(Data!#REF!=F$2)*(Data!$A$2:$A55&lt;42217))</f>
        <v>#REF!</v>
      </c>
      <c r="G5" s="92" t="e">
        <f>SUMPRODUCT((Data!$C$2:$C55=$A5)*(Data!#REF!=G$2)*(Data!$A$2:$A55&lt;42217))</f>
        <v>#REF!</v>
      </c>
      <c r="H5" s="92" t="e">
        <f>SUMPRODUCT((Data!$C$2:$C55=$A5)*(Data!#REF!=H$2)*(Data!$A$2:$A55&lt;42217))</f>
        <v>#REF!</v>
      </c>
      <c r="I5" s="93" t="e">
        <f>SUMPRODUCT((Data!$C$2:$C55=$A5)*(Data!#REF!=I$2)*(Data!$AI$2:$AI55="Yes")*(Data!$A$2:$A55&lt;42217))</f>
        <v>#REF!</v>
      </c>
      <c r="J5" s="93" t="e">
        <f>SUMPRODUCT((Data!$C$2:$C55=$A5)*(Data!#REF!=J$2)*(Data!$AI$2:$AI55="Yes")*(Data!$A$2:$A55&lt;42217))</f>
        <v>#REF!</v>
      </c>
      <c r="K5" s="93" t="e">
        <f>SUMPRODUCT((Data!$C$2:$C55=$A5)*(Data!#REF!=K$2)*(Data!$AI$2:$AI55="Yes")*(Data!$A$2:$A55&lt;42217))</f>
        <v>#REF!</v>
      </c>
      <c r="L5" s="93" t="e">
        <f>SUMPRODUCT((Data!$C$2:$C55=$A5)*(Data!#REF!=L$2)*(Data!$AI$2:$AI55="Yes")*(Data!$A$2:$A55&lt;42217))</f>
        <v>#REF!</v>
      </c>
      <c r="M5" s="93" t="e">
        <f>SUMPRODUCT((Data!$C$2:$C55=$A5)*(Data!#REF!=M$2)*(Data!$AI$2:$AI55="Yes")*(Data!$A$2:$A55&lt;42217))</f>
        <v>#REF!</v>
      </c>
      <c r="N5" s="93" t="e">
        <f>SUMPRODUCT((Data!$C$2:$C55=$A5)*(Data!#REF!=N$2)*(Data!$AI$2:$AI55="Yes")*(Data!$A$2:$A55&lt;42217))</f>
        <v>#REF!</v>
      </c>
      <c r="O5" s="93" t="e">
        <f>SUMPRODUCT((Data!$C$2:$C55=$A5)*(Data!#REF!=O$2)*(Data!$AI$2:$AI55="Yes")*(Data!$A$2:$A55&lt;42217))</f>
        <v>#REF!</v>
      </c>
      <c r="P5" s="94" t="e">
        <f>SUMPRODUCT((Data!$C$2:$C55=$A5)*(Data!#REF!=P$2)*(Data!$AA$2:$AA55="Yes")*(Data!$A$2:$A55&lt;42217))</f>
        <v>#REF!</v>
      </c>
      <c r="Q5" s="94" t="e">
        <f>SUMPRODUCT((Data!$C$2:$C55=$A5)*(Data!#REF!=Q$2)*(Data!$AA$2:$AA55="Yes")*(Data!$A$2:$A55&lt;42217))</f>
        <v>#REF!</v>
      </c>
      <c r="R5" s="94" t="e">
        <f>SUMPRODUCT((Data!$C$2:$C55=$A5)*(Data!#REF!=R$2)*(Data!$AA$2:$AA55="Yes")*(Data!$A$2:$A55&lt;42217))</f>
        <v>#REF!</v>
      </c>
      <c r="S5" s="94" t="e">
        <f>SUMPRODUCT((Data!$C$2:$C55=$A5)*(Data!#REF!=S$2)*(Data!$AA$2:$AA55="Yes")*(Data!$A$2:$A55&lt;42217))</f>
        <v>#REF!</v>
      </c>
      <c r="T5" s="94" t="e">
        <f>SUMPRODUCT((Data!$C$2:$C55=$A5)*(Data!#REF!=T$2)*(Data!$AA$2:$AA55="Yes")*(Data!$A$2:$A55&lt;42217))</f>
        <v>#REF!</v>
      </c>
      <c r="U5" s="94" t="e">
        <f>SUMPRODUCT((Data!$C$2:$C55=$A5)*(Data!#REF!=U$2)*(Data!$AA$2:$AA55="Yes")*(Data!$A$2:$A55&lt;42217))</f>
        <v>#REF!</v>
      </c>
      <c r="V5" s="94" t="e">
        <f>SUMPRODUCT((Data!$C$2:$C55=$A5)*(Data!#REF!=V$2)*(Data!$AA$2:$AA55="Yes")*(Data!$A$2:$A55&lt;42217))</f>
        <v>#REF!</v>
      </c>
      <c r="W5" s="95" t="e">
        <f>SUMPRODUCT((Data!$C$2:$C55=$A5)*(Data!#REF!=W$2)*(Data!$AA$2:$AA55="No")*(Data!$A$2:$A55&lt;42217))</f>
        <v>#REF!</v>
      </c>
      <c r="X5" s="95" t="e">
        <f>SUMPRODUCT((Data!$C$2:$C55=$A5)*(Data!#REF!=X$2)*(Data!$AA$2:$AA55="No")*(Data!$A$2:$A55&lt;42217))</f>
        <v>#REF!</v>
      </c>
      <c r="Y5" s="95" t="e">
        <f>SUMPRODUCT((Data!$C$2:$C55=$A5)*(Data!#REF!=Y$2)*(Data!$AA$2:$AA55="No")*(Data!$A$2:$A55&lt;42217))</f>
        <v>#REF!</v>
      </c>
      <c r="Z5" s="95" t="e">
        <f>SUMPRODUCT((Data!$C$2:$C55=$A5)*(Data!#REF!=Z$2)*(Data!$AA$2:$AA55="No")*(Data!$A$2:$A55&lt;42217))</f>
        <v>#REF!</v>
      </c>
      <c r="AA5" s="95" t="e">
        <f>SUMPRODUCT((Data!$C$2:$C55=$A5)*(Data!#REF!=AA$2)*(Data!$AA$2:$AA55="No")*(Data!$A$2:$A55&lt;42217))</f>
        <v>#REF!</v>
      </c>
      <c r="AB5" s="95" t="e">
        <f>SUMPRODUCT((Data!$C$2:$C55=$A5)*(Data!#REF!=AB$2)*(Data!$AA$2:$AA55="No")*(Data!$A$2:$A55&lt;42217))</f>
        <v>#REF!</v>
      </c>
      <c r="AC5" s="95" t="e">
        <f>SUMPRODUCT((Data!$C$2:$C55=$A5)*(Data!#REF!=AC$2)*(Data!$AA$2:$AA55="No")*(Data!$A$2:$A55&lt;42217))</f>
        <v>#REF!</v>
      </c>
      <c r="AD5" s="96" t="s">
        <v>17</v>
      </c>
      <c r="AE5" s="96" t="s">
        <v>17</v>
      </c>
      <c r="AF5" s="96" t="s">
        <v>17</v>
      </c>
      <c r="AG5" s="96" t="s">
        <v>17</v>
      </c>
      <c r="AH5" s="96" t="s">
        <v>17</v>
      </c>
      <c r="AI5" s="96" t="s">
        <v>17</v>
      </c>
      <c r="AJ5" s="96" t="s">
        <v>17</v>
      </c>
      <c r="AK5" s="97">
        <v>6595778</v>
      </c>
      <c r="AL5" s="97">
        <v>6411999</v>
      </c>
      <c r="AM5" s="97">
        <v>6472867</v>
      </c>
      <c r="AN5" s="97">
        <v>6556236</v>
      </c>
      <c r="AO5" s="97">
        <v>6634997</v>
      </c>
      <c r="AP5" s="97">
        <v>6731484</v>
      </c>
      <c r="AQ5" s="98">
        <f t="shared" si="0"/>
        <v>3926699</v>
      </c>
      <c r="AR5" s="99">
        <f t="shared" si="1"/>
        <v>0</v>
      </c>
      <c r="AS5" s="99" t="e">
        <f t="shared" si="2"/>
        <v>#REF!</v>
      </c>
      <c r="AT5" s="99" t="e">
        <f t="shared" si="3"/>
        <v>#REF!</v>
      </c>
      <c r="AU5" s="99" t="e">
        <f t="shared" si="4"/>
        <v>#REF!</v>
      </c>
      <c r="AV5" s="99" t="e">
        <f t="shared" si="5"/>
        <v>#REF!</v>
      </c>
      <c r="AW5" s="99" t="e">
        <f t="shared" si="6"/>
        <v>#REF!</v>
      </c>
      <c r="AX5" s="99">
        <f t="shared" si="7"/>
        <v>0</v>
      </c>
      <c r="AY5" s="99">
        <f t="shared" si="8"/>
        <v>43330060</v>
      </c>
      <c r="AZ5" s="99">
        <f t="shared" si="9"/>
        <v>43330060</v>
      </c>
      <c r="BA5" s="100" t="e">
        <f t="shared" ref="BA5:BC5" si="12">(AT5/$AZ5)*100000000</f>
        <v>#REF!</v>
      </c>
      <c r="BB5" s="100" t="e">
        <f t="shared" si="12"/>
        <v>#REF!</v>
      </c>
      <c r="BC5" s="100" t="e">
        <f t="shared" si="12"/>
        <v>#REF!</v>
      </c>
    </row>
    <row r="6" spans="1:55" ht="12">
      <c r="A6" s="91" t="s">
        <v>83</v>
      </c>
      <c r="B6" s="92" t="e">
        <f>SUMPRODUCT((Data!$C$2:$C55=$A6)*(Data!#REF!=B$2)*(Data!$A$2:$A55&lt;42217))</f>
        <v>#REF!</v>
      </c>
      <c r="C6" s="92" t="e">
        <f>SUMPRODUCT((Data!$C$2:$C55=$A6)*(Data!#REF!=C$2)*(Data!$A$2:$A55&lt;42217))</f>
        <v>#REF!</v>
      </c>
      <c r="D6" s="92" t="e">
        <f>SUMPRODUCT((Data!$C$2:$C55=$A6)*(Data!#REF!=D$2)*(Data!$A$2:$A55&lt;42217))</f>
        <v>#REF!</v>
      </c>
      <c r="E6" s="92" t="e">
        <f>SUMPRODUCT((Data!$C$2:$C55=$A6)*(Data!#REF!=E$2)*(Data!$A$2:$A55&lt;42217))</f>
        <v>#REF!</v>
      </c>
      <c r="F6" s="92" t="e">
        <f>SUMPRODUCT((Data!$C$2:$C55=$A6)*(Data!#REF!=F$2)*(Data!$A$2:$A55&lt;42217))</f>
        <v>#REF!</v>
      </c>
      <c r="G6" s="92" t="e">
        <f>SUMPRODUCT((Data!$C$2:$C55=$A6)*(Data!#REF!=G$2)*(Data!$A$2:$A55&lt;42217))</f>
        <v>#REF!</v>
      </c>
      <c r="H6" s="92" t="e">
        <f>SUMPRODUCT((Data!$C$2:$C55=$A6)*(Data!#REF!=H$2)*(Data!$A$2:$A55&lt;42217))</f>
        <v>#REF!</v>
      </c>
      <c r="I6" s="93" t="e">
        <f>SUMPRODUCT((Data!$C$2:$C55=$A6)*(Data!#REF!=I$2)*(Data!$AI$2:$AI55="Yes")*(Data!$A$2:$A55&lt;42217))</f>
        <v>#REF!</v>
      </c>
      <c r="J6" s="93" t="e">
        <f>SUMPRODUCT((Data!$C$2:$C55=$A6)*(Data!#REF!=J$2)*(Data!$AI$2:$AI55="Yes")*(Data!$A$2:$A55&lt;42217))</f>
        <v>#REF!</v>
      </c>
      <c r="K6" s="93" t="e">
        <f>SUMPRODUCT((Data!$C$2:$C55=$A6)*(Data!#REF!=K$2)*(Data!$AI$2:$AI55="Yes")*(Data!$A$2:$A55&lt;42217))</f>
        <v>#REF!</v>
      </c>
      <c r="L6" s="93" t="e">
        <f>SUMPRODUCT((Data!$C$2:$C55=$A6)*(Data!#REF!=L$2)*(Data!$AI$2:$AI55="Yes")*(Data!$A$2:$A55&lt;42217))</f>
        <v>#REF!</v>
      </c>
      <c r="M6" s="93" t="e">
        <f>SUMPRODUCT((Data!$C$2:$C55=$A6)*(Data!#REF!=M$2)*(Data!$AI$2:$AI55="Yes")*(Data!$A$2:$A55&lt;42217))</f>
        <v>#REF!</v>
      </c>
      <c r="N6" s="93" t="e">
        <f>SUMPRODUCT((Data!$C$2:$C55=$A6)*(Data!#REF!=N$2)*(Data!$AI$2:$AI55="Yes")*(Data!$A$2:$A55&lt;42217))</f>
        <v>#REF!</v>
      </c>
      <c r="O6" s="93" t="e">
        <f>SUMPRODUCT((Data!$C$2:$C55=$A6)*(Data!#REF!=O$2)*(Data!$AI$2:$AI55="Yes")*(Data!$A$2:$A55&lt;42217))</f>
        <v>#REF!</v>
      </c>
      <c r="P6" s="94" t="e">
        <f>SUMPRODUCT((Data!$C$2:$C55=$A6)*(Data!#REF!=P$2)*(Data!$AA$2:$AA55="Yes")*(Data!$A$2:$A55&lt;42217))</f>
        <v>#REF!</v>
      </c>
      <c r="Q6" s="94" t="e">
        <f>SUMPRODUCT((Data!$C$2:$C55=$A6)*(Data!#REF!=Q$2)*(Data!$AA$2:$AA55="Yes")*(Data!$A$2:$A55&lt;42217))</f>
        <v>#REF!</v>
      </c>
      <c r="R6" s="94" t="e">
        <f>SUMPRODUCT((Data!$C$2:$C55=$A6)*(Data!#REF!=R$2)*(Data!$AA$2:$AA55="Yes")*(Data!$A$2:$A55&lt;42217))</f>
        <v>#REF!</v>
      </c>
      <c r="S6" s="94" t="e">
        <f>SUMPRODUCT((Data!$C$2:$C55=$A6)*(Data!#REF!=S$2)*(Data!$AA$2:$AA55="Yes")*(Data!$A$2:$A55&lt;42217))</f>
        <v>#REF!</v>
      </c>
      <c r="T6" s="94" t="e">
        <f>SUMPRODUCT((Data!$C$2:$C55=$A6)*(Data!#REF!=T$2)*(Data!$AA$2:$AA55="Yes")*(Data!$A$2:$A55&lt;42217))</f>
        <v>#REF!</v>
      </c>
      <c r="U6" s="94" t="e">
        <f>SUMPRODUCT((Data!$C$2:$C55=$A6)*(Data!#REF!=U$2)*(Data!$AA$2:$AA55="Yes")*(Data!$A$2:$A55&lt;42217))</f>
        <v>#REF!</v>
      </c>
      <c r="V6" s="94" t="e">
        <f>SUMPRODUCT((Data!$C$2:$C55=$A6)*(Data!#REF!=V$2)*(Data!$AA$2:$AA55="Yes")*(Data!$A$2:$A55&lt;42217))</f>
        <v>#REF!</v>
      </c>
      <c r="W6" s="95" t="e">
        <f>SUMPRODUCT((Data!$C$2:$C55=$A6)*(Data!#REF!=W$2)*(Data!$AA$2:$AA55="No")*(Data!$A$2:$A55&lt;42217))</f>
        <v>#REF!</v>
      </c>
      <c r="X6" s="95" t="e">
        <f>SUMPRODUCT((Data!$C$2:$C55=$A6)*(Data!#REF!=X$2)*(Data!$AA$2:$AA55="No")*(Data!$A$2:$A55&lt;42217))</f>
        <v>#REF!</v>
      </c>
      <c r="Y6" s="95" t="e">
        <f>SUMPRODUCT((Data!$C$2:$C55=$A6)*(Data!#REF!=Y$2)*(Data!$AA$2:$AA55="No")*(Data!$A$2:$A55&lt;42217))</f>
        <v>#REF!</v>
      </c>
      <c r="Z6" s="95" t="e">
        <f>SUMPRODUCT((Data!$C$2:$C55=$A6)*(Data!#REF!=Z$2)*(Data!$AA$2:$AA55="No")*(Data!$A$2:$A55&lt;42217))</f>
        <v>#REF!</v>
      </c>
      <c r="AA6" s="95" t="e">
        <f>SUMPRODUCT((Data!$C$2:$C55=$A6)*(Data!#REF!=AA$2)*(Data!$AA$2:$AA55="No")*(Data!$A$2:$A55&lt;42217))</f>
        <v>#REF!</v>
      </c>
      <c r="AB6" s="95" t="e">
        <f>SUMPRODUCT((Data!$C$2:$C55=$A6)*(Data!#REF!=AB$2)*(Data!$AA$2:$AA55="No")*(Data!$A$2:$A55&lt;42217))</f>
        <v>#REF!</v>
      </c>
      <c r="AC6" s="95" t="e">
        <f>SUMPRODUCT((Data!$C$2:$C55=$A6)*(Data!#REF!=AC$2)*(Data!$AA$2:$AA55="No")*(Data!$A$2:$A55&lt;42217))</f>
        <v>#REF!</v>
      </c>
      <c r="AD6" s="96" t="s">
        <v>17</v>
      </c>
      <c r="AE6" s="96" t="s">
        <v>17</v>
      </c>
      <c r="AF6" s="96" t="s">
        <v>17</v>
      </c>
      <c r="AG6" s="96" t="s">
        <v>17</v>
      </c>
      <c r="AH6" s="96" t="s">
        <v>17</v>
      </c>
      <c r="AI6" s="96" t="s">
        <v>17</v>
      </c>
      <c r="AJ6" s="96" t="s">
        <v>17</v>
      </c>
      <c r="AK6" s="97">
        <v>2889450</v>
      </c>
      <c r="AL6" s="97">
        <v>2922297</v>
      </c>
      <c r="AM6" s="97">
        <v>2938430</v>
      </c>
      <c r="AN6" s="97">
        <v>2949300</v>
      </c>
      <c r="AO6" s="97">
        <v>2958765</v>
      </c>
      <c r="AP6" s="97">
        <v>2966369</v>
      </c>
      <c r="AQ6" s="98">
        <f t="shared" si="0"/>
        <v>1730381.9166666667</v>
      </c>
      <c r="AR6" s="99">
        <f t="shared" si="1"/>
        <v>0</v>
      </c>
      <c r="AS6" s="99" t="e">
        <f t="shared" si="2"/>
        <v>#REF!</v>
      </c>
      <c r="AT6" s="99" t="e">
        <f t="shared" si="3"/>
        <v>#REF!</v>
      </c>
      <c r="AU6" s="99" t="e">
        <f t="shared" si="4"/>
        <v>#REF!</v>
      </c>
      <c r="AV6" s="99" t="e">
        <f t="shared" si="5"/>
        <v>#REF!</v>
      </c>
      <c r="AW6" s="99" t="e">
        <f t="shared" si="6"/>
        <v>#REF!</v>
      </c>
      <c r="AX6" s="99">
        <f t="shared" si="7"/>
        <v>0</v>
      </c>
      <c r="AY6" s="99">
        <f t="shared" si="8"/>
        <v>19354992.916666668</v>
      </c>
      <c r="AZ6" s="99">
        <f t="shared" si="9"/>
        <v>19354992.916666668</v>
      </c>
      <c r="BA6" s="100" t="e">
        <f t="shared" ref="BA6:BC6" si="13">(AT6/$AZ6)*100000000</f>
        <v>#REF!</v>
      </c>
      <c r="BB6" s="100" t="e">
        <f t="shared" si="13"/>
        <v>#REF!</v>
      </c>
      <c r="BC6" s="100" t="e">
        <f t="shared" si="13"/>
        <v>#REF!</v>
      </c>
    </row>
    <row r="7" spans="1:55" ht="12">
      <c r="A7" s="91" t="s">
        <v>10</v>
      </c>
      <c r="B7" s="92" t="e">
        <f>SUMPRODUCT((Data!$C$2:$C55=$A7)*(Data!#REF!=B$2)*(Data!$A$2:$A55&lt;42217))</f>
        <v>#REF!</v>
      </c>
      <c r="C7" s="92" t="e">
        <f>SUMPRODUCT((Data!$C$2:$C55=$A7)*(Data!#REF!=C$2)*(Data!$A$2:$A55&lt;42217))</f>
        <v>#REF!</v>
      </c>
      <c r="D7" s="92" t="e">
        <f>SUMPRODUCT((Data!$C$2:$C55=$A7)*(Data!#REF!=D$2)*(Data!$A$2:$A55&lt;42217))</f>
        <v>#REF!</v>
      </c>
      <c r="E7" s="92" t="e">
        <f>SUMPRODUCT((Data!$C$2:$C55=$A7)*(Data!#REF!=E$2)*(Data!$A$2:$A55&lt;42217))</f>
        <v>#REF!</v>
      </c>
      <c r="F7" s="92" t="e">
        <f>SUMPRODUCT((Data!$C$2:$C55=$A7)*(Data!#REF!=F$2)*(Data!$A$2:$A55&lt;42217))</f>
        <v>#REF!</v>
      </c>
      <c r="G7" s="92" t="e">
        <f>SUMPRODUCT((Data!$C$2:$C55=$A7)*(Data!#REF!=G$2)*(Data!$A$2:$A55&lt;42217))</f>
        <v>#REF!</v>
      </c>
      <c r="H7" s="92" t="e">
        <f>SUMPRODUCT((Data!$C$2:$C55=$A7)*(Data!#REF!=H$2)*(Data!$A$2:$A55&lt;42217))</f>
        <v>#REF!</v>
      </c>
      <c r="I7" s="93" t="e">
        <f>SUMPRODUCT((Data!$C$2:$C55=$A7)*(Data!#REF!=I$2)*(Data!$AI$2:$AI55="Yes")*(Data!$A$2:$A55&lt;42217))</f>
        <v>#REF!</v>
      </c>
      <c r="J7" s="93" t="e">
        <f>SUMPRODUCT((Data!$C$2:$C55=$A7)*(Data!#REF!=J$2)*(Data!$AI$2:$AI55="Yes")*(Data!$A$2:$A55&lt;42217))</f>
        <v>#REF!</v>
      </c>
      <c r="K7" s="93" t="e">
        <f>SUMPRODUCT((Data!$C$2:$C55=$A7)*(Data!#REF!=K$2)*(Data!$AI$2:$AI55="Yes")*(Data!$A$2:$A55&lt;42217))</f>
        <v>#REF!</v>
      </c>
      <c r="L7" s="93" t="e">
        <f>SUMPRODUCT((Data!$C$2:$C55=$A7)*(Data!#REF!=L$2)*(Data!$AI$2:$AI55="Yes")*(Data!$A$2:$A55&lt;42217))</f>
        <v>#REF!</v>
      </c>
      <c r="M7" s="93" t="e">
        <f>SUMPRODUCT((Data!$C$2:$C55=$A7)*(Data!#REF!=M$2)*(Data!$AI$2:$AI55="Yes")*(Data!$A$2:$A55&lt;42217))</f>
        <v>#REF!</v>
      </c>
      <c r="N7" s="93" t="e">
        <f>SUMPRODUCT((Data!$C$2:$C55=$A7)*(Data!#REF!=N$2)*(Data!$AI$2:$AI55="Yes")*(Data!$A$2:$A55&lt;42217))</f>
        <v>#REF!</v>
      </c>
      <c r="O7" s="93" t="e">
        <f>SUMPRODUCT((Data!$C$2:$C55=$A7)*(Data!#REF!=O$2)*(Data!$AI$2:$AI55="Yes")*(Data!$A$2:$A55&lt;42217))</f>
        <v>#REF!</v>
      </c>
      <c r="P7" s="94" t="e">
        <f>SUMPRODUCT((Data!$C$2:$C55=$A7)*(Data!#REF!=P$2)*(Data!$AA$2:$AA55="Yes")*(Data!$A$2:$A55&lt;42217))</f>
        <v>#REF!</v>
      </c>
      <c r="Q7" s="94" t="e">
        <f>SUMPRODUCT((Data!$C$2:$C55=$A7)*(Data!#REF!=Q$2)*(Data!$AA$2:$AA55="Yes")*(Data!$A$2:$A55&lt;42217))</f>
        <v>#REF!</v>
      </c>
      <c r="R7" s="94" t="e">
        <f>SUMPRODUCT((Data!$C$2:$C55=$A7)*(Data!#REF!=R$2)*(Data!$AA$2:$AA55="Yes")*(Data!$A$2:$A55&lt;42217))</f>
        <v>#REF!</v>
      </c>
      <c r="S7" s="94" t="e">
        <f>SUMPRODUCT((Data!$C$2:$C55=$A7)*(Data!#REF!=S$2)*(Data!$AA$2:$AA55="Yes")*(Data!$A$2:$A55&lt;42217))</f>
        <v>#REF!</v>
      </c>
      <c r="T7" s="94" t="e">
        <f>SUMPRODUCT((Data!$C$2:$C55=$A7)*(Data!#REF!=T$2)*(Data!$AA$2:$AA55="Yes")*(Data!$A$2:$A55&lt;42217))</f>
        <v>#REF!</v>
      </c>
      <c r="U7" s="94" t="e">
        <f>SUMPRODUCT((Data!$C$2:$C55=$A7)*(Data!#REF!=U$2)*(Data!$AA$2:$AA55="Yes")*(Data!$A$2:$A55&lt;42217))</f>
        <v>#REF!</v>
      </c>
      <c r="V7" s="94" t="e">
        <f>SUMPRODUCT((Data!$C$2:$C55=$A7)*(Data!#REF!=V$2)*(Data!$AA$2:$AA55="Yes")*(Data!$A$2:$A55&lt;42217))</f>
        <v>#REF!</v>
      </c>
      <c r="W7" s="95" t="e">
        <f>SUMPRODUCT((Data!$C$2:$C55=$A7)*(Data!#REF!=W$2)*(Data!$AA$2:$AA55="No")*(Data!$A$2:$A55&lt;42217))</f>
        <v>#REF!</v>
      </c>
      <c r="X7" s="95" t="e">
        <f>SUMPRODUCT((Data!$C$2:$C55=$A7)*(Data!#REF!=X$2)*(Data!$AA$2:$AA55="No")*(Data!$A$2:$A55&lt;42217))</f>
        <v>#REF!</v>
      </c>
      <c r="Y7" s="95" t="e">
        <f>SUMPRODUCT((Data!$C$2:$C55=$A7)*(Data!#REF!=Y$2)*(Data!$AA$2:$AA55="No")*(Data!$A$2:$A55&lt;42217))</f>
        <v>#REF!</v>
      </c>
      <c r="Z7" s="95" t="e">
        <f>SUMPRODUCT((Data!$C$2:$C55=$A7)*(Data!#REF!=Z$2)*(Data!$AA$2:$AA55="No")*(Data!$A$2:$A55&lt;42217))</f>
        <v>#REF!</v>
      </c>
      <c r="AA7" s="95" t="e">
        <f>SUMPRODUCT((Data!$C$2:$C55=$A7)*(Data!#REF!=AA$2)*(Data!$AA$2:$AA55="No")*(Data!$A$2:$A55&lt;42217))</f>
        <v>#REF!</v>
      </c>
      <c r="AB7" s="95" t="e">
        <f>SUMPRODUCT((Data!$C$2:$C55=$A7)*(Data!#REF!=AB$2)*(Data!$AA$2:$AA55="No")*(Data!$A$2:$A55&lt;42217))</f>
        <v>#REF!</v>
      </c>
      <c r="AC7" s="95" t="e">
        <f>SUMPRODUCT((Data!$C$2:$C55=$A7)*(Data!#REF!=AC$2)*(Data!$AA$2:$AA55="No")*(Data!$A$2:$A55&lt;42217))</f>
        <v>#REF!</v>
      </c>
      <c r="AD7" s="96" t="s">
        <v>28</v>
      </c>
      <c r="AE7" s="96" t="s">
        <v>28</v>
      </c>
      <c r="AF7" s="96" t="s">
        <v>28</v>
      </c>
      <c r="AG7" s="96" t="s">
        <v>28</v>
      </c>
      <c r="AH7" s="96" t="s">
        <v>28</v>
      </c>
      <c r="AI7" s="96" t="s">
        <v>28</v>
      </c>
      <c r="AJ7" s="96" t="s">
        <v>28</v>
      </c>
      <c r="AK7" s="97">
        <v>36961664</v>
      </c>
      <c r="AL7" s="97">
        <v>37336011</v>
      </c>
      <c r="AM7" s="97">
        <v>37701901</v>
      </c>
      <c r="AN7" s="97">
        <v>38062780</v>
      </c>
      <c r="AO7" s="97">
        <v>38431393</v>
      </c>
      <c r="AP7" s="97">
        <v>38802500</v>
      </c>
      <c r="AQ7" s="98">
        <f t="shared" si="0"/>
        <v>22634791.666666668</v>
      </c>
      <c r="AR7" s="99" t="e">
        <f t="shared" si="1"/>
        <v>#REF!</v>
      </c>
      <c r="AS7" s="99">
        <f t="shared" si="2"/>
        <v>0</v>
      </c>
      <c r="AT7" s="99" t="e">
        <f t="shared" si="3"/>
        <v>#REF!</v>
      </c>
      <c r="AU7" s="99" t="e">
        <f t="shared" si="4"/>
        <v>#REF!</v>
      </c>
      <c r="AV7" s="99" t="e">
        <f t="shared" si="5"/>
        <v>#REF!</v>
      </c>
      <c r="AW7" s="99" t="e">
        <f t="shared" si="6"/>
        <v>#REF!</v>
      </c>
      <c r="AX7" s="99">
        <f t="shared" si="7"/>
        <v>249931040.66666666</v>
      </c>
      <c r="AY7" s="99">
        <f t="shared" si="8"/>
        <v>0</v>
      </c>
      <c r="AZ7" s="99">
        <f t="shared" si="9"/>
        <v>249931040.66666666</v>
      </c>
      <c r="BA7" s="100" t="e">
        <f t="shared" ref="BA7:BC7" si="14">(AT7/$AZ7)*100000000</f>
        <v>#REF!</v>
      </c>
      <c r="BB7" s="100" t="e">
        <f t="shared" si="14"/>
        <v>#REF!</v>
      </c>
      <c r="BC7" s="100" t="e">
        <f t="shared" si="14"/>
        <v>#REF!</v>
      </c>
    </row>
    <row r="8" spans="1:55" ht="12">
      <c r="A8" s="91" t="s">
        <v>152</v>
      </c>
      <c r="B8" s="92" t="e">
        <f>SUMPRODUCT((Data!$C$2:$C55=$A8)*(Data!#REF!=B$2)*(Data!$A$2:$A55&lt;42217))</f>
        <v>#REF!</v>
      </c>
      <c r="C8" s="92" t="e">
        <f>SUMPRODUCT((Data!$C$2:$C55=$A8)*(Data!#REF!=C$2)*(Data!$A$2:$A55&lt;42217))</f>
        <v>#REF!</v>
      </c>
      <c r="D8" s="92" t="e">
        <f>SUMPRODUCT((Data!$C$2:$C55=$A8)*(Data!#REF!=D$2)*(Data!$A$2:$A55&lt;42217))</f>
        <v>#REF!</v>
      </c>
      <c r="E8" s="92" t="e">
        <f>SUMPRODUCT((Data!$C$2:$C55=$A8)*(Data!#REF!=E$2)*(Data!$A$2:$A55&lt;42217))</f>
        <v>#REF!</v>
      </c>
      <c r="F8" s="92" t="e">
        <f>SUMPRODUCT((Data!$C$2:$C55=$A8)*(Data!#REF!=F$2)*(Data!$A$2:$A55&lt;42217))</f>
        <v>#REF!</v>
      </c>
      <c r="G8" s="92" t="e">
        <f>SUMPRODUCT((Data!$C$2:$C55=$A8)*(Data!#REF!=G$2)*(Data!$A$2:$A55&lt;42217))</f>
        <v>#REF!</v>
      </c>
      <c r="H8" s="92" t="e">
        <f>SUMPRODUCT((Data!$C$2:$C55=$A8)*(Data!#REF!=H$2)*(Data!$A$2:$A55&lt;42217))</f>
        <v>#REF!</v>
      </c>
      <c r="I8" s="93" t="e">
        <f>SUMPRODUCT((Data!$C$2:$C55=$A8)*(Data!#REF!=I$2)*(Data!$AI$2:$AI55="Yes")*(Data!$A$2:$A55&lt;42217))</f>
        <v>#REF!</v>
      </c>
      <c r="J8" s="93" t="e">
        <f>SUMPRODUCT((Data!$C$2:$C55=$A8)*(Data!#REF!=J$2)*(Data!$AI$2:$AI55="Yes")*(Data!$A$2:$A55&lt;42217))</f>
        <v>#REF!</v>
      </c>
      <c r="K8" s="93" t="e">
        <f>SUMPRODUCT((Data!$C$2:$C55=$A8)*(Data!#REF!=K$2)*(Data!$AI$2:$AI55="Yes")*(Data!$A$2:$A55&lt;42217))</f>
        <v>#REF!</v>
      </c>
      <c r="L8" s="93" t="e">
        <f>SUMPRODUCT((Data!$C$2:$C55=$A8)*(Data!#REF!=L$2)*(Data!$AI$2:$AI55="Yes")*(Data!$A$2:$A55&lt;42217))</f>
        <v>#REF!</v>
      </c>
      <c r="M8" s="93" t="e">
        <f>SUMPRODUCT((Data!$C$2:$C55=$A8)*(Data!#REF!=M$2)*(Data!$AI$2:$AI55="Yes")*(Data!$A$2:$A55&lt;42217))</f>
        <v>#REF!</v>
      </c>
      <c r="N8" s="93" t="e">
        <f>SUMPRODUCT((Data!$C$2:$C55=$A8)*(Data!#REF!=N$2)*(Data!$AI$2:$AI55="Yes")*(Data!$A$2:$A55&lt;42217))</f>
        <v>#REF!</v>
      </c>
      <c r="O8" s="93" t="e">
        <f>SUMPRODUCT((Data!$C$2:$C55=$A8)*(Data!#REF!=O$2)*(Data!$AI$2:$AI55="Yes")*(Data!$A$2:$A55&lt;42217))</f>
        <v>#REF!</v>
      </c>
      <c r="P8" s="94" t="e">
        <f>SUMPRODUCT((Data!$C$2:$C55=$A8)*(Data!#REF!=P$2)*(Data!$AA$2:$AA55="Yes")*(Data!$A$2:$A55&lt;42217))</f>
        <v>#REF!</v>
      </c>
      <c r="Q8" s="94" t="e">
        <f>SUMPRODUCT((Data!$C$2:$C55=$A8)*(Data!#REF!=Q$2)*(Data!$AA$2:$AA55="Yes")*(Data!$A$2:$A55&lt;42217))</f>
        <v>#REF!</v>
      </c>
      <c r="R8" s="94" t="e">
        <f>SUMPRODUCT((Data!$C$2:$C55=$A8)*(Data!#REF!=R$2)*(Data!$AA$2:$AA55="Yes")*(Data!$A$2:$A55&lt;42217))</f>
        <v>#REF!</v>
      </c>
      <c r="S8" s="94" t="e">
        <f>SUMPRODUCT((Data!$C$2:$C55=$A8)*(Data!#REF!=S$2)*(Data!$AA$2:$AA55="Yes")*(Data!$A$2:$A55&lt;42217))</f>
        <v>#REF!</v>
      </c>
      <c r="T8" s="94" t="e">
        <f>SUMPRODUCT((Data!$C$2:$C55=$A8)*(Data!#REF!=T$2)*(Data!$AA$2:$AA55="Yes")*(Data!$A$2:$A55&lt;42217))</f>
        <v>#REF!</v>
      </c>
      <c r="U8" s="94" t="e">
        <f>SUMPRODUCT((Data!$C$2:$C55=$A8)*(Data!#REF!=U$2)*(Data!$AA$2:$AA55="Yes")*(Data!$A$2:$A55&lt;42217))</f>
        <v>#REF!</v>
      </c>
      <c r="V8" s="94" t="e">
        <f>SUMPRODUCT((Data!$C$2:$C55=$A8)*(Data!#REF!=V$2)*(Data!$AA$2:$AA55="Yes")*(Data!$A$2:$A55&lt;42217))</f>
        <v>#REF!</v>
      </c>
      <c r="W8" s="95" t="e">
        <f>SUMPRODUCT((Data!$C$2:$C55=$A8)*(Data!#REF!=W$2)*(Data!$AA$2:$AA55="No")*(Data!$A$2:$A55&lt;42217))</f>
        <v>#REF!</v>
      </c>
      <c r="X8" s="95" t="e">
        <f>SUMPRODUCT((Data!$C$2:$C55=$A8)*(Data!#REF!=X$2)*(Data!$AA$2:$AA55="No")*(Data!$A$2:$A55&lt;42217))</f>
        <v>#REF!</v>
      </c>
      <c r="Y8" s="95" t="e">
        <f>SUMPRODUCT((Data!$C$2:$C55=$A8)*(Data!#REF!=Y$2)*(Data!$AA$2:$AA55="No")*(Data!$A$2:$A55&lt;42217))</f>
        <v>#REF!</v>
      </c>
      <c r="Z8" s="95" t="e">
        <f>SUMPRODUCT((Data!$C$2:$C55=$A8)*(Data!#REF!=Z$2)*(Data!$AA$2:$AA55="No")*(Data!$A$2:$A55&lt;42217))</f>
        <v>#REF!</v>
      </c>
      <c r="AA8" s="95" t="e">
        <f>SUMPRODUCT((Data!$C$2:$C55=$A8)*(Data!#REF!=AA$2)*(Data!$AA$2:$AA55="No")*(Data!$A$2:$A55&lt;42217))</f>
        <v>#REF!</v>
      </c>
      <c r="AB8" s="95" t="e">
        <f>SUMPRODUCT((Data!$C$2:$C55=$A8)*(Data!#REF!=AB$2)*(Data!$AA$2:$AA55="No")*(Data!$A$2:$A55&lt;42217))</f>
        <v>#REF!</v>
      </c>
      <c r="AC8" s="95" t="e">
        <f>SUMPRODUCT((Data!$C$2:$C55=$A8)*(Data!#REF!=AC$2)*(Data!$AA$2:$AA55="No")*(Data!$A$2:$A55&lt;42217))</f>
        <v>#REF!</v>
      </c>
      <c r="AD8" s="96" t="s">
        <v>17</v>
      </c>
      <c r="AE8" s="96" t="s">
        <v>17</v>
      </c>
      <c r="AF8" s="96" t="s">
        <v>17</v>
      </c>
      <c r="AG8" s="96" t="s">
        <v>17</v>
      </c>
      <c r="AH8" s="96" t="s">
        <v>28</v>
      </c>
      <c r="AI8" s="96" t="s">
        <v>28</v>
      </c>
      <c r="AJ8" s="96" t="s">
        <v>28</v>
      </c>
      <c r="AK8" s="97">
        <v>5024748</v>
      </c>
      <c r="AL8" s="97">
        <v>5048575</v>
      </c>
      <c r="AM8" s="97">
        <v>5119661</v>
      </c>
      <c r="AN8" s="97">
        <v>5191709</v>
      </c>
      <c r="AO8" s="97">
        <v>5272086</v>
      </c>
      <c r="AP8" s="97">
        <v>5355866</v>
      </c>
      <c r="AQ8" s="98">
        <f t="shared" si="0"/>
        <v>3124255.1666666665</v>
      </c>
      <c r="AR8" s="99" t="e">
        <f t="shared" si="1"/>
        <v>#REF!</v>
      </c>
      <c r="AS8" s="99" t="e">
        <f t="shared" si="2"/>
        <v>#REF!</v>
      </c>
      <c r="AT8" s="99" t="e">
        <f t="shared" si="3"/>
        <v>#REF!</v>
      </c>
      <c r="AU8" s="99" t="e">
        <f t="shared" si="4"/>
        <v>#REF!</v>
      </c>
      <c r="AV8" s="99" t="e">
        <f t="shared" si="5"/>
        <v>#REF!</v>
      </c>
      <c r="AW8" s="99" t="e">
        <f t="shared" si="6"/>
        <v>#REF!</v>
      </c>
      <c r="AX8" s="99">
        <f t="shared" si="7"/>
        <v>13752207.166666666</v>
      </c>
      <c r="AY8" s="99">
        <f t="shared" si="8"/>
        <v>20384693</v>
      </c>
      <c r="AZ8" s="99">
        <f t="shared" si="9"/>
        <v>34136900.166666664</v>
      </c>
      <c r="BA8" s="100" t="e">
        <f t="shared" ref="BA8:BC8" si="15">(AT8/$AZ8)*100000000</f>
        <v>#REF!</v>
      </c>
      <c r="BB8" s="100" t="e">
        <f t="shared" si="15"/>
        <v>#REF!</v>
      </c>
      <c r="BC8" s="100" t="e">
        <f t="shared" si="15"/>
        <v>#REF!</v>
      </c>
    </row>
    <row r="9" spans="1:55" ht="12">
      <c r="A9" s="91" t="s">
        <v>88</v>
      </c>
      <c r="B9" s="92" t="e">
        <f>SUMPRODUCT((Data!$C$2:$C55=$A9)*(Data!#REF!=B$2)*(Data!$A$2:$A55&lt;42217))</f>
        <v>#REF!</v>
      </c>
      <c r="C9" s="92" t="e">
        <f>SUMPRODUCT((Data!$C$2:$C55=$A9)*(Data!#REF!=C$2)*(Data!$A$2:$A55&lt;42217))</f>
        <v>#REF!</v>
      </c>
      <c r="D9" s="92" t="e">
        <f>SUMPRODUCT((Data!$C$2:$C55=$A9)*(Data!#REF!=D$2)*(Data!$A$2:$A55&lt;42217))</f>
        <v>#REF!</v>
      </c>
      <c r="E9" s="92" t="e">
        <f>SUMPRODUCT((Data!$C$2:$C55=$A9)*(Data!#REF!=E$2)*(Data!$A$2:$A55&lt;42217))</f>
        <v>#REF!</v>
      </c>
      <c r="F9" s="92" t="e">
        <f>SUMPRODUCT((Data!$C$2:$C55=$A9)*(Data!#REF!=F$2)*(Data!$A$2:$A55&lt;42217))</f>
        <v>#REF!</v>
      </c>
      <c r="G9" s="92" t="e">
        <f>SUMPRODUCT((Data!$C$2:$C55=$A9)*(Data!#REF!=G$2)*(Data!$A$2:$A55&lt;42217))</f>
        <v>#REF!</v>
      </c>
      <c r="H9" s="92" t="e">
        <f>SUMPRODUCT((Data!$C$2:$C55=$A9)*(Data!#REF!=H$2)*(Data!$A$2:$A55&lt;42217))</f>
        <v>#REF!</v>
      </c>
      <c r="I9" s="93" t="e">
        <f>SUMPRODUCT((Data!$C$2:$C55=$A9)*(Data!#REF!=I$2)*(Data!$AI$2:$AI55="Yes")*(Data!$A$2:$A55&lt;42217))</f>
        <v>#REF!</v>
      </c>
      <c r="J9" s="93" t="e">
        <f>SUMPRODUCT((Data!$C$2:$C55=$A9)*(Data!#REF!=J$2)*(Data!$AI$2:$AI55="Yes")*(Data!$A$2:$A55&lt;42217))</f>
        <v>#REF!</v>
      </c>
      <c r="K9" s="93" t="e">
        <f>SUMPRODUCT((Data!$C$2:$C55=$A9)*(Data!#REF!=K$2)*(Data!$AI$2:$AI55="Yes")*(Data!$A$2:$A55&lt;42217))</f>
        <v>#REF!</v>
      </c>
      <c r="L9" s="93" t="e">
        <f>SUMPRODUCT((Data!$C$2:$C55=$A9)*(Data!#REF!=L$2)*(Data!$AI$2:$AI55="Yes")*(Data!$A$2:$A55&lt;42217))</f>
        <v>#REF!</v>
      </c>
      <c r="M9" s="93" t="e">
        <f>SUMPRODUCT((Data!$C$2:$C55=$A9)*(Data!#REF!=M$2)*(Data!$AI$2:$AI55="Yes")*(Data!$A$2:$A55&lt;42217))</f>
        <v>#REF!</v>
      </c>
      <c r="N9" s="93" t="e">
        <f>SUMPRODUCT((Data!$C$2:$C55=$A9)*(Data!#REF!=N$2)*(Data!$AI$2:$AI55="Yes")*(Data!$A$2:$A55&lt;42217))</f>
        <v>#REF!</v>
      </c>
      <c r="O9" s="93" t="e">
        <f>SUMPRODUCT((Data!$C$2:$C55=$A9)*(Data!#REF!=O$2)*(Data!$AI$2:$AI55="Yes")*(Data!$A$2:$A55&lt;42217))</f>
        <v>#REF!</v>
      </c>
      <c r="P9" s="94" t="e">
        <f>SUMPRODUCT((Data!$C$2:$C55=$A9)*(Data!#REF!=P$2)*(Data!$AA$2:$AA55="Yes")*(Data!$A$2:$A55&lt;42217))</f>
        <v>#REF!</v>
      </c>
      <c r="Q9" s="94" t="e">
        <f>SUMPRODUCT((Data!$C$2:$C55=$A9)*(Data!#REF!=Q$2)*(Data!$AA$2:$AA55="Yes")*(Data!$A$2:$A55&lt;42217))</f>
        <v>#REF!</v>
      </c>
      <c r="R9" s="94" t="e">
        <f>SUMPRODUCT((Data!$C$2:$C55=$A9)*(Data!#REF!=R$2)*(Data!$AA$2:$AA55="Yes")*(Data!$A$2:$A55&lt;42217))</f>
        <v>#REF!</v>
      </c>
      <c r="S9" s="94" t="e">
        <f>SUMPRODUCT((Data!$C$2:$C55=$A9)*(Data!#REF!=S$2)*(Data!$AA$2:$AA55="Yes")*(Data!$A$2:$A55&lt;42217))</f>
        <v>#REF!</v>
      </c>
      <c r="T9" s="94" t="e">
        <f>SUMPRODUCT((Data!$C$2:$C55=$A9)*(Data!#REF!=T$2)*(Data!$AA$2:$AA55="Yes")*(Data!$A$2:$A55&lt;42217))</f>
        <v>#REF!</v>
      </c>
      <c r="U9" s="94" t="e">
        <f>SUMPRODUCT((Data!$C$2:$C55=$A9)*(Data!#REF!=U$2)*(Data!$AA$2:$AA55="Yes")*(Data!$A$2:$A55&lt;42217))</f>
        <v>#REF!</v>
      </c>
      <c r="V9" s="94" t="e">
        <f>SUMPRODUCT((Data!$C$2:$C55=$A9)*(Data!#REF!=V$2)*(Data!$AA$2:$AA55="Yes")*(Data!$A$2:$A55&lt;42217))</f>
        <v>#REF!</v>
      </c>
      <c r="W9" s="95" t="e">
        <f>SUMPRODUCT((Data!$C$2:$C55=$A9)*(Data!#REF!=W$2)*(Data!$AA$2:$AA55="No")*(Data!$A$2:$A55&lt;42217))</f>
        <v>#REF!</v>
      </c>
      <c r="X9" s="95" t="e">
        <f>SUMPRODUCT((Data!$C$2:$C55=$A9)*(Data!#REF!=X$2)*(Data!$AA$2:$AA55="No")*(Data!$A$2:$A55&lt;42217))</f>
        <v>#REF!</v>
      </c>
      <c r="Y9" s="95" t="e">
        <f>SUMPRODUCT((Data!$C$2:$C55=$A9)*(Data!#REF!=Y$2)*(Data!$AA$2:$AA55="No")*(Data!$A$2:$A55&lt;42217))</f>
        <v>#REF!</v>
      </c>
      <c r="Z9" s="95" t="e">
        <f>SUMPRODUCT((Data!$C$2:$C55=$A9)*(Data!#REF!=Z$2)*(Data!$AA$2:$AA55="No")*(Data!$A$2:$A55&lt;42217))</f>
        <v>#REF!</v>
      </c>
      <c r="AA9" s="95" t="e">
        <f>SUMPRODUCT((Data!$C$2:$C55=$A9)*(Data!#REF!=AA$2)*(Data!$AA$2:$AA55="No")*(Data!$A$2:$A55&lt;42217))</f>
        <v>#REF!</v>
      </c>
      <c r="AB9" s="95" t="e">
        <f>SUMPRODUCT((Data!$C$2:$C55=$A9)*(Data!#REF!=AB$2)*(Data!$AA$2:$AA55="No")*(Data!$A$2:$A55&lt;42217))</f>
        <v>#REF!</v>
      </c>
      <c r="AC9" s="95" t="e">
        <f>SUMPRODUCT((Data!$C$2:$C55=$A9)*(Data!#REF!=AC$2)*(Data!$AA$2:$AA55="No")*(Data!$A$2:$A55&lt;42217))</f>
        <v>#REF!</v>
      </c>
      <c r="AD9" s="96" t="s">
        <v>28</v>
      </c>
      <c r="AE9" s="96" t="s">
        <v>28</v>
      </c>
      <c r="AF9" s="96" t="s">
        <v>28</v>
      </c>
      <c r="AG9" s="96" t="s">
        <v>28</v>
      </c>
      <c r="AH9" s="96" t="s">
        <v>28</v>
      </c>
      <c r="AI9" s="96" t="s">
        <v>28</v>
      </c>
      <c r="AJ9" s="96" t="s">
        <v>28</v>
      </c>
      <c r="AK9" s="97">
        <v>3518288</v>
      </c>
      <c r="AL9" s="97">
        <v>3579345</v>
      </c>
      <c r="AM9" s="97">
        <v>3590537</v>
      </c>
      <c r="AN9" s="97">
        <v>3594362</v>
      </c>
      <c r="AO9" s="97">
        <v>3599341</v>
      </c>
      <c r="AP9" s="97">
        <v>3596677</v>
      </c>
      <c r="AQ9" s="98">
        <f t="shared" si="0"/>
        <v>2098061.5833333335</v>
      </c>
      <c r="AR9" s="99" t="e">
        <f t="shared" si="1"/>
        <v>#REF!</v>
      </c>
      <c r="AS9" s="99">
        <f t="shared" si="2"/>
        <v>0</v>
      </c>
      <c r="AT9" s="99" t="e">
        <f t="shared" si="3"/>
        <v>#REF!</v>
      </c>
      <c r="AU9" s="99" t="e">
        <f t="shared" si="4"/>
        <v>#REF!</v>
      </c>
      <c r="AV9" s="99" t="e">
        <f t="shared" si="5"/>
        <v>#REF!</v>
      </c>
      <c r="AW9" s="99" t="e">
        <f t="shared" si="6"/>
        <v>#REF!</v>
      </c>
      <c r="AX9" s="99">
        <f t="shared" si="7"/>
        <v>23576611.583333332</v>
      </c>
      <c r="AY9" s="99">
        <f t="shared" si="8"/>
        <v>0</v>
      </c>
      <c r="AZ9" s="99">
        <f t="shared" si="9"/>
        <v>23576611.583333332</v>
      </c>
      <c r="BA9" s="100" t="e">
        <f t="shared" ref="BA9:BC9" si="16">(AT9/$AZ9)*100000000</f>
        <v>#REF!</v>
      </c>
      <c r="BB9" s="100" t="e">
        <f t="shared" si="16"/>
        <v>#REF!</v>
      </c>
      <c r="BC9" s="100" t="e">
        <f t="shared" si="16"/>
        <v>#REF!</v>
      </c>
    </row>
    <row r="10" spans="1:55" ht="12">
      <c r="A10" s="91" t="s">
        <v>158</v>
      </c>
      <c r="B10" s="92" t="e">
        <f>SUMPRODUCT((Data!$C$2:$C55=$A10)*(Data!#REF!=B$2)*(Data!$A$2:$A55&lt;42217))</f>
        <v>#REF!</v>
      </c>
      <c r="C10" s="92" t="e">
        <f>SUMPRODUCT((Data!$C$2:$C55=$A10)*(Data!#REF!=C$2)*(Data!$A$2:$A55&lt;42217))</f>
        <v>#REF!</v>
      </c>
      <c r="D10" s="92" t="e">
        <f>SUMPRODUCT((Data!$C$2:$C55=$A10)*(Data!#REF!=D$2)*(Data!$A$2:$A55&lt;42217))</f>
        <v>#REF!</v>
      </c>
      <c r="E10" s="92" t="e">
        <f>SUMPRODUCT((Data!$C$2:$C55=$A10)*(Data!#REF!=E$2)*(Data!$A$2:$A55&lt;42217))</f>
        <v>#REF!</v>
      </c>
      <c r="F10" s="92" t="e">
        <f>SUMPRODUCT((Data!$C$2:$C55=$A10)*(Data!#REF!=F$2)*(Data!$A$2:$A55&lt;42217))</f>
        <v>#REF!</v>
      </c>
      <c r="G10" s="92" t="e">
        <f>SUMPRODUCT((Data!$C$2:$C55=$A10)*(Data!#REF!=G$2)*(Data!$A$2:$A55&lt;42217))</f>
        <v>#REF!</v>
      </c>
      <c r="H10" s="92" t="e">
        <f>SUMPRODUCT((Data!$C$2:$C55=$A10)*(Data!#REF!=H$2)*(Data!$A$2:$A55&lt;42217))</f>
        <v>#REF!</v>
      </c>
      <c r="I10" s="93" t="e">
        <f>SUMPRODUCT((Data!$C$2:$C55=$A10)*(Data!#REF!=I$2)*(Data!$AI$2:$AI55="Yes")*(Data!$A$2:$A55&lt;42217))</f>
        <v>#REF!</v>
      </c>
      <c r="J10" s="93" t="e">
        <f>SUMPRODUCT((Data!$C$2:$C55=$A10)*(Data!#REF!=J$2)*(Data!$AI$2:$AI55="Yes")*(Data!$A$2:$A55&lt;42217))</f>
        <v>#REF!</v>
      </c>
      <c r="K10" s="93" t="e">
        <f>SUMPRODUCT((Data!$C$2:$C55=$A10)*(Data!#REF!=K$2)*(Data!$AI$2:$AI55="Yes")*(Data!$A$2:$A55&lt;42217))</f>
        <v>#REF!</v>
      </c>
      <c r="L10" s="93" t="e">
        <f>SUMPRODUCT((Data!$C$2:$C55=$A10)*(Data!#REF!=L$2)*(Data!$AI$2:$AI55="Yes")*(Data!$A$2:$A55&lt;42217))</f>
        <v>#REF!</v>
      </c>
      <c r="M10" s="93" t="e">
        <f>SUMPRODUCT((Data!$C$2:$C55=$A10)*(Data!#REF!=M$2)*(Data!$AI$2:$AI55="Yes")*(Data!$A$2:$A55&lt;42217))</f>
        <v>#REF!</v>
      </c>
      <c r="N10" s="93" t="e">
        <f>SUMPRODUCT((Data!$C$2:$C55=$A10)*(Data!#REF!=N$2)*(Data!$AI$2:$AI55="Yes")*(Data!$A$2:$A55&lt;42217))</f>
        <v>#REF!</v>
      </c>
      <c r="O10" s="93" t="e">
        <f>SUMPRODUCT((Data!$C$2:$C55=$A10)*(Data!#REF!=O$2)*(Data!$AI$2:$AI55="Yes")*(Data!$A$2:$A55&lt;42217))</f>
        <v>#REF!</v>
      </c>
      <c r="P10" s="94" t="e">
        <f>SUMPRODUCT((Data!$C$2:$C55=$A10)*(Data!#REF!=P$2)*(Data!$AA$2:$AA55="Yes")*(Data!$A$2:$A55&lt;42217))</f>
        <v>#REF!</v>
      </c>
      <c r="Q10" s="94" t="e">
        <f>SUMPRODUCT((Data!$C$2:$C55=$A10)*(Data!#REF!=Q$2)*(Data!$AA$2:$AA55="Yes")*(Data!$A$2:$A55&lt;42217))</f>
        <v>#REF!</v>
      </c>
      <c r="R10" s="94" t="e">
        <f>SUMPRODUCT((Data!$C$2:$C55=$A10)*(Data!#REF!=R$2)*(Data!$AA$2:$AA55="Yes")*(Data!$A$2:$A55&lt;42217))</f>
        <v>#REF!</v>
      </c>
      <c r="S10" s="94" t="e">
        <f>SUMPRODUCT((Data!$C$2:$C55=$A10)*(Data!#REF!=S$2)*(Data!$AA$2:$AA55="Yes")*(Data!$A$2:$A55&lt;42217))</f>
        <v>#REF!</v>
      </c>
      <c r="T10" s="94" t="e">
        <f>SUMPRODUCT((Data!$C$2:$C55=$A10)*(Data!#REF!=T$2)*(Data!$AA$2:$AA55="Yes")*(Data!$A$2:$A55&lt;42217))</f>
        <v>#REF!</v>
      </c>
      <c r="U10" s="94" t="e">
        <f>SUMPRODUCT((Data!$C$2:$C55=$A10)*(Data!#REF!=U$2)*(Data!$AA$2:$AA55="Yes")*(Data!$A$2:$A55&lt;42217))</f>
        <v>#REF!</v>
      </c>
      <c r="V10" s="94" t="e">
        <f>SUMPRODUCT((Data!$C$2:$C55=$A10)*(Data!#REF!=V$2)*(Data!$AA$2:$AA55="Yes")*(Data!$A$2:$A55&lt;42217))</f>
        <v>#REF!</v>
      </c>
      <c r="W10" s="95" t="e">
        <f>SUMPRODUCT((Data!$C$2:$C55=$A10)*(Data!#REF!=W$2)*(Data!$AA$2:$AA55="No")*(Data!$A$2:$A55&lt;42217))</f>
        <v>#REF!</v>
      </c>
      <c r="X10" s="95" t="e">
        <f>SUMPRODUCT((Data!$C$2:$C55=$A10)*(Data!#REF!=X$2)*(Data!$AA$2:$AA55="No")*(Data!$A$2:$A55&lt;42217))</f>
        <v>#REF!</v>
      </c>
      <c r="Y10" s="95" t="e">
        <f>SUMPRODUCT((Data!$C$2:$C55=$A10)*(Data!#REF!=Y$2)*(Data!$AA$2:$AA55="No")*(Data!$A$2:$A55&lt;42217))</f>
        <v>#REF!</v>
      </c>
      <c r="Z10" s="95" t="e">
        <f>SUMPRODUCT((Data!$C$2:$C55=$A10)*(Data!#REF!=Z$2)*(Data!$AA$2:$AA55="No")*(Data!$A$2:$A55&lt;42217))</f>
        <v>#REF!</v>
      </c>
      <c r="AA10" s="95" t="e">
        <f>SUMPRODUCT((Data!$C$2:$C55=$A10)*(Data!#REF!=AA$2)*(Data!$AA$2:$AA55="No")*(Data!$A$2:$A55&lt;42217))</f>
        <v>#REF!</v>
      </c>
      <c r="AB10" s="95" t="e">
        <f>SUMPRODUCT((Data!$C$2:$C55=$A10)*(Data!#REF!=AB$2)*(Data!$AA$2:$AA55="No")*(Data!$A$2:$A55&lt;42217))</f>
        <v>#REF!</v>
      </c>
      <c r="AC10" s="95" t="e">
        <f>SUMPRODUCT((Data!$C$2:$C55=$A10)*(Data!#REF!=AC$2)*(Data!$AA$2:$AA55="No")*(Data!$A$2:$A55&lt;42217))</f>
        <v>#REF!</v>
      </c>
      <c r="AD10" s="96" t="s">
        <v>28</v>
      </c>
      <c r="AE10" s="96" t="s">
        <v>28</v>
      </c>
      <c r="AF10" s="96" t="s">
        <v>28</v>
      </c>
      <c r="AG10" s="96" t="s">
        <v>28</v>
      </c>
      <c r="AH10" s="96" t="s">
        <v>28</v>
      </c>
      <c r="AI10" s="96" t="s">
        <v>28</v>
      </c>
      <c r="AJ10" s="96" t="s">
        <v>28</v>
      </c>
      <c r="AK10" s="97">
        <v>885122</v>
      </c>
      <c r="AL10" s="97">
        <v>899731</v>
      </c>
      <c r="AM10" s="97">
        <v>907829</v>
      </c>
      <c r="AN10" s="97">
        <v>916881</v>
      </c>
      <c r="AO10" s="97">
        <v>925240</v>
      </c>
      <c r="AP10" s="97">
        <v>935614</v>
      </c>
      <c r="AQ10" s="98">
        <f t="shared" si="0"/>
        <v>545774.83333333337</v>
      </c>
      <c r="AR10" s="99" t="e">
        <f t="shared" si="1"/>
        <v>#REF!</v>
      </c>
      <c r="AS10" s="99">
        <f t="shared" si="2"/>
        <v>0</v>
      </c>
      <c r="AT10" s="99" t="e">
        <f t="shared" si="3"/>
        <v>#REF!</v>
      </c>
      <c r="AU10" s="99" t="e">
        <f t="shared" si="4"/>
        <v>#REF!</v>
      </c>
      <c r="AV10" s="99" t="e">
        <f t="shared" si="5"/>
        <v>#REF!</v>
      </c>
      <c r="AW10" s="99" t="e">
        <f t="shared" si="6"/>
        <v>#REF!</v>
      </c>
      <c r="AX10" s="99">
        <f t="shared" si="7"/>
        <v>6016191.833333333</v>
      </c>
      <c r="AY10" s="99">
        <f t="shared" si="8"/>
        <v>0</v>
      </c>
      <c r="AZ10" s="99">
        <f t="shared" si="9"/>
        <v>6016191.833333333</v>
      </c>
      <c r="BA10" s="100" t="e">
        <f t="shared" ref="BA10:BC10" si="17">(AT10/$AZ10)*100000000</f>
        <v>#REF!</v>
      </c>
      <c r="BB10" s="100" t="e">
        <f t="shared" si="17"/>
        <v>#REF!</v>
      </c>
      <c r="BC10" s="100" t="e">
        <f t="shared" si="17"/>
        <v>#REF!</v>
      </c>
    </row>
    <row r="11" spans="1:55" ht="12">
      <c r="A11" s="91" t="s">
        <v>85</v>
      </c>
      <c r="B11" s="92" t="e">
        <f>SUMPRODUCT((Data!$C$2:$C55=$A11)*(Data!#REF!=B$2)*(Data!$A$2:$A55&lt;42217))</f>
        <v>#REF!</v>
      </c>
      <c r="C11" s="92" t="e">
        <f>SUMPRODUCT((Data!$C$2:$C55=$A11)*(Data!#REF!=C$2)*(Data!$A$2:$A55&lt;42217))</f>
        <v>#REF!</v>
      </c>
      <c r="D11" s="92" t="e">
        <f>SUMPRODUCT((Data!$C$2:$C55=$A11)*(Data!#REF!=D$2)*(Data!$A$2:$A55&lt;42217))</f>
        <v>#REF!</v>
      </c>
      <c r="E11" s="92" t="e">
        <f>SUMPRODUCT((Data!$C$2:$C55=$A11)*(Data!#REF!=E$2)*(Data!$A$2:$A55&lt;42217))</f>
        <v>#REF!</v>
      </c>
      <c r="F11" s="92" t="e">
        <f>SUMPRODUCT((Data!$C$2:$C55=$A11)*(Data!#REF!=F$2)*(Data!$A$2:$A55&lt;42217))</f>
        <v>#REF!</v>
      </c>
      <c r="G11" s="92" t="e">
        <f>SUMPRODUCT((Data!$C$2:$C55=$A11)*(Data!#REF!=G$2)*(Data!$A$2:$A55&lt;42217))</f>
        <v>#REF!</v>
      </c>
      <c r="H11" s="92" t="e">
        <f>SUMPRODUCT((Data!$C$2:$C55=$A11)*(Data!#REF!=H$2)*(Data!$A$2:$A55&lt;42217))</f>
        <v>#REF!</v>
      </c>
      <c r="I11" s="93" t="e">
        <f>SUMPRODUCT((Data!$C$2:$C55=$A11)*(Data!#REF!=I$2)*(Data!$AI$2:$AI55="Yes")*(Data!$A$2:$A55&lt;42217))</f>
        <v>#REF!</v>
      </c>
      <c r="J11" s="93" t="e">
        <f>SUMPRODUCT((Data!$C$2:$C55=$A11)*(Data!#REF!=J$2)*(Data!$AI$2:$AI55="Yes")*(Data!$A$2:$A55&lt;42217))</f>
        <v>#REF!</v>
      </c>
      <c r="K11" s="93" t="e">
        <f>SUMPRODUCT((Data!$C$2:$C55=$A11)*(Data!#REF!=K$2)*(Data!$AI$2:$AI55="Yes")*(Data!$A$2:$A55&lt;42217))</f>
        <v>#REF!</v>
      </c>
      <c r="L11" s="93" t="e">
        <f>SUMPRODUCT((Data!$C$2:$C55=$A11)*(Data!#REF!=L$2)*(Data!$AI$2:$AI55="Yes")*(Data!$A$2:$A55&lt;42217))</f>
        <v>#REF!</v>
      </c>
      <c r="M11" s="93" t="e">
        <f>SUMPRODUCT((Data!$C$2:$C55=$A11)*(Data!#REF!=M$2)*(Data!$AI$2:$AI55="Yes")*(Data!$A$2:$A55&lt;42217))</f>
        <v>#REF!</v>
      </c>
      <c r="N11" s="93" t="e">
        <f>SUMPRODUCT((Data!$C$2:$C55=$A11)*(Data!#REF!=N$2)*(Data!$AI$2:$AI55="Yes")*(Data!$A$2:$A55&lt;42217))</f>
        <v>#REF!</v>
      </c>
      <c r="O11" s="93" t="e">
        <f>SUMPRODUCT((Data!$C$2:$C55=$A11)*(Data!#REF!=O$2)*(Data!$AI$2:$AI55="Yes")*(Data!$A$2:$A55&lt;42217))</f>
        <v>#REF!</v>
      </c>
      <c r="P11" s="94" t="e">
        <f>SUMPRODUCT((Data!$C$2:$C55=$A11)*(Data!#REF!=P$2)*(Data!$AA$2:$AA55="Yes")*(Data!$A$2:$A55&lt;42217))</f>
        <v>#REF!</v>
      </c>
      <c r="Q11" s="94" t="e">
        <f>SUMPRODUCT((Data!$C$2:$C55=$A11)*(Data!#REF!=Q$2)*(Data!$AA$2:$AA55="Yes")*(Data!$A$2:$A55&lt;42217))</f>
        <v>#REF!</v>
      </c>
      <c r="R11" s="94" t="e">
        <f>SUMPRODUCT((Data!$C$2:$C55=$A11)*(Data!#REF!=R$2)*(Data!$AA$2:$AA55="Yes")*(Data!$A$2:$A55&lt;42217))</f>
        <v>#REF!</v>
      </c>
      <c r="S11" s="94" t="e">
        <f>SUMPRODUCT((Data!$C$2:$C55=$A11)*(Data!#REF!=S$2)*(Data!$AA$2:$AA55="Yes")*(Data!$A$2:$A55&lt;42217))</f>
        <v>#REF!</v>
      </c>
      <c r="T11" s="94" t="e">
        <f>SUMPRODUCT((Data!$C$2:$C55=$A11)*(Data!#REF!=T$2)*(Data!$AA$2:$AA55="Yes")*(Data!$A$2:$A55&lt;42217))</f>
        <v>#REF!</v>
      </c>
      <c r="U11" s="94" t="e">
        <f>SUMPRODUCT((Data!$C$2:$C55=$A11)*(Data!#REF!=U$2)*(Data!$AA$2:$AA55="Yes")*(Data!$A$2:$A55&lt;42217))</f>
        <v>#REF!</v>
      </c>
      <c r="V11" s="94" t="e">
        <f>SUMPRODUCT((Data!$C$2:$C55=$A11)*(Data!#REF!=V$2)*(Data!$AA$2:$AA55="Yes")*(Data!$A$2:$A55&lt;42217))</f>
        <v>#REF!</v>
      </c>
      <c r="W11" s="95" t="e">
        <f>SUMPRODUCT((Data!$C$2:$C55=$A11)*(Data!#REF!=W$2)*(Data!$AA$2:$AA55="No")*(Data!$A$2:$A55&lt;42217))</f>
        <v>#REF!</v>
      </c>
      <c r="X11" s="95" t="e">
        <f>SUMPRODUCT((Data!$C$2:$C55=$A11)*(Data!#REF!=X$2)*(Data!$AA$2:$AA55="No")*(Data!$A$2:$A55&lt;42217))</f>
        <v>#REF!</v>
      </c>
      <c r="Y11" s="95" t="e">
        <f>SUMPRODUCT((Data!$C$2:$C55=$A11)*(Data!#REF!=Y$2)*(Data!$AA$2:$AA55="No")*(Data!$A$2:$A55&lt;42217))</f>
        <v>#REF!</v>
      </c>
      <c r="Z11" s="95" t="e">
        <f>SUMPRODUCT((Data!$C$2:$C55=$A11)*(Data!#REF!=Z$2)*(Data!$AA$2:$AA55="No")*(Data!$A$2:$A55&lt;42217))</f>
        <v>#REF!</v>
      </c>
      <c r="AA11" s="95" t="e">
        <f>SUMPRODUCT((Data!$C$2:$C55=$A11)*(Data!#REF!=AA$2)*(Data!$AA$2:$AA55="No")*(Data!$A$2:$A55&lt;42217))</f>
        <v>#REF!</v>
      </c>
      <c r="AB11" s="95" t="e">
        <f>SUMPRODUCT((Data!$C$2:$C55=$A11)*(Data!#REF!=AB$2)*(Data!$AA$2:$AA55="No")*(Data!$A$2:$A55&lt;42217))</f>
        <v>#REF!</v>
      </c>
      <c r="AC11" s="95" t="e">
        <f>SUMPRODUCT((Data!$C$2:$C55=$A11)*(Data!#REF!=AC$2)*(Data!$AA$2:$AA55="No")*(Data!$A$2:$A55&lt;42217))</f>
        <v>#REF!</v>
      </c>
      <c r="AD11" s="96" t="s">
        <v>28</v>
      </c>
      <c r="AE11" s="96" t="s">
        <v>28</v>
      </c>
      <c r="AF11" s="96" t="s">
        <v>28</v>
      </c>
      <c r="AG11" s="96" t="s">
        <v>28</v>
      </c>
      <c r="AH11" s="96" t="s">
        <v>28</v>
      </c>
      <c r="AI11" s="96" t="s">
        <v>28</v>
      </c>
      <c r="AJ11" s="96" t="s">
        <v>28</v>
      </c>
      <c r="AK11" s="97">
        <v>599657</v>
      </c>
      <c r="AL11" s="97">
        <v>605210</v>
      </c>
      <c r="AM11" s="97">
        <v>620427</v>
      </c>
      <c r="AN11" s="97">
        <v>635040</v>
      </c>
      <c r="AO11" s="97">
        <v>649111</v>
      </c>
      <c r="AP11" s="97">
        <v>658893</v>
      </c>
      <c r="AQ11" s="98">
        <f t="shared" si="0"/>
        <v>384354.25</v>
      </c>
      <c r="AR11" s="99" t="e">
        <f t="shared" si="1"/>
        <v>#REF!</v>
      </c>
      <c r="AS11" s="99">
        <f t="shared" si="2"/>
        <v>0</v>
      </c>
      <c r="AT11" s="99" t="e">
        <f t="shared" si="3"/>
        <v>#REF!</v>
      </c>
      <c r="AU11" s="99" t="e">
        <f t="shared" si="4"/>
        <v>#REF!</v>
      </c>
      <c r="AV11" s="99" t="e">
        <f t="shared" si="5"/>
        <v>#REF!</v>
      </c>
      <c r="AW11" s="99" t="e">
        <f t="shared" si="6"/>
        <v>#REF!</v>
      </c>
      <c r="AX11" s="99">
        <f t="shared" si="7"/>
        <v>4152692.25</v>
      </c>
      <c r="AY11" s="99">
        <f t="shared" si="8"/>
        <v>0</v>
      </c>
      <c r="AZ11" s="99">
        <f t="shared" si="9"/>
        <v>4152692.25</v>
      </c>
      <c r="BA11" s="100" t="e">
        <f t="shared" ref="BA11:BC11" si="18">(AT11/$AZ11)*100000000</f>
        <v>#REF!</v>
      </c>
      <c r="BB11" s="100" t="e">
        <f t="shared" si="18"/>
        <v>#REF!</v>
      </c>
      <c r="BC11" s="100" t="e">
        <f t="shared" si="18"/>
        <v>#REF!</v>
      </c>
    </row>
    <row r="12" spans="1:55" ht="12">
      <c r="A12" s="91" t="s">
        <v>100</v>
      </c>
      <c r="B12" s="92" t="e">
        <f>SUMPRODUCT((Data!$C$2:$C55=$A12)*(Data!#REF!=B$2)*(Data!$A$2:$A55&lt;42217))</f>
        <v>#REF!</v>
      </c>
      <c r="C12" s="92" t="e">
        <f>SUMPRODUCT((Data!$C$2:$C55=$A12)*(Data!#REF!=C$2)*(Data!$A$2:$A55&lt;42217))</f>
        <v>#REF!</v>
      </c>
      <c r="D12" s="92" t="e">
        <f>SUMPRODUCT((Data!$C$2:$C55=$A12)*(Data!#REF!=D$2)*(Data!$A$2:$A55&lt;42217))</f>
        <v>#REF!</v>
      </c>
      <c r="E12" s="92" t="e">
        <f>SUMPRODUCT((Data!$C$2:$C55=$A12)*(Data!#REF!=E$2)*(Data!$A$2:$A55&lt;42217))</f>
        <v>#REF!</v>
      </c>
      <c r="F12" s="92" t="e">
        <f>SUMPRODUCT((Data!$C$2:$C55=$A12)*(Data!#REF!=F$2)*(Data!$A$2:$A55&lt;42217))</f>
        <v>#REF!</v>
      </c>
      <c r="G12" s="92" t="e">
        <f>SUMPRODUCT((Data!$C$2:$C55=$A12)*(Data!#REF!=G$2)*(Data!$A$2:$A55&lt;42217))</f>
        <v>#REF!</v>
      </c>
      <c r="H12" s="92" t="e">
        <f>SUMPRODUCT((Data!$C$2:$C55=$A12)*(Data!#REF!=H$2)*(Data!$A$2:$A55&lt;42217))</f>
        <v>#REF!</v>
      </c>
      <c r="I12" s="93" t="e">
        <f>SUMPRODUCT((Data!$C$2:$C55=$A12)*(Data!#REF!=I$2)*(Data!$AI$2:$AI55="Yes")*(Data!$A$2:$A55&lt;42217))</f>
        <v>#REF!</v>
      </c>
      <c r="J12" s="93" t="e">
        <f>SUMPRODUCT((Data!$C$2:$C55=$A12)*(Data!#REF!=J$2)*(Data!$AI$2:$AI55="Yes")*(Data!$A$2:$A55&lt;42217))</f>
        <v>#REF!</v>
      </c>
      <c r="K12" s="93" t="e">
        <f>SUMPRODUCT((Data!$C$2:$C55=$A12)*(Data!#REF!=K$2)*(Data!$AI$2:$AI55="Yes")*(Data!$A$2:$A55&lt;42217))</f>
        <v>#REF!</v>
      </c>
      <c r="L12" s="93" t="e">
        <f>SUMPRODUCT((Data!$C$2:$C55=$A12)*(Data!#REF!=L$2)*(Data!$AI$2:$AI55="Yes")*(Data!$A$2:$A55&lt;42217))</f>
        <v>#REF!</v>
      </c>
      <c r="M12" s="93" t="e">
        <f>SUMPRODUCT((Data!$C$2:$C55=$A12)*(Data!#REF!=M$2)*(Data!$AI$2:$AI55="Yes")*(Data!$A$2:$A55&lt;42217))</f>
        <v>#REF!</v>
      </c>
      <c r="N12" s="93" t="e">
        <f>SUMPRODUCT((Data!$C$2:$C55=$A12)*(Data!#REF!=N$2)*(Data!$AI$2:$AI55="Yes")*(Data!$A$2:$A55&lt;42217))</f>
        <v>#REF!</v>
      </c>
      <c r="O12" s="93" t="e">
        <f>SUMPRODUCT((Data!$C$2:$C55=$A12)*(Data!#REF!=O$2)*(Data!$AI$2:$AI55="Yes")*(Data!$A$2:$A55&lt;42217))</f>
        <v>#REF!</v>
      </c>
      <c r="P12" s="94" t="e">
        <f>SUMPRODUCT((Data!$C$2:$C55=$A12)*(Data!#REF!=P$2)*(Data!$AA$2:$AA55="Yes")*(Data!$A$2:$A55&lt;42217))</f>
        <v>#REF!</v>
      </c>
      <c r="Q12" s="94" t="e">
        <f>SUMPRODUCT((Data!$C$2:$C55=$A12)*(Data!#REF!=Q$2)*(Data!$AA$2:$AA55="Yes")*(Data!$A$2:$A55&lt;42217))</f>
        <v>#REF!</v>
      </c>
      <c r="R12" s="94" t="e">
        <f>SUMPRODUCT((Data!$C$2:$C55=$A12)*(Data!#REF!=R$2)*(Data!$AA$2:$AA55="Yes")*(Data!$A$2:$A55&lt;42217))</f>
        <v>#REF!</v>
      </c>
      <c r="S12" s="94" t="e">
        <f>SUMPRODUCT((Data!$C$2:$C55=$A12)*(Data!#REF!=S$2)*(Data!$AA$2:$AA55="Yes")*(Data!$A$2:$A55&lt;42217))</f>
        <v>#REF!</v>
      </c>
      <c r="T12" s="94" t="e">
        <f>SUMPRODUCT((Data!$C$2:$C55=$A12)*(Data!#REF!=T$2)*(Data!$AA$2:$AA55="Yes")*(Data!$A$2:$A55&lt;42217))</f>
        <v>#REF!</v>
      </c>
      <c r="U12" s="94" t="e">
        <f>SUMPRODUCT((Data!$C$2:$C55=$A12)*(Data!#REF!=U$2)*(Data!$AA$2:$AA55="Yes")*(Data!$A$2:$A55&lt;42217))</f>
        <v>#REF!</v>
      </c>
      <c r="V12" s="94" t="e">
        <f>SUMPRODUCT((Data!$C$2:$C55=$A12)*(Data!#REF!=V$2)*(Data!$AA$2:$AA55="Yes")*(Data!$A$2:$A55&lt;42217))</f>
        <v>#REF!</v>
      </c>
      <c r="W12" s="95" t="e">
        <f>SUMPRODUCT((Data!$C$2:$C55=$A12)*(Data!#REF!=W$2)*(Data!$AA$2:$AA55="No")*(Data!$A$2:$A55&lt;42217))</f>
        <v>#REF!</v>
      </c>
      <c r="X12" s="95" t="e">
        <f>SUMPRODUCT((Data!$C$2:$C55=$A12)*(Data!#REF!=X$2)*(Data!$AA$2:$AA55="No")*(Data!$A$2:$A55&lt;42217))</f>
        <v>#REF!</v>
      </c>
      <c r="Y12" s="95" t="e">
        <f>SUMPRODUCT((Data!$C$2:$C55=$A12)*(Data!#REF!=Y$2)*(Data!$AA$2:$AA55="No")*(Data!$A$2:$A55&lt;42217))</f>
        <v>#REF!</v>
      </c>
      <c r="Z12" s="95" t="e">
        <f>SUMPRODUCT((Data!$C$2:$C55=$A12)*(Data!#REF!=Z$2)*(Data!$AA$2:$AA55="No")*(Data!$A$2:$A55&lt;42217))</f>
        <v>#REF!</v>
      </c>
      <c r="AA12" s="95" t="e">
        <f>SUMPRODUCT((Data!$C$2:$C55=$A12)*(Data!#REF!=AA$2)*(Data!$AA$2:$AA55="No")*(Data!$A$2:$A55&lt;42217))</f>
        <v>#REF!</v>
      </c>
      <c r="AB12" s="95" t="e">
        <f>SUMPRODUCT((Data!$C$2:$C55=$A12)*(Data!#REF!=AB$2)*(Data!$AA$2:$AA55="No")*(Data!$A$2:$A55&lt;42217))</f>
        <v>#REF!</v>
      </c>
      <c r="AC12" s="95" t="e">
        <f>SUMPRODUCT((Data!$C$2:$C55=$A12)*(Data!#REF!=AC$2)*(Data!$AA$2:$AA55="No")*(Data!$A$2:$A55&lt;42217))</f>
        <v>#REF!</v>
      </c>
      <c r="AD12" s="96" t="s">
        <v>17</v>
      </c>
      <c r="AE12" s="96" t="s">
        <v>17</v>
      </c>
      <c r="AF12" s="96" t="s">
        <v>17</v>
      </c>
      <c r="AG12" s="96" t="s">
        <v>17</v>
      </c>
      <c r="AH12" s="96" t="s">
        <v>17</v>
      </c>
      <c r="AI12" s="96" t="s">
        <v>17</v>
      </c>
      <c r="AJ12" s="96" t="s">
        <v>17</v>
      </c>
      <c r="AK12" s="97">
        <v>18537969</v>
      </c>
      <c r="AL12" s="97">
        <v>18852220</v>
      </c>
      <c r="AM12" s="97">
        <v>19107900</v>
      </c>
      <c r="AN12" s="97">
        <v>19355257</v>
      </c>
      <c r="AO12" s="97">
        <v>19600311</v>
      </c>
      <c r="AP12" s="97">
        <v>19893297</v>
      </c>
      <c r="AQ12" s="98">
        <f t="shared" si="0"/>
        <v>11604423.25</v>
      </c>
      <c r="AR12" s="99">
        <f t="shared" si="1"/>
        <v>0</v>
      </c>
      <c r="AS12" s="99" t="e">
        <f t="shared" si="2"/>
        <v>#REF!</v>
      </c>
      <c r="AT12" s="99" t="e">
        <f t="shared" si="3"/>
        <v>#REF!</v>
      </c>
      <c r="AU12" s="99" t="e">
        <f t="shared" si="4"/>
        <v>#REF!</v>
      </c>
      <c r="AV12" s="99" t="e">
        <f t="shared" si="5"/>
        <v>#REF!</v>
      </c>
      <c r="AW12" s="99" t="e">
        <f t="shared" si="6"/>
        <v>#REF!</v>
      </c>
      <c r="AX12" s="99">
        <f t="shared" si="7"/>
        <v>0</v>
      </c>
      <c r="AY12" s="99">
        <f t="shared" si="8"/>
        <v>126951377.25</v>
      </c>
      <c r="AZ12" s="99">
        <f t="shared" si="9"/>
        <v>126951377.25</v>
      </c>
      <c r="BA12" s="100" t="e">
        <f t="shared" ref="BA12:BC12" si="19">(AT12/$AZ12)*100000000</f>
        <v>#REF!</v>
      </c>
      <c r="BB12" s="100" t="e">
        <f t="shared" si="19"/>
        <v>#REF!</v>
      </c>
      <c r="BC12" s="100" t="e">
        <f t="shared" si="19"/>
        <v>#REF!</v>
      </c>
    </row>
    <row r="13" spans="1:55" ht="12">
      <c r="A13" s="91" t="s">
        <v>78</v>
      </c>
      <c r="B13" s="92" t="e">
        <f>SUMPRODUCT((Data!$C$2:$C55=$A13)*(Data!#REF!=B$2)*(Data!$A$2:$A55&lt;42217))</f>
        <v>#REF!</v>
      </c>
      <c r="C13" s="92" t="e">
        <f>SUMPRODUCT((Data!$C$2:$C55=$A13)*(Data!#REF!=C$2)*(Data!$A$2:$A55&lt;42217))</f>
        <v>#REF!</v>
      </c>
      <c r="D13" s="92" t="e">
        <f>SUMPRODUCT((Data!$C$2:$C55=$A13)*(Data!#REF!=D$2)*(Data!$A$2:$A55&lt;42217))</f>
        <v>#REF!</v>
      </c>
      <c r="E13" s="92" t="e">
        <f>SUMPRODUCT((Data!$C$2:$C55=$A13)*(Data!#REF!=E$2)*(Data!$A$2:$A55&lt;42217))</f>
        <v>#REF!</v>
      </c>
      <c r="F13" s="92" t="e">
        <f>SUMPRODUCT((Data!$C$2:$C55=$A13)*(Data!#REF!=F$2)*(Data!$A$2:$A55&lt;42217))</f>
        <v>#REF!</v>
      </c>
      <c r="G13" s="92" t="e">
        <f>SUMPRODUCT((Data!$C$2:$C55=$A13)*(Data!#REF!=G$2)*(Data!$A$2:$A55&lt;42217))</f>
        <v>#REF!</v>
      </c>
      <c r="H13" s="92" t="e">
        <f>SUMPRODUCT((Data!$C$2:$C55=$A13)*(Data!#REF!=H$2)*(Data!$A$2:$A55&lt;42217))</f>
        <v>#REF!</v>
      </c>
      <c r="I13" s="93" t="e">
        <f>SUMPRODUCT((Data!$C$2:$C55=$A13)*(Data!#REF!=I$2)*(Data!$AI$2:$AI55="Yes")*(Data!$A$2:$A55&lt;42217))</f>
        <v>#REF!</v>
      </c>
      <c r="J13" s="93" t="e">
        <f>SUMPRODUCT((Data!$C$2:$C55=$A13)*(Data!#REF!=J$2)*(Data!$AI$2:$AI55="Yes")*(Data!$A$2:$A55&lt;42217))</f>
        <v>#REF!</v>
      </c>
      <c r="K13" s="93" t="e">
        <f>SUMPRODUCT((Data!$C$2:$C55=$A13)*(Data!#REF!=K$2)*(Data!$AI$2:$AI55="Yes")*(Data!$A$2:$A55&lt;42217))</f>
        <v>#REF!</v>
      </c>
      <c r="L13" s="93" t="e">
        <f>SUMPRODUCT((Data!$C$2:$C55=$A13)*(Data!#REF!=L$2)*(Data!$AI$2:$AI55="Yes")*(Data!$A$2:$A55&lt;42217))</f>
        <v>#REF!</v>
      </c>
      <c r="M13" s="93" t="e">
        <f>SUMPRODUCT((Data!$C$2:$C55=$A13)*(Data!#REF!=M$2)*(Data!$AI$2:$AI55="Yes")*(Data!$A$2:$A55&lt;42217))</f>
        <v>#REF!</v>
      </c>
      <c r="N13" s="93" t="e">
        <f>SUMPRODUCT((Data!$C$2:$C55=$A13)*(Data!#REF!=N$2)*(Data!$AI$2:$AI55="Yes")*(Data!$A$2:$A55&lt;42217))</f>
        <v>#REF!</v>
      </c>
      <c r="O13" s="93" t="e">
        <f>SUMPRODUCT((Data!$C$2:$C55=$A13)*(Data!#REF!=O$2)*(Data!$AI$2:$AI55="Yes")*(Data!$A$2:$A55&lt;42217))</f>
        <v>#REF!</v>
      </c>
      <c r="P13" s="94" t="e">
        <f>SUMPRODUCT((Data!$C$2:$C55=$A13)*(Data!#REF!=P$2)*(Data!$AA$2:$AA55="Yes")*(Data!$A$2:$A55&lt;42217))</f>
        <v>#REF!</v>
      </c>
      <c r="Q13" s="94" t="e">
        <f>SUMPRODUCT((Data!$C$2:$C55=$A13)*(Data!#REF!=Q$2)*(Data!$AA$2:$AA55="Yes")*(Data!$A$2:$A55&lt;42217))</f>
        <v>#REF!</v>
      </c>
      <c r="R13" s="94" t="e">
        <f>SUMPRODUCT((Data!$C$2:$C55=$A13)*(Data!#REF!=R$2)*(Data!$AA$2:$AA55="Yes")*(Data!$A$2:$A55&lt;42217))</f>
        <v>#REF!</v>
      </c>
      <c r="S13" s="94" t="e">
        <f>SUMPRODUCT((Data!$C$2:$C55=$A13)*(Data!#REF!=S$2)*(Data!$AA$2:$AA55="Yes")*(Data!$A$2:$A55&lt;42217))</f>
        <v>#REF!</v>
      </c>
      <c r="T13" s="94" t="e">
        <f>SUMPRODUCT((Data!$C$2:$C55=$A13)*(Data!#REF!=T$2)*(Data!$AA$2:$AA55="Yes")*(Data!$A$2:$A55&lt;42217))</f>
        <v>#REF!</v>
      </c>
      <c r="U13" s="94" t="e">
        <f>SUMPRODUCT((Data!$C$2:$C55=$A13)*(Data!#REF!=U$2)*(Data!$AA$2:$AA55="Yes")*(Data!$A$2:$A55&lt;42217))</f>
        <v>#REF!</v>
      </c>
      <c r="V13" s="94" t="e">
        <f>SUMPRODUCT((Data!$C$2:$C55=$A13)*(Data!#REF!=V$2)*(Data!$AA$2:$AA55="Yes")*(Data!$A$2:$A55&lt;42217))</f>
        <v>#REF!</v>
      </c>
      <c r="W13" s="95" t="e">
        <f>SUMPRODUCT((Data!$C$2:$C55=$A13)*(Data!#REF!=W$2)*(Data!$AA$2:$AA55="No")*(Data!$A$2:$A55&lt;42217))</f>
        <v>#REF!</v>
      </c>
      <c r="X13" s="95" t="e">
        <f>SUMPRODUCT((Data!$C$2:$C55=$A13)*(Data!#REF!=X$2)*(Data!$AA$2:$AA55="No")*(Data!$A$2:$A55&lt;42217))</f>
        <v>#REF!</v>
      </c>
      <c r="Y13" s="95" t="e">
        <f>SUMPRODUCT((Data!$C$2:$C55=$A13)*(Data!#REF!=Y$2)*(Data!$AA$2:$AA55="No")*(Data!$A$2:$A55&lt;42217))</f>
        <v>#REF!</v>
      </c>
      <c r="Z13" s="95" t="e">
        <f>SUMPRODUCT((Data!$C$2:$C55=$A13)*(Data!#REF!=Z$2)*(Data!$AA$2:$AA55="No")*(Data!$A$2:$A55&lt;42217))</f>
        <v>#REF!</v>
      </c>
      <c r="AA13" s="95" t="e">
        <f>SUMPRODUCT((Data!$C$2:$C55=$A13)*(Data!#REF!=AA$2)*(Data!$AA$2:$AA55="No")*(Data!$A$2:$A55&lt;42217))</f>
        <v>#REF!</v>
      </c>
      <c r="AB13" s="95" t="e">
        <f>SUMPRODUCT((Data!$C$2:$C55=$A13)*(Data!#REF!=AB$2)*(Data!$AA$2:$AA55="No")*(Data!$A$2:$A55&lt;42217))</f>
        <v>#REF!</v>
      </c>
      <c r="AC13" s="95" t="e">
        <f>SUMPRODUCT((Data!$C$2:$C55=$A13)*(Data!#REF!=AC$2)*(Data!$AA$2:$AA55="No")*(Data!$A$2:$A55&lt;42217))</f>
        <v>#REF!</v>
      </c>
      <c r="AD13" s="96" t="s">
        <v>17</v>
      </c>
      <c r="AE13" s="96" t="s">
        <v>17</v>
      </c>
      <c r="AF13" s="96" t="s">
        <v>17</v>
      </c>
      <c r="AG13" s="96" t="s">
        <v>17</v>
      </c>
      <c r="AH13" s="96" t="s">
        <v>17</v>
      </c>
      <c r="AI13" s="96" t="s">
        <v>17</v>
      </c>
      <c r="AJ13" s="96" t="s">
        <v>17</v>
      </c>
      <c r="AK13" s="97">
        <v>9829211</v>
      </c>
      <c r="AL13" s="97">
        <v>9714464</v>
      </c>
      <c r="AM13" s="97">
        <v>9813201</v>
      </c>
      <c r="AN13" s="97">
        <v>9919000</v>
      </c>
      <c r="AO13" s="97">
        <v>9994759</v>
      </c>
      <c r="AP13" s="97">
        <v>10097343</v>
      </c>
      <c r="AQ13" s="98">
        <f t="shared" si="0"/>
        <v>5890116.75</v>
      </c>
      <c r="AR13" s="99">
        <f t="shared" si="1"/>
        <v>0</v>
      </c>
      <c r="AS13" s="99" t="e">
        <f t="shared" si="2"/>
        <v>#REF!</v>
      </c>
      <c r="AT13" s="99" t="e">
        <f t="shared" si="3"/>
        <v>#REF!</v>
      </c>
      <c r="AU13" s="99" t="e">
        <f t="shared" si="4"/>
        <v>#REF!</v>
      </c>
      <c r="AV13" s="99" t="e">
        <f t="shared" si="5"/>
        <v>#REF!</v>
      </c>
      <c r="AW13" s="99" t="e">
        <f t="shared" si="6"/>
        <v>#REF!</v>
      </c>
      <c r="AX13" s="99">
        <f t="shared" si="7"/>
        <v>0</v>
      </c>
      <c r="AY13" s="99">
        <f t="shared" si="8"/>
        <v>65258094.75</v>
      </c>
      <c r="AZ13" s="99">
        <f t="shared" si="9"/>
        <v>65258094.75</v>
      </c>
      <c r="BA13" s="100" t="e">
        <f t="shared" ref="BA13:BC13" si="20">(AT13/$AZ13)*100000000</f>
        <v>#REF!</v>
      </c>
      <c r="BB13" s="100" t="e">
        <f t="shared" si="20"/>
        <v>#REF!</v>
      </c>
      <c r="BC13" s="100" t="e">
        <f t="shared" si="20"/>
        <v>#REF!</v>
      </c>
    </row>
    <row r="14" spans="1:55" ht="12">
      <c r="A14" s="91" t="s">
        <v>159</v>
      </c>
      <c r="B14" s="92" t="e">
        <f>SUMPRODUCT((Data!$C$2:$C55=$A14)*(Data!#REF!=B$2)*(Data!$A$2:$A55&lt;42217))</f>
        <v>#REF!</v>
      </c>
      <c r="C14" s="92" t="e">
        <f>SUMPRODUCT((Data!$C$2:$C55=$A14)*(Data!#REF!=C$2)*(Data!$A$2:$A55&lt;42217))</f>
        <v>#REF!</v>
      </c>
      <c r="D14" s="92" t="e">
        <f>SUMPRODUCT((Data!$C$2:$C55=$A14)*(Data!#REF!=D$2)*(Data!$A$2:$A55&lt;42217))</f>
        <v>#REF!</v>
      </c>
      <c r="E14" s="92" t="e">
        <f>SUMPRODUCT((Data!$C$2:$C55=$A14)*(Data!#REF!=E$2)*(Data!$A$2:$A55&lt;42217))</f>
        <v>#REF!</v>
      </c>
      <c r="F14" s="92" t="e">
        <f>SUMPRODUCT((Data!$C$2:$C55=$A14)*(Data!#REF!=F$2)*(Data!$A$2:$A55&lt;42217))</f>
        <v>#REF!</v>
      </c>
      <c r="G14" s="92" t="e">
        <f>SUMPRODUCT((Data!$C$2:$C55=$A14)*(Data!#REF!=G$2)*(Data!$A$2:$A55&lt;42217))</f>
        <v>#REF!</v>
      </c>
      <c r="H14" s="92" t="e">
        <f>SUMPRODUCT((Data!$C$2:$C55=$A14)*(Data!#REF!=H$2)*(Data!$A$2:$A55&lt;42217))</f>
        <v>#REF!</v>
      </c>
      <c r="I14" s="93" t="e">
        <f>SUMPRODUCT((Data!$C$2:$C55=$A14)*(Data!#REF!=I$2)*(Data!$AI$2:$AI55="Yes")*(Data!$A$2:$A55&lt;42217))</f>
        <v>#REF!</v>
      </c>
      <c r="J14" s="93" t="e">
        <f>SUMPRODUCT((Data!$C$2:$C55=$A14)*(Data!#REF!=J$2)*(Data!$AI$2:$AI55="Yes")*(Data!$A$2:$A55&lt;42217))</f>
        <v>#REF!</v>
      </c>
      <c r="K14" s="93" t="e">
        <f>SUMPRODUCT((Data!$C$2:$C55=$A14)*(Data!#REF!=K$2)*(Data!$AI$2:$AI55="Yes")*(Data!$A$2:$A55&lt;42217))</f>
        <v>#REF!</v>
      </c>
      <c r="L14" s="93" t="e">
        <f>SUMPRODUCT((Data!$C$2:$C55=$A14)*(Data!#REF!=L$2)*(Data!$AI$2:$AI55="Yes")*(Data!$A$2:$A55&lt;42217))</f>
        <v>#REF!</v>
      </c>
      <c r="M14" s="93" t="e">
        <f>SUMPRODUCT((Data!$C$2:$C55=$A14)*(Data!#REF!=M$2)*(Data!$AI$2:$AI55="Yes")*(Data!$A$2:$A55&lt;42217))</f>
        <v>#REF!</v>
      </c>
      <c r="N14" s="93" t="e">
        <f>SUMPRODUCT((Data!$C$2:$C55=$A14)*(Data!#REF!=N$2)*(Data!$AI$2:$AI55="Yes")*(Data!$A$2:$A55&lt;42217))</f>
        <v>#REF!</v>
      </c>
      <c r="O14" s="93" t="e">
        <f>SUMPRODUCT((Data!$C$2:$C55=$A14)*(Data!#REF!=O$2)*(Data!$AI$2:$AI55="Yes")*(Data!$A$2:$A55&lt;42217))</f>
        <v>#REF!</v>
      </c>
      <c r="P14" s="94" t="e">
        <f>SUMPRODUCT((Data!$C$2:$C55=$A14)*(Data!#REF!=P$2)*(Data!$AA$2:$AA55="Yes")*(Data!$A$2:$A55&lt;42217))</f>
        <v>#REF!</v>
      </c>
      <c r="Q14" s="94" t="e">
        <f>SUMPRODUCT((Data!$C$2:$C55=$A14)*(Data!#REF!=Q$2)*(Data!$AA$2:$AA55="Yes")*(Data!$A$2:$A55&lt;42217))</f>
        <v>#REF!</v>
      </c>
      <c r="R14" s="94" t="e">
        <f>SUMPRODUCT((Data!$C$2:$C55=$A14)*(Data!#REF!=R$2)*(Data!$AA$2:$AA55="Yes")*(Data!$A$2:$A55&lt;42217))</f>
        <v>#REF!</v>
      </c>
      <c r="S14" s="94" t="e">
        <f>SUMPRODUCT((Data!$C$2:$C55=$A14)*(Data!#REF!=S$2)*(Data!$AA$2:$AA55="Yes")*(Data!$A$2:$A55&lt;42217))</f>
        <v>#REF!</v>
      </c>
      <c r="T14" s="94" t="e">
        <f>SUMPRODUCT((Data!$C$2:$C55=$A14)*(Data!#REF!=T$2)*(Data!$AA$2:$AA55="Yes")*(Data!$A$2:$A55&lt;42217))</f>
        <v>#REF!</v>
      </c>
      <c r="U14" s="94" t="e">
        <f>SUMPRODUCT((Data!$C$2:$C55=$A14)*(Data!#REF!=U$2)*(Data!$AA$2:$AA55="Yes")*(Data!$A$2:$A55&lt;42217))</f>
        <v>#REF!</v>
      </c>
      <c r="V14" s="94" t="e">
        <f>SUMPRODUCT((Data!$C$2:$C55=$A14)*(Data!#REF!=V$2)*(Data!$AA$2:$AA55="Yes")*(Data!$A$2:$A55&lt;42217))</f>
        <v>#REF!</v>
      </c>
      <c r="W14" s="95" t="e">
        <f>SUMPRODUCT((Data!$C$2:$C55=$A14)*(Data!#REF!=W$2)*(Data!$AA$2:$AA55="No")*(Data!$A$2:$A55&lt;42217))</f>
        <v>#REF!</v>
      </c>
      <c r="X14" s="95" t="e">
        <f>SUMPRODUCT((Data!$C$2:$C55=$A14)*(Data!#REF!=X$2)*(Data!$AA$2:$AA55="No")*(Data!$A$2:$A55&lt;42217))</f>
        <v>#REF!</v>
      </c>
      <c r="Y14" s="95" t="e">
        <f>SUMPRODUCT((Data!$C$2:$C55=$A14)*(Data!#REF!=Y$2)*(Data!$AA$2:$AA55="No")*(Data!$A$2:$A55&lt;42217))</f>
        <v>#REF!</v>
      </c>
      <c r="Z14" s="95" t="e">
        <f>SUMPRODUCT((Data!$C$2:$C55=$A14)*(Data!#REF!=Z$2)*(Data!$AA$2:$AA55="No")*(Data!$A$2:$A55&lt;42217))</f>
        <v>#REF!</v>
      </c>
      <c r="AA14" s="95" t="e">
        <f>SUMPRODUCT((Data!$C$2:$C55=$A14)*(Data!#REF!=AA$2)*(Data!$AA$2:$AA55="No")*(Data!$A$2:$A55&lt;42217))</f>
        <v>#REF!</v>
      </c>
      <c r="AB14" s="95" t="e">
        <f>SUMPRODUCT((Data!$C$2:$C55=$A14)*(Data!#REF!=AB$2)*(Data!$AA$2:$AA55="No")*(Data!$A$2:$A55&lt;42217))</f>
        <v>#REF!</v>
      </c>
      <c r="AC14" s="95" t="e">
        <f>SUMPRODUCT((Data!$C$2:$C55=$A14)*(Data!#REF!=AC$2)*(Data!$AA$2:$AA55="No")*(Data!$A$2:$A55&lt;42217))</f>
        <v>#REF!</v>
      </c>
      <c r="AD14" s="96" t="s">
        <v>28</v>
      </c>
      <c r="AE14" s="96" t="s">
        <v>28</v>
      </c>
      <c r="AF14" s="96" t="s">
        <v>28</v>
      </c>
      <c r="AG14" s="96" t="s">
        <v>28</v>
      </c>
      <c r="AH14" s="96" t="s">
        <v>28</v>
      </c>
      <c r="AI14" s="96" t="s">
        <v>28</v>
      </c>
      <c r="AJ14" s="96" t="s">
        <v>28</v>
      </c>
      <c r="AK14" s="97">
        <v>1295178</v>
      </c>
      <c r="AL14" s="97">
        <v>1363950</v>
      </c>
      <c r="AM14" s="97">
        <v>1378251</v>
      </c>
      <c r="AN14" s="97">
        <v>1392766</v>
      </c>
      <c r="AO14" s="97">
        <v>1408987</v>
      </c>
      <c r="AP14" s="97">
        <v>1419561</v>
      </c>
      <c r="AQ14" s="98">
        <f t="shared" si="0"/>
        <v>828077.25</v>
      </c>
      <c r="AR14" s="99" t="e">
        <f t="shared" si="1"/>
        <v>#REF!</v>
      </c>
      <c r="AS14" s="99">
        <f t="shared" si="2"/>
        <v>0</v>
      </c>
      <c r="AT14" s="99" t="e">
        <f t="shared" si="3"/>
        <v>#REF!</v>
      </c>
      <c r="AU14" s="99" t="e">
        <f t="shared" si="4"/>
        <v>#REF!</v>
      </c>
      <c r="AV14" s="99" t="e">
        <f t="shared" si="5"/>
        <v>#REF!</v>
      </c>
      <c r="AW14" s="99" t="e">
        <f t="shared" si="6"/>
        <v>#REF!</v>
      </c>
      <c r="AX14" s="99">
        <f t="shared" si="7"/>
        <v>9086770.25</v>
      </c>
      <c r="AY14" s="99">
        <f t="shared" si="8"/>
        <v>0</v>
      </c>
      <c r="AZ14" s="99">
        <f t="shared" si="9"/>
        <v>9086770.25</v>
      </c>
      <c r="BA14" s="100" t="e">
        <f t="shared" ref="BA14:BC14" si="21">(AT14/$AZ14)*100000000</f>
        <v>#REF!</v>
      </c>
      <c r="BB14" s="100" t="e">
        <f t="shared" si="21"/>
        <v>#REF!</v>
      </c>
      <c r="BC14" s="100" t="e">
        <f t="shared" si="21"/>
        <v>#REF!</v>
      </c>
    </row>
    <row r="15" spans="1:55" ht="12">
      <c r="A15" s="91" t="s">
        <v>92</v>
      </c>
      <c r="B15" s="92" t="e">
        <f>SUMPRODUCT((Data!$C$2:$C55=$A15)*(Data!#REF!=B$2)*(Data!$A$2:$A55&lt;42217))</f>
        <v>#REF!</v>
      </c>
      <c r="C15" s="92" t="e">
        <f>SUMPRODUCT((Data!$C$2:$C55=$A15)*(Data!#REF!=C$2)*(Data!$A$2:$A55&lt;42217))</f>
        <v>#REF!</v>
      </c>
      <c r="D15" s="92" t="e">
        <f>SUMPRODUCT((Data!$C$2:$C55=$A15)*(Data!#REF!=D$2)*(Data!$A$2:$A55&lt;42217))</f>
        <v>#REF!</v>
      </c>
      <c r="E15" s="92" t="e">
        <f>SUMPRODUCT((Data!$C$2:$C55=$A15)*(Data!#REF!=E$2)*(Data!$A$2:$A55&lt;42217))</f>
        <v>#REF!</v>
      </c>
      <c r="F15" s="92" t="e">
        <f>SUMPRODUCT((Data!$C$2:$C55=$A15)*(Data!#REF!=F$2)*(Data!$A$2:$A55&lt;42217))</f>
        <v>#REF!</v>
      </c>
      <c r="G15" s="92" t="e">
        <f>SUMPRODUCT((Data!$C$2:$C55=$A15)*(Data!#REF!=G$2)*(Data!$A$2:$A55&lt;42217))</f>
        <v>#REF!</v>
      </c>
      <c r="H15" s="92" t="e">
        <f>SUMPRODUCT((Data!$C$2:$C55=$A15)*(Data!#REF!=H$2)*(Data!$A$2:$A55&lt;42217))</f>
        <v>#REF!</v>
      </c>
      <c r="I15" s="93" t="e">
        <f>SUMPRODUCT((Data!$C$2:$C55=$A15)*(Data!#REF!=I$2)*(Data!$AI$2:$AI55="Yes")*(Data!$A$2:$A55&lt;42217))</f>
        <v>#REF!</v>
      </c>
      <c r="J15" s="93" t="e">
        <f>SUMPRODUCT((Data!$C$2:$C55=$A15)*(Data!#REF!=J$2)*(Data!$AI$2:$AI55="Yes")*(Data!$A$2:$A55&lt;42217))</f>
        <v>#REF!</v>
      </c>
      <c r="K15" s="93" t="e">
        <f>SUMPRODUCT((Data!$C$2:$C55=$A15)*(Data!#REF!=K$2)*(Data!$AI$2:$AI55="Yes")*(Data!$A$2:$A55&lt;42217))</f>
        <v>#REF!</v>
      </c>
      <c r="L15" s="93" t="e">
        <f>SUMPRODUCT((Data!$C$2:$C55=$A15)*(Data!#REF!=L$2)*(Data!$AI$2:$AI55="Yes")*(Data!$A$2:$A55&lt;42217))</f>
        <v>#REF!</v>
      </c>
      <c r="M15" s="93" t="e">
        <f>SUMPRODUCT((Data!$C$2:$C55=$A15)*(Data!#REF!=M$2)*(Data!$AI$2:$AI55="Yes")*(Data!$A$2:$A55&lt;42217))</f>
        <v>#REF!</v>
      </c>
      <c r="N15" s="93" t="e">
        <f>SUMPRODUCT((Data!$C$2:$C55=$A15)*(Data!#REF!=N$2)*(Data!$AI$2:$AI55="Yes")*(Data!$A$2:$A55&lt;42217))</f>
        <v>#REF!</v>
      </c>
      <c r="O15" s="93" t="e">
        <f>SUMPRODUCT((Data!$C$2:$C55=$A15)*(Data!#REF!=O$2)*(Data!$AI$2:$AI55="Yes")*(Data!$A$2:$A55&lt;42217))</f>
        <v>#REF!</v>
      </c>
      <c r="P15" s="94" t="e">
        <f>SUMPRODUCT((Data!$C$2:$C55=$A15)*(Data!#REF!=P$2)*(Data!$AA$2:$AA55="Yes")*(Data!$A$2:$A55&lt;42217))</f>
        <v>#REF!</v>
      </c>
      <c r="Q15" s="94" t="e">
        <f>SUMPRODUCT((Data!$C$2:$C55=$A15)*(Data!#REF!=Q$2)*(Data!$AA$2:$AA55="Yes")*(Data!$A$2:$A55&lt;42217))</f>
        <v>#REF!</v>
      </c>
      <c r="R15" s="94" t="e">
        <f>SUMPRODUCT((Data!$C$2:$C55=$A15)*(Data!#REF!=R$2)*(Data!$AA$2:$AA55="Yes")*(Data!$A$2:$A55&lt;42217))</f>
        <v>#REF!</v>
      </c>
      <c r="S15" s="94" t="e">
        <f>SUMPRODUCT((Data!$C$2:$C55=$A15)*(Data!#REF!=S$2)*(Data!$AA$2:$AA55="Yes")*(Data!$A$2:$A55&lt;42217))</f>
        <v>#REF!</v>
      </c>
      <c r="T15" s="94" t="e">
        <f>SUMPRODUCT((Data!$C$2:$C55=$A15)*(Data!#REF!=T$2)*(Data!$AA$2:$AA55="Yes")*(Data!$A$2:$A55&lt;42217))</f>
        <v>#REF!</v>
      </c>
      <c r="U15" s="94" t="e">
        <f>SUMPRODUCT((Data!$C$2:$C55=$A15)*(Data!#REF!=U$2)*(Data!$AA$2:$AA55="Yes")*(Data!$A$2:$A55&lt;42217))</f>
        <v>#REF!</v>
      </c>
      <c r="V15" s="94" t="e">
        <f>SUMPRODUCT((Data!$C$2:$C55=$A15)*(Data!#REF!=V$2)*(Data!$AA$2:$AA55="Yes")*(Data!$A$2:$A55&lt;42217))</f>
        <v>#REF!</v>
      </c>
      <c r="W15" s="95" t="e">
        <f>SUMPRODUCT((Data!$C$2:$C55=$A15)*(Data!#REF!=W$2)*(Data!$AA$2:$AA55="No")*(Data!$A$2:$A55&lt;42217))</f>
        <v>#REF!</v>
      </c>
      <c r="X15" s="95" t="e">
        <f>SUMPRODUCT((Data!$C$2:$C55=$A15)*(Data!#REF!=X$2)*(Data!$AA$2:$AA55="No")*(Data!$A$2:$A55&lt;42217))</f>
        <v>#REF!</v>
      </c>
      <c r="Y15" s="95" t="e">
        <f>SUMPRODUCT((Data!$C$2:$C55=$A15)*(Data!#REF!=Y$2)*(Data!$AA$2:$AA55="No")*(Data!$A$2:$A55&lt;42217))</f>
        <v>#REF!</v>
      </c>
      <c r="Z15" s="95" t="e">
        <f>SUMPRODUCT((Data!$C$2:$C55=$A15)*(Data!#REF!=Z$2)*(Data!$AA$2:$AA55="No")*(Data!$A$2:$A55&lt;42217))</f>
        <v>#REF!</v>
      </c>
      <c r="AA15" s="95" t="e">
        <f>SUMPRODUCT((Data!$C$2:$C55=$A15)*(Data!#REF!=AA$2)*(Data!$AA$2:$AA55="No")*(Data!$A$2:$A55&lt;42217))</f>
        <v>#REF!</v>
      </c>
      <c r="AB15" s="95" t="e">
        <f>SUMPRODUCT((Data!$C$2:$C55=$A15)*(Data!#REF!=AB$2)*(Data!$AA$2:$AA55="No")*(Data!$A$2:$A55&lt;42217))</f>
        <v>#REF!</v>
      </c>
      <c r="AC15" s="95" t="e">
        <f>SUMPRODUCT((Data!$C$2:$C55=$A15)*(Data!#REF!=AC$2)*(Data!$AA$2:$AA55="No")*(Data!$A$2:$A55&lt;42217))</f>
        <v>#REF!</v>
      </c>
      <c r="AD15" s="96" t="s">
        <v>17</v>
      </c>
      <c r="AE15" s="96" t="s">
        <v>17</v>
      </c>
      <c r="AF15" s="96" t="s">
        <v>17</v>
      </c>
      <c r="AG15" s="96" t="s">
        <v>17</v>
      </c>
      <c r="AH15" s="96" t="s">
        <v>17</v>
      </c>
      <c r="AI15" s="96" t="s">
        <v>17</v>
      </c>
      <c r="AJ15" s="96" t="s">
        <v>17</v>
      </c>
      <c r="AK15" s="97">
        <v>1545801</v>
      </c>
      <c r="AL15" s="97">
        <v>1570639</v>
      </c>
      <c r="AM15" s="97">
        <v>1583780</v>
      </c>
      <c r="AN15" s="97">
        <v>1595590</v>
      </c>
      <c r="AO15" s="97">
        <v>1612843</v>
      </c>
      <c r="AP15" s="97">
        <v>1634464</v>
      </c>
      <c r="AQ15" s="98">
        <f t="shared" si="0"/>
        <v>953437.33333333337</v>
      </c>
      <c r="AR15" s="99">
        <f t="shared" si="1"/>
        <v>0</v>
      </c>
      <c r="AS15" s="99" t="e">
        <f t="shared" si="2"/>
        <v>#REF!</v>
      </c>
      <c r="AT15" s="99" t="e">
        <f t="shared" si="3"/>
        <v>#REF!</v>
      </c>
      <c r="AU15" s="99" t="e">
        <f t="shared" si="4"/>
        <v>#REF!</v>
      </c>
      <c r="AV15" s="99" t="e">
        <f t="shared" si="5"/>
        <v>#REF!</v>
      </c>
      <c r="AW15" s="99" t="e">
        <f t="shared" si="6"/>
        <v>#REF!</v>
      </c>
      <c r="AX15" s="99">
        <f t="shared" si="7"/>
        <v>0</v>
      </c>
      <c r="AY15" s="99">
        <f t="shared" si="8"/>
        <v>10496554.333333334</v>
      </c>
      <c r="AZ15" s="99">
        <f t="shared" si="9"/>
        <v>10496554.333333334</v>
      </c>
      <c r="BA15" s="100" t="e">
        <f t="shared" ref="BA15:BC15" si="22">(AT15/$AZ15)*100000000</f>
        <v>#REF!</v>
      </c>
      <c r="BB15" s="100" t="e">
        <f t="shared" si="22"/>
        <v>#REF!</v>
      </c>
      <c r="BC15" s="100" t="e">
        <f t="shared" si="22"/>
        <v>#REF!</v>
      </c>
    </row>
    <row r="16" spans="1:55" ht="12">
      <c r="A16" s="91" t="s">
        <v>21</v>
      </c>
      <c r="B16" s="92" t="e">
        <f>SUMPRODUCT((Data!$C$2:$C55=$A16)*(Data!#REF!=B$2)*(Data!$A$2:$A55&lt;42217))</f>
        <v>#REF!</v>
      </c>
      <c r="C16" s="92" t="e">
        <f>SUMPRODUCT((Data!$C$2:$C55=$A16)*(Data!#REF!=C$2)*(Data!$A$2:$A55&lt;42217))</f>
        <v>#REF!</v>
      </c>
      <c r="D16" s="92" t="e">
        <f>SUMPRODUCT((Data!$C$2:$C55=$A16)*(Data!#REF!=D$2)*(Data!$A$2:$A55&lt;42217))</f>
        <v>#REF!</v>
      </c>
      <c r="E16" s="92" t="e">
        <f>SUMPRODUCT((Data!$C$2:$C55=$A16)*(Data!#REF!=E$2)*(Data!$A$2:$A55&lt;42217))</f>
        <v>#REF!</v>
      </c>
      <c r="F16" s="92" t="e">
        <f>SUMPRODUCT((Data!$C$2:$C55=$A16)*(Data!#REF!=F$2)*(Data!$A$2:$A55&lt;42217))</f>
        <v>#REF!</v>
      </c>
      <c r="G16" s="92" t="e">
        <f>SUMPRODUCT((Data!$C$2:$C55=$A16)*(Data!#REF!=G$2)*(Data!$A$2:$A55&lt;42217))</f>
        <v>#REF!</v>
      </c>
      <c r="H16" s="92" t="e">
        <f>SUMPRODUCT((Data!$C$2:$C55=$A16)*(Data!#REF!=H$2)*(Data!$A$2:$A55&lt;42217))</f>
        <v>#REF!</v>
      </c>
      <c r="I16" s="93" t="e">
        <f>SUMPRODUCT((Data!$C$2:$C55=$A16)*(Data!#REF!=I$2)*(Data!$AI$2:$AI55="Yes")*(Data!$A$2:$A55&lt;42217))</f>
        <v>#REF!</v>
      </c>
      <c r="J16" s="93" t="e">
        <f>SUMPRODUCT((Data!$C$2:$C55=$A16)*(Data!#REF!=J$2)*(Data!$AI$2:$AI55="Yes")*(Data!$A$2:$A55&lt;42217))</f>
        <v>#REF!</v>
      </c>
      <c r="K16" s="93" t="e">
        <f>SUMPRODUCT((Data!$C$2:$C55=$A16)*(Data!#REF!=K$2)*(Data!$AI$2:$AI55="Yes")*(Data!$A$2:$A55&lt;42217))</f>
        <v>#REF!</v>
      </c>
      <c r="L16" s="93" t="e">
        <f>SUMPRODUCT((Data!$C$2:$C55=$A16)*(Data!#REF!=L$2)*(Data!$AI$2:$AI55="Yes")*(Data!$A$2:$A55&lt;42217))</f>
        <v>#REF!</v>
      </c>
      <c r="M16" s="93" t="e">
        <f>SUMPRODUCT((Data!$C$2:$C55=$A16)*(Data!#REF!=M$2)*(Data!$AI$2:$AI55="Yes")*(Data!$A$2:$A55&lt;42217))</f>
        <v>#REF!</v>
      </c>
      <c r="N16" s="93" t="e">
        <f>SUMPRODUCT((Data!$C$2:$C55=$A16)*(Data!#REF!=N$2)*(Data!$AI$2:$AI55="Yes")*(Data!$A$2:$A55&lt;42217))</f>
        <v>#REF!</v>
      </c>
      <c r="O16" s="93" t="e">
        <f>SUMPRODUCT((Data!$C$2:$C55=$A16)*(Data!#REF!=O$2)*(Data!$AI$2:$AI55="Yes")*(Data!$A$2:$A55&lt;42217))</f>
        <v>#REF!</v>
      </c>
      <c r="P16" s="94" t="e">
        <f>SUMPRODUCT((Data!$C$2:$C55=$A16)*(Data!#REF!=P$2)*(Data!$AA$2:$AA55="Yes")*(Data!$A$2:$A55&lt;42217))</f>
        <v>#REF!</v>
      </c>
      <c r="Q16" s="94" t="e">
        <f>SUMPRODUCT((Data!$C$2:$C55=$A16)*(Data!#REF!=Q$2)*(Data!$AA$2:$AA55="Yes")*(Data!$A$2:$A55&lt;42217))</f>
        <v>#REF!</v>
      </c>
      <c r="R16" s="94" t="e">
        <f>SUMPRODUCT((Data!$C$2:$C55=$A16)*(Data!#REF!=R$2)*(Data!$AA$2:$AA55="Yes")*(Data!$A$2:$A55&lt;42217))</f>
        <v>#REF!</v>
      </c>
      <c r="S16" s="94" t="e">
        <f>SUMPRODUCT((Data!$C$2:$C55=$A16)*(Data!#REF!=S$2)*(Data!$AA$2:$AA55="Yes")*(Data!$A$2:$A55&lt;42217))</f>
        <v>#REF!</v>
      </c>
      <c r="T16" s="94" t="e">
        <f>SUMPRODUCT((Data!$C$2:$C55=$A16)*(Data!#REF!=T$2)*(Data!$AA$2:$AA55="Yes")*(Data!$A$2:$A55&lt;42217))</f>
        <v>#REF!</v>
      </c>
      <c r="U16" s="94" t="e">
        <f>SUMPRODUCT((Data!$C$2:$C55=$A16)*(Data!#REF!=U$2)*(Data!$AA$2:$AA55="Yes")*(Data!$A$2:$A55&lt;42217))</f>
        <v>#REF!</v>
      </c>
      <c r="V16" s="94" t="e">
        <f>SUMPRODUCT((Data!$C$2:$C55=$A16)*(Data!#REF!=V$2)*(Data!$AA$2:$AA55="Yes")*(Data!$A$2:$A55&lt;42217))</f>
        <v>#REF!</v>
      </c>
      <c r="W16" s="95" t="e">
        <f>SUMPRODUCT((Data!$C$2:$C55=$A16)*(Data!#REF!=W$2)*(Data!$AA$2:$AA55="No")*(Data!$A$2:$A55&lt;42217))</f>
        <v>#REF!</v>
      </c>
      <c r="X16" s="95" t="e">
        <f>SUMPRODUCT((Data!$C$2:$C55=$A16)*(Data!#REF!=X$2)*(Data!$AA$2:$AA55="No")*(Data!$A$2:$A55&lt;42217))</f>
        <v>#REF!</v>
      </c>
      <c r="Y16" s="95" t="e">
        <f>SUMPRODUCT((Data!$C$2:$C55=$A16)*(Data!#REF!=Y$2)*(Data!$AA$2:$AA55="No")*(Data!$A$2:$A55&lt;42217))</f>
        <v>#REF!</v>
      </c>
      <c r="Z16" s="95" t="e">
        <f>SUMPRODUCT((Data!$C$2:$C55=$A16)*(Data!#REF!=Z$2)*(Data!$AA$2:$AA55="No")*(Data!$A$2:$A55&lt;42217))</f>
        <v>#REF!</v>
      </c>
      <c r="AA16" s="95" t="e">
        <f>SUMPRODUCT((Data!$C$2:$C55=$A16)*(Data!#REF!=AA$2)*(Data!$AA$2:$AA55="No")*(Data!$A$2:$A55&lt;42217))</f>
        <v>#REF!</v>
      </c>
      <c r="AB16" s="95" t="e">
        <f>SUMPRODUCT((Data!$C$2:$C55=$A16)*(Data!#REF!=AB$2)*(Data!$AA$2:$AA55="No")*(Data!$A$2:$A55&lt;42217))</f>
        <v>#REF!</v>
      </c>
      <c r="AC16" s="95" t="e">
        <f>SUMPRODUCT((Data!$C$2:$C55=$A16)*(Data!#REF!=AC$2)*(Data!$AA$2:$AA55="No")*(Data!$A$2:$A55&lt;42217))</f>
        <v>#REF!</v>
      </c>
      <c r="AD16" s="96" t="s">
        <v>28</v>
      </c>
      <c r="AE16" s="96" t="s">
        <v>28</v>
      </c>
      <c r="AF16" s="96" t="s">
        <v>28</v>
      </c>
      <c r="AG16" s="96" t="s">
        <v>28</v>
      </c>
      <c r="AH16" s="96" t="s">
        <v>28</v>
      </c>
      <c r="AI16" s="96" t="s">
        <v>28</v>
      </c>
      <c r="AJ16" s="96" t="s">
        <v>28</v>
      </c>
      <c r="AK16" s="97">
        <v>12910409</v>
      </c>
      <c r="AL16" s="97">
        <v>12840097</v>
      </c>
      <c r="AM16" s="97">
        <v>12858725</v>
      </c>
      <c r="AN16" s="97">
        <v>12873763</v>
      </c>
      <c r="AO16" s="97">
        <v>12890552</v>
      </c>
      <c r="AP16" s="97">
        <v>12880580</v>
      </c>
      <c r="AQ16" s="98">
        <f t="shared" si="0"/>
        <v>7513671.666666667</v>
      </c>
      <c r="AR16" s="99" t="e">
        <f t="shared" si="1"/>
        <v>#REF!</v>
      </c>
      <c r="AS16" s="99">
        <f t="shared" si="2"/>
        <v>0</v>
      </c>
      <c r="AT16" s="99" t="e">
        <f t="shared" si="3"/>
        <v>#REF!</v>
      </c>
      <c r="AU16" s="99" t="e">
        <f t="shared" si="4"/>
        <v>#REF!</v>
      </c>
      <c r="AV16" s="99" t="e">
        <f t="shared" si="5"/>
        <v>#REF!</v>
      </c>
      <c r="AW16" s="99" t="e">
        <f t="shared" si="6"/>
        <v>#REF!</v>
      </c>
      <c r="AX16" s="99">
        <f t="shared" si="7"/>
        <v>84767797.666666672</v>
      </c>
      <c r="AY16" s="99">
        <f t="shared" si="8"/>
        <v>0</v>
      </c>
      <c r="AZ16" s="99">
        <f t="shared" si="9"/>
        <v>84767797.666666672</v>
      </c>
      <c r="BA16" s="100" t="e">
        <f t="shared" ref="BA16:BC16" si="23">(AT16/$AZ16)*100000000</f>
        <v>#REF!</v>
      </c>
      <c r="BB16" s="100" t="e">
        <f t="shared" si="23"/>
        <v>#REF!</v>
      </c>
      <c r="BC16" s="100" t="e">
        <f t="shared" si="23"/>
        <v>#REF!</v>
      </c>
    </row>
    <row r="17" spans="1:55" ht="12">
      <c r="A17" s="91" t="s">
        <v>7</v>
      </c>
      <c r="B17" s="92" t="e">
        <f>SUMPRODUCT((Data!$C$2:$C55=$A17)*(Data!#REF!=B$2)*(Data!$A$2:$A55&lt;42217))</f>
        <v>#REF!</v>
      </c>
      <c r="C17" s="92" t="e">
        <f>SUMPRODUCT((Data!$C$2:$C55=$A17)*(Data!#REF!=C$2)*(Data!$A$2:$A55&lt;42217))</f>
        <v>#REF!</v>
      </c>
      <c r="D17" s="92" t="e">
        <f>SUMPRODUCT((Data!$C$2:$C55=$A17)*(Data!#REF!=D$2)*(Data!$A$2:$A55&lt;42217))</f>
        <v>#REF!</v>
      </c>
      <c r="E17" s="92" t="e">
        <f>SUMPRODUCT((Data!$C$2:$C55=$A17)*(Data!#REF!=E$2)*(Data!$A$2:$A55&lt;42217))</f>
        <v>#REF!</v>
      </c>
      <c r="F17" s="92" t="e">
        <f>SUMPRODUCT((Data!$C$2:$C55=$A17)*(Data!#REF!=F$2)*(Data!$A$2:$A55&lt;42217))</f>
        <v>#REF!</v>
      </c>
      <c r="G17" s="92" t="e">
        <f>SUMPRODUCT((Data!$C$2:$C55=$A17)*(Data!#REF!=G$2)*(Data!$A$2:$A55&lt;42217))</f>
        <v>#REF!</v>
      </c>
      <c r="H17" s="92" t="e">
        <f>SUMPRODUCT((Data!$C$2:$C55=$A17)*(Data!#REF!=H$2)*(Data!$A$2:$A55&lt;42217))</f>
        <v>#REF!</v>
      </c>
      <c r="I17" s="93" t="e">
        <f>SUMPRODUCT((Data!$C$2:$C55=$A17)*(Data!#REF!=I$2)*(Data!$AI$2:$AI55="Yes")*(Data!$A$2:$A55&lt;42217))</f>
        <v>#REF!</v>
      </c>
      <c r="J17" s="93" t="e">
        <f>SUMPRODUCT((Data!$C$2:$C55=$A17)*(Data!#REF!=J$2)*(Data!$AI$2:$AI55="Yes")*(Data!$A$2:$A55&lt;42217))</f>
        <v>#REF!</v>
      </c>
      <c r="K17" s="93" t="e">
        <f>SUMPRODUCT((Data!$C$2:$C55=$A17)*(Data!#REF!=K$2)*(Data!$AI$2:$AI55="Yes")*(Data!$A$2:$A55&lt;42217))</f>
        <v>#REF!</v>
      </c>
      <c r="L17" s="93" t="e">
        <f>SUMPRODUCT((Data!$C$2:$C55=$A17)*(Data!#REF!=L$2)*(Data!$AI$2:$AI55="Yes")*(Data!$A$2:$A55&lt;42217))</f>
        <v>#REF!</v>
      </c>
      <c r="M17" s="93" t="e">
        <f>SUMPRODUCT((Data!$C$2:$C55=$A17)*(Data!#REF!=M$2)*(Data!$AI$2:$AI55="Yes")*(Data!$A$2:$A55&lt;42217))</f>
        <v>#REF!</v>
      </c>
      <c r="N17" s="93" t="e">
        <f>SUMPRODUCT((Data!$C$2:$C55=$A17)*(Data!#REF!=N$2)*(Data!$AI$2:$AI55="Yes")*(Data!$A$2:$A55&lt;42217))</f>
        <v>#REF!</v>
      </c>
      <c r="O17" s="93" t="e">
        <f>SUMPRODUCT((Data!$C$2:$C55=$A17)*(Data!#REF!=O$2)*(Data!$AI$2:$AI55="Yes")*(Data!$A$2:$A55&lt;42217))</f>
        <v>#REF!</v>
      </c>
      <c r="P17" s="94" t="e">
        <f>SUMPRODUCT((Data!$C$2:$C55=$A17)*(Data!#REF!=P$2)*(Data!$AA$2:$AA55="Yes")*(Data!$A$2:$A55&lt;42217))</f>
        <v>#REF!</v>
      </c>
      <c r="Q17" s="94" t="e">
        <f>SUMPRODUCT((Data!$C$2:$C55=$A17)*(Data!#REF!=Q$2)*(Data!$AA$2:$AA55="Yes")*(Data!$A$2:$A55&lt;42217))</f>
        <v>#REF!</v>
      </c>
      <c r="R17" s="94" t="e">
        <f>SUMPRODUCT((Data!$C$2:$C55=$A17)*(Data!#REF!=R$2)*(Data!$AA$2:$AA55="Yes")*(Data!$A$2:$A55&lt;42217))</f>
        <v>#REF!</v>
      </c>
      <c r="S17" s="94" t="e">
        <f>SUMPRODUCT((Data!$C$2:$C55=$A17)*(Data!#REF!=S$2)*(Data!$AA$2:$AA55="Yes")*(Data!$A$2:$A55&lt;42217))</f>
        <v>#REF!</v>
      </c>
      <c r="T17" s="94" t="e">
        <f>SUMPRODUCT((Data!$C$2:$C55=$A17)*(Data!#REF!=T$2)*(Data!$AA$2:$AA55="Yes")*(Data!$A$2:$A55&lt;42217))</f>
        <v>#REF!</v>
      </c>
      <c r="U17" s="94" t="e">
        <f>SUMPRODUCT((Data!$C$2:$C55=$A17)*(Data!#REF!=U$2)*(Data!$AA$2:$AA55="Yes")*(Data!$A$2:$A55&lt;42217))</f>
        <v>#REF!</v>
      </c>
      <c r="V17" s="94" t="e">
        <f>SUMPRODUCT((Data!$C$2:$C55=$A17)*(Data!#REF!=V$2)*(Data!$AA$2:$AA55="Yes")*(Data!$A$2:$A55&lt;42217))</f>
        <v>#REF!</v>
      </c>
      <c r="W17" s="95" t="e">
        <f>SUMPRODUCT((Data!$C$2:$C55=$A17)*(Data!#REF!=W$2)*(Data!$AA$2:$AA55="No")*(Data!$A$2:$A55&lt;42217))</f>
        <v>#REF!</v>
      </c>
      <c r="X17" s="95" t="e">
        <f>SUMPRODUCT((Data!$C$2:$C55=$A17)*(Data!#REF!=X$2)*(Data!$AA$2:$AA55="No")*(Data!$A$2:$A55&lt;42217))</f>
        <v>#REF!</v>
      </c>
      <c r="Y17" s="95" t="e">
        <f>SUMPRODUCT((Data!$C$2:$C55=$A17)*(Data!#REF!=Y$2)*(Data!$AA$2:$AA55="No")*(Data!$A$2:$A55&lt;42217))</f>
        <v>#REF!</v>
      </c>
      <c r="Z17" s="95" t="e">
        <f>SUMPRODUCT((Data!$C$2:$C55=$A17)*(Data!#REF!=Z$2)*(Data!$AA$2:$AA55="No")*(Data!$A$2:$A55&lt;42217))</f>
        <v>#REF!</v>
      </c>
      <c r="AA17" s="95" t="e">
        <f>SUMPRODUCT((Data!$C$2:$C55=$A17)*(Data!#REF!=AA$2)*(Data!$AA$2:$AA55="No")*(Data!$A$2:$A55&lt;42217))</f>
        <v>#REF!</v>
      </c>
      <c r="AB17" s="95" t="e">
        <f>SUMPRODUCT((Data!$C$2:$C55=$A17)*(Data!#REF!=AB$2)*(Data!$AA$2:$AA55="No")*(Data!$A$2:$A55&lt;42217))</f>
        <v>#REF!</v>
      </c>
      <c r="AC17" s="95" t="e">
        <f>SUMPRODUCT((Data!$C$2:$C55=$A17)*(Data!#REF!=AC$2)*(Data!$AA$2:$AA55="No")*(Data!$A$2:$A55&lt;42217))</f>
        <v>#REF!</v>
      </c>
      <c r="AD17" s="96" t="s">
        <v>17</v>
      </c>
      <c r="AE17" s="96" t="s">
        <v>17</v>
      </c>
      <c r="AF17" s="96" t="s">
        <v>17</v>
      </c>
      <c r="AG17" s="96" t="s">
        <v>17</v>
      </c>
      <c r="AH17" s="96" t="s">
        <v>17</v>
      </c>
      <c r="AI17" s="96" t="s">
        <v>17</v>
      </c>
      <c r="AJ17" s="96" t="s">
        <v>17</v>
      </c>
      <c r="AK17" s="97">
        <v>6423113</v>
      </c>
      <c r="AL17" s="97">
        <v>6490308</v>
      </c>
      <c r="AM17" s="97">
        <v>6516560</v>
      </c>
      <c r="AN17" s="97">
        <v>6537632</v>
      </c>
      <c r="AO17" s="97">
        <v>6570713</v>
      </c>
      <c r="AP17" s="97">
        <v>6596855</v>
      </c>
      <c r="AQ17" s="98">
        <f t="shared" si="0"/>
        <v>3848165.4166666665</v>
      </c>
      <c r="AR17" s="99">
        <f t="shared" si="1"/>
        <v>0</v>
      </c>
      <c r="AS17" s="99" t="e">
        <f t="shared" si="2"/>
        <v>#REF!</v>
      </c>
      <c r="AT17" s="99" t="e">
        <f t="shared" si="3"/>
        <v>#REF!</v>
      </c>
      <c r="AU17" s="99" t="e">
        <f t="shared" si="4"/>
        <v>#REF!</v>
      </c>
      <c r="AV17" s="99" t="e">
        <f t="shared" si="5"/>
        <v>#REF!</v>
      </c>
      <c r="AW17" s="99" t="e">
        <f t="shared" si="6"/>
        <v>#REF!</v>
      </c>
      <c r="AX17" s="99">
        <f t="shared" si="7"/>
        <v>0</v>
      </c>
      <c r="AY17" s="99">
        <f t="shared" si="8"/>
        <v>42983346.416666664</v>
      </c>
      <c r="AZ17" s="99">
        <f t="shared" si="9"/>
        <v>42983346.416666664</v>
      </c>
      <c r="BA17" s="100" t="e">
        <f t="shared" ref="BA17:BC17" si="24">(AT17/$AZ17)*100000000</f>
        <v>#REF!</v>
      </c>
      <c r="BB17" s="100" t="e">
        <f t="shared" si="24"/>
        <v>#REF!</v>
      </c>
      <c r="BC17" s="100" t="e">
        <f t="shared" si="24"/>
        <v>#REF!</v>
      </c>
    </row>
    <row r="18" spans="1:55" ht="12">
      <c r="A18" s="91" t="s">
        <v>160</v>
      </c>
      <c r="B18" s="92" t="e">
        <f>SUMPRODUCT((Data!$C$2:$C55=$A18)*(Data!#REF!=B$2)*(Data!$A$2:$A55&lt;42217))</f>
        <v>#REF!</v>
      </c>
      <c r="C18" s="92" t="e">
        <f>SUMPRODUCT((Data!$C$2:$C55=$A18)*(Data!#REF!=C$2)*(Data!$A$2:$A55&lt;42217))</f>
        <v>#REF!</v>
      </c>
      <c r="D18" s="92" t="e">
        <f>SUMPRODUCT((Data!$C$2:$C55=$A18)*(Data!#REF!=D$2)*(Data!$A$2:$A55&lt;42217))</f>
        <v>#REF!</v>
      </c>
      <c r="E18" s="92" t="e">
        <f>SUMPRODUCT((Data!$C$2:$C55=$A18)*(Data!#REF!=E$2)*(Data!$A$2:$A55&lt;42217))</f>
        <v>#REF!</v>
      </c>
      <c r="F18" s="92" t="e">
        <f>SUMPRODUCT((Data!$C$2:$C55=$A18)*(Data!#REF!=F$2)*(Data!$A$2:$A55&lt;42217))</f>
        <v>#REF!</v>
      </c>
      <c r="G18" s="92" t="e">
        <f>SUMPRODUCT((Data!$C$2:$C55=$A18)*(Data!#REF!=G$2)*(Data!$A$2:$A55&lt;42217))</f>
        <v>#REF!</v>
      </c>
      <c r="H18" s="92" t="e">
        <f>SUMPRODUCT((Data!$C$2:$C55=$A18)*(Data!#REF!=H$2)*(Data!$A$2:$A55&lt;42217))</f>
        <v>#REF!</v>
      </c>
      <c r="I18" s="93" t="e">
        <f>SUMPRODUCT((Data!$C$2:$C55=$A18)*(Data!#REF!=I$2)*(Data!$AI$2:$AI55="Yes")*(Data!$A$2:$A55&lt;42217))</f>
        <v>#REF!</v>
      </c>
      <c r="J18" s="93" t="e">
        <f>SUMPRODUCT((Data!$C$2:$C55=$A18)*(Data!#REF!=J$2)*(Data!$AI$2:$AI55="Yes")*(Data!$A$2:$A55&lt;42217))</f>
        <v>#REF!</v>
      </c>
      <c r="K18" s="93" t="e">
        <f>SUMPRODUCT((Data!$C$2:$C55=$A18)*(Data!#REF!=K$2)*(Data!$AI$2:$AI55="Yes")*(Data!$A$2:$A55&lt;42217))</f>
        <v>#REF!</v>
      </c>
      <c r="L18" s="93" t="e">
        <f>SUMPRODUCT((Data!$C$2:$C55=$A18)*(Data!#REF!=L$2)*(Data!$AI$2:$AI55="Yes")*(Data!$A$2:$A55&lt;42217))</f>
        <v>#REF!</v>
      </c>
      <c r="M18" s="93" t="e">
        <f>SUMPRODUCT((Data!$C$2:$C55=$A18)*(Data!#REF!=M$2)*(Data!$AI$2:$AI55="Yes")*(Data!$A$2:$A55&lt;42217))</f>
        <v>#REF!</v>
      </c>
      <c r="N18" s="93" t="e">
        <f>SUMPRODUCT((Data!$C$2:$C55=$A18)*(Data!#REF!=N$2)*(Data!$AI$2:$AI55="Yes")*(Data!$A$2:$A55&lt;42217))</f>
        <v>#REF!</v>
      </c>
      <c r="O18" s="93" t="e">
        <f>SUMPRODUCT((Data!$C$2:$C55=$A18)*(Data!#REF!=O$2)*(Data!$AI$2:$AI55="Yes")*(Data!$A$2:$A55&lt;42217))</f>
        <v>#REF!</v>
      </c>
      <c r="P18" s="94" t="e">
        <f>SUMPRODUCT((Data!$C$2:$C55=$A18)*(Data!#REF!=P$2)*(Data!$AA$2:$AA55="Yes")*(Data!$A$2:$A55&lt;42217))</f>
        <v>#REF!</v>
      </c>
      <c r="Q18" s="94" t="e">
        <f>SUMPRODUCT((Data!$C$2:$C55=$A18)*(Data!#REF!=Q$2)*(Data!$AA$2:$AA55="Yes")*(Data!$A$2:$A55&lt;42217))</f>
        <v>#REF!</v>
      </c>
      <c r="R18" s="94" t="e">
        <f>SUMPRODUCT((Data!$C$2:$C55=$A18)*(Data!#REF!=R$2)*(Data!$AA$2:$AA55="Yes")*(Data!$A$2:$A55&lt;42217))</f>
        <v>#REF!</v>
      </c>
      <c r="S18" s="94" t="e">
        <f>SUMPRODUCT((Data!$C$2:$C55=$A18)*(Data!#REF!=S$2)*(Data!$AA$2:$AA55="Yes")*(Data!$A$2:$A55&lt;42217))</f>
        <v>#REF!</v>
      </c>
      <c r="T18" s="94" t="e">
        <f>SUMPRODUCT((Data!$C$2:$C55=$A18)*(Data!#REF!=T$2)*(Data!$AA$2:$AA55="Yes")*(Data!$A$2:$A55&lt;42217))</f>
        <v>#REF!</v>
      </c>
      <c r="U18" s="94" t="e">
        <f>SUMPRODUCT((Data!$C$2:$C55=$A18)*(Data!#REF!=U$2)*(Data!$AA$2:$AA55="Yes")*(Data!$A$2:$A55&lt;42217))</f>
        <v>#REF!</v>
      </c>
      <c r="V18" s="94" t="e">
        <f>SUMPRODUCT((Data!$C$2:$C55=$A18)*(Data!#REF!=V$2)*(Data!$AA$2:$AA55="Yes")*(Data!$A$2:$A55&lt;42217))</f>
        <v>#REF!</v>
      </c>
      <c r="W18" s="95" t="e">
        <f>SUMPRODUCT((Data!$C$2:$C55=$A18)*(Data!#REF!=W$2)*(Data!$AA$2:$AA55="No")*(Data!$A$2:$A55&lt;42217))</f>
        <v>#REF!</v>
      </c>
      <c r="X18" s="95" t="e">
        <f>SUMPRODUCT((Data!$C$2:$C55=$A18)*(Data!#REF!=X$2)*(Data!$AA$2:$AA55="No")*(Data!$A$2:$A55&lt;42217))</f>
        <v>#REF!</v>
      </c>
      <c r="Y18" s="95" t="e">
        <f>SUMPRODUCT((Data!$C$2:$C55=$A18)*(Data!#REF!=Y$2)*(Data!$AA$2:$AA55="No")*(Data!$A$2:$A55&lt;42217))</f>
        <v>#REF!</v>
      </c>
      <c r="Z18" s="95" t="e">
        <f>SUMPRODUCT((Data!$C$2:$C55=$A18)*(Data!#REF!=Z$2)*(Data!$AA$2:$AA55="No")*(Data!$A$2:$A55&lt;42217))</f>
        <v>#REF!</v>
      </c>
      <c r="AA18" s="95" t="e">
        <f>SUMPRODUCT((Data!$C$2:$C55=$A18)*(Data!#REF!=AA$2)*(Data!$AA$2:$AA55="No")*(Data!$A$2:$A55&lt;42217))</f>
        <v>#REF!</v>
      </c>
      <c r="AB18" s="95" t="e">
        <f>SUMPRODUCT((Data!$C$2:$C55=$A18)*(Data!#REF!=AB$2)*(Data!$AA$2:$AA55="No")*(Data!$A$2:$A55&lt;42217))</f>
        <v>#REF!</v>
      </c>
      <c r="AC18" s="95" t="e">
        <f>SUMPRODUCT((Data!$C$2:$C55=$A18)*(Data!#REF!=AC$2)*(Data!$AA$2:$AA55="No")*(Data!$A$2:$A55&lt;42217))</f>
        <v>#REF!</v>
      </c>
      <c r="AD18" s="96" t="s">
        <v>28</v>
      </c>
      <c r="AE18" s="96" t="s">
        <v>28</v>
      </c>
      <c r="AF18" s="96" t="s">
        <v>28</v>
      </c>
      <c r="AG18" s="96" t="s">
        <v>28</v>
      </c>
      <c r="AH18" s="96" t="s">
        <v>28</v>
      </c>
      <c r="AI18" s="96" t="s">
        <v>28</v>
      </c>
      <c r="AJ18" s="96" t="s">
        <v>28</v>
      </c>
      <c r="AK18" s="97">
        <v>3007856</v>
      </c>
      <c r="AL18" s="97">
        <v>3050295</v>
      </c>
      <c r="AM18" s="97">
        <v>3064904</v>
      </c>
      <c r="AN18" s="97">
        <v>3075935</v>
      </c>
      <c r="AO18" s="97">
        <v>3092341</v>
      </c>
      <c r="AP18" s="97">
        <v>3107126</v>
      </c>
      <c r="AQ18" s="98">
        <f t="shared" si="0"/>
        <v>1812490.1666666667</v>
      </c>
      <c r="AR18" s="99" t="e">
        <f t="shared" si="1"/>
        <v>#REF!</v>
      </c>
      <c r="AS18" s="99">
        <f t="shared" si="2"/>
        <v>0</v>
      </c>
      <c r="AT18" s="99" t="e">
        <f t="shared" si="3"/>
        <v>#REF!</v>
      </c>
      <c r="AU18" s="99" t="e">
        <f t="shared" si="4"/>
        <v>#REF!</v>
      </c>
      <c r="AV18" s="99" t="e">
        <f t="shared" si="5"/>
        <v>#REF!</v>
      </c>
      <c r="AW18" s="99" t="e">
        <f t="shared" si="6"/>
        <v>#REF!</v>
      </c>
      <c r="AX18" s="99">
        <f t="shared" si="7"/>
        <v>20210947.166666668</v>
      </c>
      <c r="AY18" s="99">
        <f t="shared" si="8"/>
        <v>0</v>
      </c>
      <c r="AZ18" s="99">
        <f t="shared" si="9"/>
        <v>20210947.166666668</v>
      </c>
      <c r="BA18" s="100" t="e">
        <f t="shared" ref="BA18:BC18" si="25">(AT18/$AZ18)*100000000</f>
        <v>#REF!</v>
      </c>
      <c r="BB18" s="100" t="e">
        <f t="shared" si="25"/>
        <v>#REF!</v>
      </c>
      <c r="BC18" s="100" t="e">
        <f t="shared" si="25"/>
        <v>#REF!</v>
      </c>
    </row>
    <row r="19" spans="1:55" ht="12">
      <c r="A19" s="91" t="s">
        <v>72</v>
      </c>
      <c r="B19" s="92" t="e">
        <f>SUMPRODUCT((Data!$C$2:$C55=$A19)*(Data!#REF!=B$2)*(Data!$A$2:$A55&lt;42217))</f>
        <v>#REF!</v>
      </c>
      <c r="C19" s="92" t="e">
        <f>SUMPRODUCT((Data!$C$2:$C55=$A19)*(Data!#REF!=C$2)*(Data!$A$2:$A55&lt;42217))</f>
        <v>#REF!</v>
      </c>
      <c r="D19" s="92" t="e">
        <f>SUMPRODUCT((Data!$C$2:$C55=$A19)*(Data!#REF!=D$2)*(Data!$A$2:$A55&lt;42217))</f>
        <v>#REF!</v>
      </c>
      <c r="E19" s="92" t="e">
        <f>SUMPRODUCT((Data!$C$2:$C55=$A19)*(Data!#REF!=E$2)*(Data!$A$2:$A55&lt;42217))</f>
        <v>#REF!</v>
      </c>
      <c r="F19" s="92" t="e">
        <f>SUMPRODUCT((Data!$C$2:$C55=$A19)*(Data!#REF!=F$2)*(Data!$A$2:$A55&lt;42217))</f>
        <v>#REF!</v>
      </c>
      <c r="G19" s="92" t="e">
        <f>SUMPRODUCT((Data!$C$2:$C55=$A19)*(Data!#REF!=G$2)*(Data!$A$2:$A55&lt;42217))</f>
        <v>#REF!</v>
      </c>
      <c r="H19" s="92" t="e">
        <f>SUMPRODUCT((Data!$C$2:$C55=$A19)*(Data!#REF!=H$2)*(Data!$A$2:$A55&lt;42217))</f>
        <v>#REF!</v>
      </c>
      <c r="I19" s="93" t="e">
        <f>SUMPRODUCT((Data!$C$2:$C55=$A19)*(Data!#REF!=I$2)*(Data!$AI$2:$AI55="Yes")*(Data!$A$2:$A55&lt;42217))</f>
        <v>#REF!</v>
      </c>
      <c r="J19" s="93" t="e">
        <f>SUMPRODUCT((Data!$C$2:$C55=$A19)*(Data!#REF!=J$2)*(Data!$AI$2:$AI55="Yes")*(Data!$A$2:$A55&lt;42217))</f>
        <v>#REF!</v>
      </c>
      <c r="K19" s="93" t="e">
        <f>SUMPRODUCT((Data!$C$2:$C55=$A19)*(Data!#REF!=K$2)*(Data!$AI$2:$AI55="Yes")*(Data!$A$2:$A55&lt;42217))</f>
        <v>#REF!</v>
      </c>
      <c r="L19" s="93" t="e">
        <f>SUMPRODUCT((Data!$C$2:$C55=$A19)*(Data!#REF!=L$2)*(Data!$AI$2:$AI55="Yes")*(Data!$A$2:$A55&lt;42217))</f>
        <v>#REF!</v>
      </c>
      <c r="M19" s="93" t="e">
        <f>SUMPRODUCT((Data!$C$2:$C55=$A19)*(Data!#REF!=M$2)*(Data!$AI$2:$AI55="Yes")*(Data!$A$2:$A55&lt;42217))</f>
        <v>#REF!</v>
      </c>
      <c r="N19" s="93" t="e">
        <f>SUMPRODUCT((Data!$C$2:$C55=$A19)*(Data!#REF!=N$2)*(Data!$AI$2:$AI55="Yes")*(Data!$A$2:$A55&lt;42217))</f>
        <v>#REF!</v>
      </c>
      <c r="O19" s="93" t="e">
        <f>SUMPRODUCT((Data!$C$2:$C55=$A19)*(Data!#REF!=O$2)*(Data!$AI$2:$AI55="Yes")*(Data!$A$2:$A55&lt;42217))</f>
        <v>#REF!</v>
      </c>
      <c r="P19" s="94" t="e">
        <f>SUMPRODUCT((Data!$C$2:$C55=$A19)*(Data!#REF!=P$2)*(Data!$AA$2:$AA55="Yes")*(Data!$A$2:$A55&lt;42217))</f>
        <v>#REF!</v>
      </c>
      <c r="Q19" s="94" t="e">
        <f>SUMPRODUCT((Data!$C$2:$C55=$A19)*(Data!#REF!=Q$2)*(Data!$AA$2:$AA55="Yes")*(Data!$A$2:$A55&lt;42217))</f>
        <v>#REF!</v>
      </c>
      <c r="R19" s="94" t="e">
        <f>SUMPRODUCT((Data!$C$2:$C55=$A19)*(Data!#REF!=R$2)*(Data!$AA$2:$AA55="Yes")*(Data!$A$2:$A55&lt;42217))</f>
        <v>#REF!</v>
      </c>
      <c r="S19" s="94" t="e">
        <f>SUMPRODUCT((Data!$C$2:$C55=$A19)*(Data!#REF!=S$2)*(Data!$AA$2:$AA55="Yes")*(Data!$A$2:$A55&lt;42217))</f>
        <v>#REF!</v>
      </c>
      <c r="T19" s="94" t="e">
        <f>SUMPRODUCT((Data!$C$2:$C55=$A19)*(Data!#REF!=T$2)*(Data!$AA$2:$AA55="Yes")*(Data!$A$2:$A55&lt;42217))</f>
        <v>#REF!</v>
      </c>
      <c r="U19" s="94" t="e">
        <f>SUMPRODUCT((Data!$C$2:$C55=$A19)*(Data!#REF!=U$2)*(Data!$AA$2:$AA55="Yes")*(Data!$A$2:$A55&lt;42217))</f>
        <v>#REF!</v>
      </c>
      <c r="V19" s="94" t="e">
        <f>SUMPRODUCT((Data!$C$2:$C55=$A19)*(Data!#REF!=V$2)*(Data!$AA$2:$AA55="Yes")*(Data!$A$2:$A55&lt;42217))</f>
        <v>#REF!</v>
      </c>
      <c r="W19" s="95" t="e">
        <f>SUMPRODUCT((Data!$C$2:$C55=$A19)*(Data!#REF!=W$2)*(Data!$AA$2:$AA55="No")*(Data!$A$2:$A55&lt;42217))</f>
        <v>#REF!</v>
      </c>
      <c r="X19" s="95" t="e">
        <f>SUMPRODUCT((Data!$C$2:$C55=$A19)*(Data!#REF!=X$2)*(Data!$AA$2:$AA55="No")*(Data!$A$2:$A55&lt;42217))</f>
        <v>#REF!</v>
      </c>
      <c r="Y19" s="95" t="e">
        <f>SUMPRODUCT((Data!$C$2:$C55=$A19)*(Data!#REF!=Y$2)*(Data!$AA$2:$AA55="No")*(Data!$A$2:$A55&lt;42217))</f>
        <v>#REF!</v>
      </c>
      <c r="Z19" s="95" t="e">
        <f>SUMPRODUCT((Data!$C$2:$C55=$A19)*(Data!#REF!=Z$2)*(Data!$AA$2:$AA55="No")*(Data!$A$2:$A55&lt;42217))</f>
        <v>#REF!</v>
      </c>
      <c r="AA19" s="95" t="e">
        <f>SUMPRODUCT((Data!$C$2:$C55=$A19)*(Data!#REF!=AA$2)*(Data!$AA$2:$AA55="No")*(Data!$A$2:$A55&lt;42217))</f>
        <v>#REF!</v>
      </c>
      <c r="AB19" s="95" t="e">
        <f>SUMPRODUCT((Data!$C$2:$C55=$A19)*(Data!#REF!=AB$2)*(Data!$AA$2:$AA55="No")*(Data!$A$2:$A55&lt;42217))</f>
        <v>#REF!</v>
      </c>
      <c r="AC19" s="95" t="e">
        <f>SUMPRODUCT((Data!$C$2:$C55=$A19)*(Data!#REF!=AC$2)*(Data!$AA$2:$AA55="No")*(Data!$A$2:$A55&lt;42217))</f>
        <v>#REF!</v>
      </c>
      <c r="AD19" s="96" t="s">
        <v>17</v>
      </c>
      <c r="AE19" s="96" t="s">
        <v>17</v>
      </c>
      <c r="AF19" s="96" t="s">
        <v>17</v>
      </c>
      <c r="AG19" s="96" t="s">
        <v>17</v>
      </c>
      <c r="AH19" s="96" t="s">
        <v>17</v>
      </c>
      <c r="AI19" s="96" t="s">
        <v>17</v>
      </c>
      <c r="AJ19" s="96" t="s">
        <v>17</v>
      </c>
      <c r="AK19" s="97">
        <v>2818747</v>
      </c>
      <c r="AL19" s="97">
        <v>2858949</v>
      </c>
      <c r="AM19" s="97">
        <v>2869965</v>
      </c>
      <c r="AN19" s="97">
        <v>2885966</v>
      </c>
      <c r="AO19" s="97">
        <v>2895801</v>
      </c>
      <c r="AP19" s="97">
        <v>2904021</v>
      </c>
      <c r="AQ19" s="98">
        <f t="shared" si="0"/>
        <v>1694012.25</v>
      </c>
      <c r="AR19" s="99">
        <f t="shared" si="1"/>
        <v>0</v>
      </c>
      <c r="AS19" s="99" t="e">
        <f t="shared" si="2"/>
        <v>#REF!</v>
      </c>
      <c r="AT19" s="99" t="e">
        <f t="shared" si="3"/>
        <v>#REF!</v>
      </c>
      <c r="AU19" s="99" t="e">
        <f t="shared" si="4"/>
        <v>#REF!</v>
      </c>
      <c r="AV19" s="99" t="e">
        <f t="shared" si="5"/>
        <v>#REF!</v>
      </c>
      <c r="AW19" s="99" t="e">
        <f t="shared" si="6"/>
        <v>#REF!</v>
      </c>
      <c r="AX19" s="99">
        <f t="shared" si="7"/>
        <v>0</v>
      </c>
      <c r="AY19" s="99">
        <f t="shared" si="8"/>
        <v>18927461.25</v>
      </c>
      <c r="AZ19" s="99">
        <f t="shared" si="9"/>
        <v>18927461.25</v>
      </c>
      <c r="BA19" s="100" t="e">
        <f t="shared" ref="BA19:BC19" si="26">(AT19/$AZ19)*100000000</f>
        <v>#REF!</v>
      </c>
      <c r="BB19" s="100" t="e">
        <f t="shared" si="26"/>
        <v>#REF!</v>
      </c>
      <c r="BC19" s="100" t="e">
        <f t="shared" si="26"/>
        <v>#REF!</v>
      </c>
    </row>
    <row r="20" spans="1:55" ht="12">
      <c r="A20" s="91" t="s">
        <v>26</v>
      </c>
      <c r="B20" s="92" t="e">
        <f>SUMPRODUCT((Data!$C$2:$C55=$A20)*(Data!#REF!=B$2)*(Data!$A$2:$A55&lt;42217))</f>
        <v>#REF!</v>
      </c>
      <c r="C20" s="92" t="e">
        <f>SUMPRODUCT((Data!$C$2:$C55=$A20)*(Data!#REF!=C$2)*(Data!$A$2:$A55&lt;42217))</f>
        <v>#REF!</v>
      </c>
      <c r="D20" s="92" t="e">
        <f>SUMPRODUCT((Data!$C$2:$C55=$A20)*(Data!#REF!=D$2)*(Data!$A$2:$A55&lt;42217))</f>
        <v>#REF!</v>
      </c>
      <c r="E20" s="92" t="e">
        <f>SUMPRODUCT((Data!$C$2:$C55=$A20)*(Data!#REF!=E$2)*(Data!$A$2:$A55&lt;42217))</f>
        <v>#REF!</v>
      </c>
      <c r="F20" s="92" t="e">
        <f>SUMPRODUCT((Data!$C$2:$C55=$A20)*(Data!#REF!=F$2)*(Data!$A$2:$A55&lt;42217))</f>
        <v>#REF!</v>
      </c>
      <c r="G20" s="92" t="e">
        <f>SUMPRODUCT((Data!$C$2:$C55=$A20)*(Data!#REF!=G$2)*(Data!$A$2:$A55&lt;42217))</f>
        <v>#REF!</v>
      </c>
      <c r="H20" s="92" t="e">
        <f>SUMPRODUCT((Data!$C$2:$C55=$A20)*(Data!#REF!=H$2)*(Data!$A$2:$A55&lt;42217))</f>
        <v>#REF!</v>
      </c>
      <c r="I20" s="93" t="e">
        <f>SUMPRODUCT((Data!$C$2:$C55=$A20)*(Data!#REF!=I$2)*(Data!$AI$2:$AI55="Yes")*(Data!$A$2:$A55&lt;42217))</f>
        <v>#REF!</v>
      </c>
      <c r="J20" s="93" t="e">
        <f>SUMPRODUCT((Data!$C$2:$C55=$A20)*(Data!#REF!=J$2)*(Data!$AI$2:$AI55="Yes")*(Data!$A$2:$A55&lt;42217))</f>
        <v>#REF!</v>
      </c>
      <c r="K20" s="93" t="e">
        <f>SUMPRODUCT((Data!$C$2:$C55=$A20)*(Data!#REF!=K$2)*(Data!$AI$2:$AI55="Yes")*(Data!$A$2:$A55&lt;42217))</f>
        <v>#REF!</v>
      </c>
      <c r="L20" s="93" t="e">
        <f>SUMPRODUCT((Data!$C$2:$C55=$A20)*(Data!#REF!=L$2)*(Data!$AI$2:$AI55="Yes")*(Data!$A$2:$A55&lt;42217))</f>
        <v>#REF!</v>
      </c>
      <c r="M20" s="93" t="e">
        <f>SUMPRODUCT((Data!$C$2:$C55=$A20)*(Data!#REF!=M$2)*(Data!$AI$2:$AI55="Yes")*(Data!$A$2:$A55&lt;42217))</f>
        <v>#REF!</v>
      </c>
      <c r="N20" s="93" t="e">
        <f>SUMPRODUCT((Data!$C$2:$C55=$A20)*(Data!#REF!=N$2)*(Data!$AI$2:$AI55="Yes")*(Data!$A$2:$A55&lt;42217))</f>
        <v>#REF!</v>
      </c>
      <c r="O20" s="93" t="e">
        <f>SUMPRODUCT((Data!$C$2:$C55=$A20)*(Data!#REF!=O$2)*(Data!$AI$2:$AI55="Yes")*(Data!$A$2:$A55&lt;42217))</f>
        <v>#REF!</v>
      </c>
      <c r="P20" s="94" t="e">
        <f>SUMPRODUCT((Data!$C$2:$C55=$A20)*(Data!#REF!=P$2)*(Data!$AA$2:$AA55="Yes")*(Data!$A$2:$A55&lt;42217))</f>
        <v>#REF!</v>
      </c>
      <c r="Q20" s="94" t="e">
        <f>SUMPRODUCT((Data!$C$2:$C55=$A20)*(Data!#REF!=Q$2)*(Data!$AA$2:$AA55="Yes")*(Data!$A$2:$A55&lt;42217))</f>
        <v>#REF!</v>
      </c>
      <c r="R20" s="94" t="e">
        <f>SUMPRODUCT((Data!$C$2:$C55=$A20)*(Data!#REF!=R$2)*(Data!$AA$2:$AA55="Yes")*(Data!$A$2:$A55&lt;42217))</f>
        <v>#REF!</v>
      </c>
      <c r="S20" s="94" t="e">
        <f>SUMPRODUCT((Data!$C$2:$C55=$A20)*(Data!#REF!=S$2)*(Data!$AA$2:$AA55="Yes")*(Data!$A$2:$A55&lt;42217))</f>
        <v>#REF!</v>
      </c>
      <c r="T20" s="94" t="e">
        <f>SUMPRODUCT((Data!$C$2:$C55=$A20)*(Data!#REF!=T$2)*(Data!$AA$2:$AA55="Yes")*(Data!$A$2:$A55&lt;42217))</f>
        <v>#REF!</v>
      </c>
      <c r="U20" s="94" t="e">
        <f>SUMPRODUCT((Data!$C$2:$C55=$A20)*(Data!#REF!=U$2)*(Data!$AA$2:$AA55="Yes")*(Data!$A$2:$A55&lt;42217))</f>
        <v>#REF!</v>
      </c>
      <c r="V20" s="94" t="e">
        <f>SUMPRODUCT((Data!$C$2:$C55=$A20)*(Data!#REF!=V$2)*(Data!$AA$2:$AA55="Yes")*(Data!$A$2:$A55&lt;42217))</f>
        <v>#REF!</v>
      </c>
      <c r="W20" s="95" t="e">
        <f>SUMPRODUCT((Data!$C$2:$C55=$A20)*(Data!#REF!=W$2)*(Data!$AA$2:$AA55="No")*(Data!$A$2:$A55&lt;42217))</f>
        <v>#REF!</v>
      </c>
      <c r="X20" s="95" t="e">
        <f>SUMPRODUCT((Data!$C$2:$C55=$A20)*(Data!#REF!=X$2)*(Data!$AA$2:$AA55="No")*(Data!$A$2:$A55&lt;42217))</f>
        <v>#REF!</v>
      </c>
      <c r="Y20" s="95" t="e">
        <f>SUMPRODUCT((Data!$C$2:$C55=$A20)*(Data!#REF!=Y$2)*(Data!$AA$2:$AA55="No")*(Data!$A$2:$A55&lt;42217))</f>
        <v>#REF!</v>
      </c>
      <c r="Z20" s="95" t="e">
        <f>SUMPRODUCT((Data!$C$2:$C55=$A20)*(Data!#REF!=Z$2)*(Data!$AA$2:$AA55="No")*(Data!$A$2:$A55&lt;42217))</f>
        <v>#REF!</v>
      </c>
      <c r="AA20" s="95" t="e">
        <f>SUMPRODUCT((Data!$C$2:$C55=$A20)*(Data!#REF!=AA$2)*(Data!$AA$2:$AA55="No")*(Data!$A$2:$A55&lt;42217))</f>
        <v>#REF!</v>
      </c>
      <c r="AB20" s="95" t="e">
        <f>SUMPRODUCT((Data!$C$2:$C55=$A20)*(Data!#REF!=AB$2)*(Data!$AA$2:$AA55="No")*(Data!$A$2:$A55&lt;42217))</f>
        <v>#REF!</v>
      </c>
      <c r="AC20" s="95" t="e">
        <f>SUMPRODUCT((Data!$C$2:$C55=$A20)*(Data!#REF!=AC$2)*(Data!$AA$2:$AA55="No")*(Data!$A$2:$A55&lt;42217))</f>
        <v>#REF!</v>
      </c>
      <c r="AD20" s="96" t="s">
        <v>17</v>
      </c>
      <c r="AE20" s="96" t="s">
        <v>17</v>
      </c>
      <c r="AF20" s="96" t="s">
        <v>17</v>
      </c>
      <c r="AG20" s="96" t="s">
        <v>17</v>
      </c>
      <c r="AH20" s="96" t="s">
        <v>17</v>
      </c>
      <c r="AI20" s="96" t="s">
        <v>17</v>
      </c>
      <c r="AJ20" s="96" t="s">
        <v>17</v>
      </c>
      <c r="AK20" s="97">
        <v>4314113</v>
      </c>
      <c r="AL20" s="97">
        <v>4349838</v>
      </c>
      <c r="AM20" s="97">
        <v>4370038</v>
      </c>
      <c r="AN20" s="97">
        <v>4383465</v>
      </c>
      <c r="AO20" s="97">
        <v>4399583</v>
      </c>
      <c r="AP20" s="97">
        <v>4413457</v>
      </c>
      <c r="AQ20" s="98">
        <f t="shared" si="0"/>
        <v>2574516.5833333335</v>
      </c>
      <c r="AR20" s="99">
        <f t="shared" si="1"/>
        <v>0</v>
      </c>
      <c r="AS20" s="99" t="e">
        <f t="shared" si="2"/>
        <v>#REF!</v>
      </c>
      <c r="AT20" s="99" t="e">
        <f t="shared" si="3"/>
        <v>#REF!</v>
      </c>
      <c r="AU20" s="99" t="e">
        <f t="shared" si="4"/>
        <v>#REF!</v>
      </c>
      <c r="AV20" s="99" t="e">
        <f t="shared" si="5"/>
        <v>#REF!</v>
      </c>
      <c r="AW20" s="99" t="e">
        <f t="shared" si="6"/>
        <v>#REF!</v>
      </c>
      <c r="AX20" s="99">
        <f t="shared" si="7"/>
        <v>0</v>
      </c>
      <c r="AY20" s="99">
        <f t="shared" si="8"/>
        <v>28805010.583333332</v>
      </c>
      <c r="AZ20" s="99">
        <f t="shared" si="9"/>
        <v>28805010.583333332</v>
      </c>
      <c r="BA20" s="100" t="e">
        <f t="shared" ref="BA20:BC20" si="27">(AT20/$AZ20)*100000000</f>
        <v>#REF!</v>
      </c>
      <c r="BB20" s="100" t="e">
        <f t="shared" si="27"/>
        <v>#REF!</v>
      </c>
      <c r="BC20" s="100" t="e">
        <f t="shared" si="27"/>
        <v>#REF!</v>
      </c>
    </row>
    <row r="21" spans="1:55" ht="12">
      <c r="A21" s="91" t="s">
        <v>38</v>
      </c>
      <c r="B21" s="92" t="e">
        <f>SUMPRODUCT((Data!$C$2:$C55=$A21)*(Data!#REF!=B$2)*(Data!$A$2:$A55&lt;42217))</f>
        <v>#REF!</v>
      </c>
      <c r="C21" s="92" t="e">
        <f>SUMPRODUCT((Data!$C$2:$C55=$A21)*(Data!#REF!=C$2)*(Data!$A$2:$A55&lt;42217))</f>
        <v>#REF!</v>
      </c>
      <c r="D21" s="92" t="e">
        <f>SUMPRODUCT((Data!$C$2:$C55=$A21)*(Data!#REF!=D$2)*(Data!$A$2:$A55&lt;42217))</f>
        <v>#REF!</v>
      </c>
      <c r="E21" s="92" t="e">
        <f>SUMPRODUCT((Data!$C$2:$C55=$A21)*(Data!#REF!=E$2)*(Data!$A$2:$A55&lt;42217))</f>
        <v>#REF!</v>
      </c>
      <c r="F21" s="92" t="e">
        <f>SUMPRODUCT((Data!$C$2:$C55=$A21)*(Data!#REF!=F$2)*(Data!$A$2:$A55&lt;42217))</f>
        <v>#REF!</v>
      </c>
      <c r="G21" s="92" t="e">
        <f>SUMPRODUCT((Data!$C$2:$C55=$A21)*(Data!#REF!=G$2)*(Data!$A$2:$A55&lt;42217))</f>
        <v>#REF!</v>
      </c>
      <c r="H21" s="92" t="e">
        <f>SUMPRODUCT((Data!$C$2:$C55=$A21)*(Data!#REF!=H$2)*(Data!$A$2:$A55&lt;42217))</f>
        <v>#REF!</v>
      </c>
      <c r="I21" s="93" t="e">
        <f>SUMPRODUCT((Data!$C$2:$C55=$A21)*(Data!#REF!=I$2)*(Data!$AI$2:$AI55="Yes")*(Data!$A$2:$A55&lt;42217))</f>
        <v>#REF!</v>
      </c>
      <c r="J21" s="93" t="e">
        <f>SUMPRODUCT((Data!$C$2:$C55=$A21)*(Data!#REF!=J$2)*(Data!$AI$2:$AI55="Yes")*(Data!$A$2:$A55&lt;42217))</f>
        <v>#REF!</v>
      </c>
      <c r="K21" s="93" t="e">
        <f>SUMPRODUCT((Data!$C$2:$C55=$A21)*(Data!#REF!=K$2)*(Data!$AI$2:$AI55="Yes")*(Data!$A$2:$A55&lt;42217))</f>
        <v>#REF!</v>
      </c>
      <c r="L21" s="93" t="e">
        <f>SUMPRODUCT((Data!$C$2:$C55=$A21)*(Data!#REF!=L$2)*(Data!$AI$2:$AI55="Yes")*(Data!$A$2:$A55&lt;42217))</f>
        <v>#REF!</v>
      </c>
      <c r="M21" s="93" t="e">
        <f>SUMPRODUCT((Data!$C$2:$C55=$A21)*(Data!#REF!=M$2)*(Data!$AI$2:$AI55="Yes")*(Data!$A$2:$A55&lt;42217))</f>
        <v>#REF!</v>
      </c>
      <c r="N21" s="93" t="e">
        <f>SUMPRODUCT((Data!$C$2:$C55=$A21)*(Data!#REF!=N$2)*(Data!$AI$2:$AI55="Yes")*(Data!$A$2:$A55&lt;42217))</f>
        <v>#REF!</v>
      </c>
      <c r="O21" s="93" t="e">
        <f>SUMPRODUCT((Data!$C$2:$C55=$A21)*(Data!#REF!=O$2)*(Data!$AI$2:$AI55="Yes")*(Data!$A$2:$A55&lt;42217))</f>
        <v>#REF!</v>
      </c>
      <c r="P21" s="94" t="e">
        <f>SUMPRODUCT((Data!$C$2:$C55=$A21)*(Data!#REF!=P$2)*(Data!$AA$2:$AA55="Yes")*(Data!$A$2:$A55&lt;42217))</f>
        <v>#REF!</v>
      </c>
      <c r="Q21" s="94" t="e">
        <f>SUMPRODUCT((Data!$C$2:$C55=$A21)*(Data!#REF!=Q$2)*(Data!$AA$2:$AA55="Yes")*(Data!$A$2:$A55&lt;42217))</f>
        <v>#REF!</v>
      </c>
      <c r="R21" s="94" t="e">
        <f>SUMPRODUCT((Data!$C$2:$C55=$A21)*(Data!#REF!=R$2)*(Data!$AA$2:$AA55="Yes")*(Data!$A$2:$A55&lt;42217))</f>
        <v>#REF!</v>
      </c>
      <c r="S21" s="94" t="e">
        <f>SUMPRODUCT((Data!$C$2:$C55=$A21)*(Data!#REF!=S$2)*(Data!$AA$2:$AA55="Yes")*(Data!$A$2:$A55&lt;42217))</f>
        <v>#REF!</v>
      </c>
      <c r="T21" s="94" t="e">
        <f>SUMPRODUCT((Data!$C$2:$C55=$A21)*(Data!#REF!=T$2)*(Data!$AA$2:$AA55="Yes")*(Data!$A$2:$A55&lt;42217))</f>
        <v>#REF!</v>
      </c>
      <c r="U21" s="94" t="e">
        <f>SUMPRODUCT((Data!$C$2:$C55=$A21)*(Data!#REF!=U$2)*(Data!$AA$2:$AA55="Yes")*(Data!$A$2:$A55&lt;42217))</f>
        <v>#REF!</v>
      </c>
      <c r="V21" s="94" t="e">
        <f>SUMPRODUCT((Data!$C$2:$C55=$A21)*(Data!#REF!=V$2)*(Data!$AA$2:$AA55="Yes")*(Data!$A$2:$A55&lt;42217))</f>
        <v>#REF!</v>
      </c>
      <c r="W21" s="95" t="e">
        <f>SUMPRODUCT((Data!$C$2:$C55=$A21)*(Data!#REF!=W$2)*(Data!$AA$2:$AA55="No")*(Data!$A$2:$A55&lt;42217))</f>
        <v>#REF!</v>
      </c>
      <c r="X21" s="95" t="e">
        <f>SUMPRODUCT((Data!$C$2:$C55=$A21)*(Data!#REF!=X$2)*(Data!$AA$2:$AA55="No")*(Data!$A$2:$A55&lt;42217))</f>
        <v>#REF!</v>
      </c>
      <c r="Y21" s="95" t="e">
        <f>SUMPRODUCT((Data!$C$2:$C55=$A21)*(Data!#REF!=Y$2)*(Data!$AA$2:$AA55="No")*(Data!$A$2:$A55&lt;42217))</f>
        <v>#REF!</v>
      </c>
      <c r="Z21" s="95" t="e">
        <f>SUMPRODUCT((Data!$C$2:$C55=$A21)*(Data!#REF!=Z$2)*(Data!$AA$2:$AA55="No")*(Data!$A$2:$A55&lt;42217))</f>
        <v>#REF!</v>
      </c>
      <c r="AA21" s="95" t="e">
        <f>SUMPRODUCT((Data!$C$2:$C55=$A21)*(Data!#REF!=AA$2)*(Data!$AA$2:$AA55="No")*(Data!$A$2:$A55&lt;42217))</f>
        <v>#REF!</v>
      </c>
      <c r="AB21" s="95" t="e">
        <f>SUMPRODUCT((Data!$C$2:$C55=$A21)*(Data!#REF!=AB$2)*(Data!$AA$2:$AA55="No")*(Data!$A$2:$A55&lt;42217))</f>
        <v>#REF!</v>
      </c>
      <c r="AC21" s="95" t="e">
        <f>SUMPRODUCT((Data!$C$2:$C55=$A21)*(Data!#REF!=AC$2)*(Data!$AA$2:$AA55="No")*(Data!$A$2:$A55&lt;42217))</f>
        <v>#REF!</v>
      </c>
      <c r="AD21" s="96" t="s">
        <v>17</v>
      </c>
      <c r="AE21" s="96" t="s">
        <v>17</v>
      </c>
      <c r="AF21" s="96" t="s">
        <v>17</v>
      </c>
      <c r="AG21" s="96" t="s">
        <v>17</v>
      </c>
      <c r="AH21" s="96" t="s">
        <v>17</v>
      </c>
      <c r="AI21" s="96" t="s">
        <v>17</v>
      </c>
      <c r="AJ21" s="96" t="s">
        <v>17</v>
      </c>
      <c r="AK21" s="97">
        <v>4492076</v>
      </c>
      <c r="AL21" s="97">
        <v>4545581</v>
      </c>
      <c r="AM21" s="97">
        <v>4575972</v>
      </c>
      <c r="AN21" s="97">
        <v>4604744</v>
      </c>
      <c r="AO21" s="97">
        <v>4629284</v>
      </c>
      <c r="AP21" s="97">
        <v>4649676</v>
      </c>
      <c r="AQ21" s="98">
        <f t="shared" si="0"/>
        <v>2712311</v>
      </c>
      <c r="AR21" s="99">
        <f t="shared" si="1"/>
        <v>0</v>
      </c>
      <c r="AS21" s="99" t="e">
        <f t="shared" si="2"/>
        <v>#REF!</v>
      </c>
      <c r="AT21" s="99" t="e">
        <f t="shared" si="3"/>
        <v>#REF!</v>
      </c>
      <c r="AU21" s="99" t="e">
        <f t="shared" si="4"/>
        <v>#REF!</v>
      </c>
      <c r="AV21" s="99" t="e">
        <f t="shared" si="5"/>
        <v>#REF!</v>
      </c>
      <c r="AW21" s="99" t="e">
        <f t="shared" si="6"/>
        <v>#REF!</v>
      </c>
      <c r="AX21" s="99">
        <f t="shared" si="7"/>
        <v>0</v>
      </c>
      <c r="AY21" s="99">
        <f t="shared" si="8"/>
        <v>30209644</v>
      </c>
      <c r="AZ21" s="99">
        <f t="shared" si="9"/>
        <v>30209644</v>
      </c>
      <c r="BA21" s="100" t="e">
        <f t="shared" ref="BA21:BC21" si="28">(AT21/$AZ21)*100000000</f>
        <v>#REF!</v>
      </c>
      <c r="BB21" s="100" t="e">
        <f t="shared" si="28"/>
        <v>#REF!</v>
      </c>
      <c r="BC21" s="100" t="e">
        <f t="shared" si="28"/>
        <v>#REF!</v>
      </c>
    </row>
    <row r="22" spans="1:55" ht="12">
      <c r="A22" s="91" t="s">
        <v>153</v>
      </c>
      <c r="B22" s="92" t="e">
        <f>SUMPRODUCT((Data!$C$2:$C55=$A22)*(Data!#REF!=B$2)*(Data!$A$2:$A55&lt;42217))</f>
        <v>#REF!</v>
      </c>
      <c r="C22" s="92" t="e">
        <f>SUMPRODUCT((Data!$C$2:$C55=$A22)*(Data!#REF!=C$2)*(Data!$A$2:$A55&lt;42217))</f>
        <v>#REF!</v>
      </c>
      <c r="D22" s="92" t="e">
        <f>SUMPRODUCT((Data!$C$2:$C55=$A22)*(Data!#REF!=D$2)*(Data!$A$2:$A55&lt;42217))</f>
        <v>#REF!</v>
      </c>
      <c r="E22" s="92" t="e">
        <f>SUMPRODUCT((Data!$C$2:$C55=$A22)*(Data!#REF!=E$2)*(Data!$A$2:$A55&lt;42217))</f>
        <v>#REF!</v>
      </c>
      <c r="F22" s="92" t="e">
        <f>SUMPRODUCT((Data!$C$2:$C55=$A22)*(Data!#REF!=F$2)*(Data!$A$2:$A55&lt;42217))</f>
        <v>#REF!</v>
      </c>
      <c r="G22" s="92" t="e">
        <f>SUMPRODUCT((Data!$C$2:$C55=$A22)*(Data!#REF!=G$2)*(Data!$A$2:$A55&lt;42217))</f>
        <v>#REF!</v>
      </c>
      <c r="H22" s="92" t="e">
        <f>SUMPRODUCT((Data!$C$2:$C55=$A22)*(Data!#REF!=H$2)*(Data!$A$2:$A55&lt;42217))</f>
        <v>#REF!</v>
      </c>
      <c r="I22" s="93" t="e">
        <f>SUMPRODUCT((Data!$C$2:$C55=$A22)*(Data!#REF!=I$2)*(Data!$AI$2:$AI55="Yes")*(Data!$A$2:$A55&lt;42217))</f>
        <v>#REF!</v>
      </c>
      <c r="J22" s="93" t="e">
        <f>SUMPRODUCT((Data!$C$2:$C55=$A22)*(Data!#REF!=J$2)*(Data!$AI$2:$AI55="Yes")*(Data!$A$2:$A55&lt;42217))</f>
        <v>#REF!</v>
      </c>
      <c r="K22" s="93" t="e">
        <f>SUMPRODUCT((Data!$C$2:$C55=$A22)*(Data!#REF!=K$2)*(Data!$AI$2:$AI55="Yes")*(Data!$A$2:$A55&lt;42217))</f>
        <v>#REF!</v>
      </c>
      <c r="L22" s="93" t="e">
        <f>SUMPRODUCT((Data!$C$2:$C55=$A22)*(Data!#REF!=L$2)*(Data!$AI$2:$AI55="Yes")*(Data!$A$2:$A55&lt;42217))</f>
        <v>#REF!</v>
      </c>
      <c r="M22" s="93" t="e">
        <f>SUMPRODUCT((Data!$C$2:$C55=$A22)*(Data!#REF!=M$2)*(Data!$AI$2:$AI55="Yes")*(Data!$A$2:$A55&lt;42217))</f>
        <v>#REF!</v>
      </c>
      <c r="N22" s="93" t="e">
        <f>SUMPRODUCT((Data!$C$2:$C55=$A22)*(Data!#REF!=N$2)*(Data!$AI$2:$AI55="Yes")*(Data!$A$2:$A55&lt;42217))</f>
        <v>#REF!</v>
      </c>
      <c r="O22" s="93" t="e">
        <f>SUMPRODUCT((Data!$C$2:$C55=$A22)*(Data!#REF!=O$2)*(Data!$AI$2:$AI55="Yes")*(Data!$A$2:$A55&lt;42217))</f>
        <v>#REF!</v>
      </c>
      <c r="P22" s="94" t="e">
        <f>SUMPRODUCT((Data!$C$2:$C55=$A22)*(Data!#REF!=P$2)*(Data!$AA$2:$AA55="Yes")*(Data!$A$2:$A55&lt;42217))</f>
        <v>#REF!</v>
      </c>
      <c r="Q22" s="94" t="e">
        <f>SUMPRODUCT((Data!$C$2:$C55=$A22)*(Data!#REF!=Q$2)*(Data!$AA$2:$AA55="Yes")*(Data!$A$2:$A55&lt;42217))</f>
        <v>#REF!</v>
      </c>
      <c r="R22" s="94" t="e">
        <f>SUMPRODUCT((Data!$C$2:$C55=$A22)*(Data!#REF!=R$2)*(Data!$AA$2:$AA55="Yes")*(Data!$A$2:$A55&lt;42217))</f>
        <v>#REF!</v>
      </c>
      <c r="S22" s="94" t="e">
        <f>SUMPRODUCT((Data!$C$2:$C55=$A22)*(Data!#REF!=S$2)*(Data!$AA$2:$AA55="Yes")*(Data!$A$2:$A55&lt;42217))</f>
        <v>#REF!</v>
      </c>
      <c r="T22" s="94" t="e">
        <f>SUMPRODUCT((Data!$C$2:$C55=$A22)*(Data!#REF!=T$2)*(Data!$AA$2:$AA55="Yes")*(Data!$A$2:$A55&lt;42217))</f>
        <v>#REF!</v>
      </c>
      <c r="U22" s="94" t="e">
        <f>SUMPRODUCT((Data!$C$2:$C55=$A22)*(Data!#REF!=U$2)*(Data!$AA$2:$AA55="Yes")*(Data!$A$2:$A55&lt;42217))</f>
        <v>#REF!</v>
      </c>
      <c r="V22" s="94" t="e">
        <f>SUMPRODUCT((Data!$C$2:$C55=$A22)*(Data!#REF!=V$2)*(Data!$AA$2:$AA55="Yes")*(Data!$A$2:$A55&lt;42217))</f>
        <v>#REF!</v>
      </c>
      <c r="W22" s="95" t="e">
        <f>SUMPRODUCT((Data!$C$2:$C55=$A22)*(Data!#REF!=W$2)*(Data!$AA$2:$AA55="No")*(Data!$A$2:$A55&lt;42217))</f>
        <v>#REF!</v>
      </c>
      <c r="X22" s="95" t="e">
        <f>SUMPRODUCT((Data!$C$2:$C55=$A22)*(Data!#REF!=X$2)*(Data!$AA$2:$AA55="No")*(Data!$A$2:$A55&lt;42217))</f>
        <v>#REF!</v>
      </c>
      <c r="Y22" s="95" t="e">
        <f>SUMPRODUCT((Data!$C$2:$C55=$A22)*(Data!#REF!=Y$2)*(Data!$AA$2:$AA55="No")*(Data!$A$2:$A55&lt;42217))</f>
        <v>#REF!</v>
      </c>
      <c r="Z22" s="95" t="e">
        <f>SUMPRODUCT((Data!$C$2:$C55=$A22)*(Data!#REF!=Z$2)*(Data!$AA$2:$AA55="No")*(Data!$A$2:$A55&lt;42217))</f>
        <v>#REF!</v>
      </c>
      <c r="AA22" s="95" t="e">
        <f>SUMPRODUCT((Data!$C$2:$C55=$A22)*(Data!#REF!=AA$2)*(Data!$AA$2:$AA55="No")*(Data!$A$2:$A55&lt;42217))</f>
        <v>#REF!</v>
      </c>
      <c r="AB22" s="95" t="e">
        <f>SUMPRODUCT((Data!$C$2:$C55=$A22)*(Data!#REF!=AB$2)*(Data!$AA$2:$AA55="No")*(Data!$A$2:$A55&lt;42217))</f>
        <v>#REF!</v>
      </c>
      <c r="AC22" s="95" t="e">
        <f>SUMPRODUCT((Data!$C$2:$C55=$A22)*(Data!#REF!=AC$2)*(Data!$AA$2:$AA55="No")*(Data!$A$2:$A55&lt;42217))</f>
        <v>#REF!</v>
      </c>
      <c r="AD22" s="96" t="s">
        <v>17</v>
      </c>
      <c r="AE22" s="96" t="s">
        <v>17</v>
      </c>
      <c r="AF22" s="96" t="s">
        <v>17</v>
      </c>
      <c r="AG22" s="96" t="s">
        <v>17</v>
      </c>
      <c r="AH22" s="96" t="s">
        <v>17</v>
      </c>
      <c r="AI22" s="96" t="s">
        <v>17</v>
      </c>
      <c r="AJ22" s="96" t="s">
        <v>17</v>
      </c>
      <c r="AK22" s="97">
        <v>1318301</v>
      </c>
      <c r="AL22" s="97">
        <v>1327361</v>
      </c>
      <c r="AM22" s="97">
        <v>1327930</v>
      </c>
      <c r="AN22" s="97">
        <v>1328592</v>
      </c>
      <c r="AO22" s="97">
        <v>1328702</v>
      </c>
      <c r="AP22" s="97">
        <v>1330089</v>
      </c>
      <c r="AQ22" s="98">
        <f t="shared" si="0"/>
        <v>775885.25</v>
      </c>
      <c r="AR22" s="99">
        <f t="shared" si="1"/>
        <v>0</v>
      </c>
      <c r="AS22" s="99" t="e">
        <f t="shared" si="2"/>
        <v>#REF!</v>
      </c>
      <c r="AT22" s="99" t="e">
        <f t="shared" si="3"/>
        <v>#REF!</v>
      </c>
      <c r="AU22" s="99" t="e">
        <f t="shared" si="4"/>
        <v>#REF!</v>
      </c>
      <c r="AV22" s="99" t="e">
        <f t="shared" si="5"/>
        <v>#REF!</v>
      </c>
      <c r="AW22" s="99" t="e">
        <f t="shared" si="6"/>
        <v>#REF!</v>
      </c>
      <c r="AX22" s="99">
        <f t="shared" si="7"/>
        <v>0</v>
      </c>
      <c r="AY22" s="99">
        <f t="shared" si="8"/>
        <v>8736860.25</v>
      </c>
      <c r="AZ22" s="99">
        <f t="shared" si="9"/>
        <v>8736860.25</v>
      </c>
      <c r="BA22" s="100" t="e">
        <f t="shared" ref="BA22:BC22" si="29">(AT22/$AZ22)*100000000</f>
        <v>#REF!</v>
      </c>
      <c r="BB22" s="100" t="e">
        <f t="shared" si="29"/>
        <v>#REF!</v>
      </c>
      <c r="BC22" s="100" t="e">
        <f t="shared" si="29"/>
        <v>#REF!</v>
      </c>
    </row>
    <row r="23" spans="1:55" ht="12">
      <c r="A23" s="91" t="s">
        <v>14</v>
      </c>
      <c r="B23" s="92" t="e">
        <f>SUMPRODUCT((Data!$C$2:$C55=$A23)*(Data!#REF!=B$2)*(Data!$A$2:$A55&lt;42217))</f>
        <v>#REF!</v>
      </c>
      <c r="C23" s="92" t="e">
        <f>SUMPRODUCT((Data!$C$2:$C55=$A23)*(Data!#REF!=C$2)*(Data!$A$2:$A55&lt;42217))</f>
        <v>#REF!</v>
      </c>
      <c r="D23" s="92" t="e">
        <f>SUMPRODUCT((Data!$C$2:$C55=$A23)*(Data!#REF!=D$2)*(Data!$A$2:$A55&lt;42217))</f>
        <v>#REF!</v>
      </c>
      <c r="E23" s="92" t="e">
        <f>SUMPRODUCT((Data!$C$2:$C55=$A23)*(Data!#REF!=E$2)*(Data!$A$2:$A55&lt;42217))</f>
        <v>#REF!</v>
      </c>
      <c r="F23" s="92" t="e">
        <f>SUMPRODUCT((Data!$C$2:$C55=$A23)*(Data!#REF!=F$2)*(Data!$A$2:$A55&lt;42217))</f>
        <v>#REF!</v>
      </c>
      <c r="G23" s="92" t="e">
        <f>SUMPRODUCT((Data!$C$2:$C55=$A23)*(Data!#REF!=G$2)*(Data!$A$2:$A55&lt;42217))</f>
        <v>#REF!</v>
      </c>
      <c r="H23" s="92" t="e">
        <f>SUMPRODUCT((Data!$C$2:$C55=$A23)*(Data!#REF!=H$2)*(Data!$A$2:$A55&lt;42217))</f>
        <v>#REF!</v>
      </c>
      <c r="I23" s="93" t="e">
        <f>SUMPRODUCT((Data!$C$2:$C55=$A23)*(Data!#REF!=I$2)*(Data!$AI$2:$AI55="Yes")*(Data!$A$2:$A55&lt;42217))</f>
        <v>#REF!</v>
      </c>
      <c r="J23" s="93" t="e">
        <f>SUMPRODUCT((Data!$C$2:$C55=$A23)*(Data!#REF!=J$2)*(Data!$AI$2:$AI55="Yes")*(Data!$A$2:$A55&lt;42217))</f>
        <v>#REF!</v>
      </c>
      <c r="K23" s="93" t="e">
        <f>SUMPRODUCT((Data!$C$2:$C55=$A23)*(Data!#REF!=K$2)*(Data!$AI$2:$AI55="Yes")*(Data!$A$2:$A55&lt;42217))</f>
        <v>#REF!</v>
      </c>
      <c r="L23" s="93" t="e">
        <f>SUMPRODUCT((Data!$C$2:$C55=$A23)*(Data!#REF!=L$2)*(Data!$AI$2:$AI55="Yes")*(Data!$A$2:$A55&lt;42217))</f>
        <v>#REF!</v>
      </c>
      <c r="M23" s="93" t="e">
        <f>SUMPRODUCT((Data!$C$2:$C55=$A23)*(Data!#REF!=M$2)*(Data!$AI$2:$AI55="Yes")*(Data!$A$2:$A55&lt;42217))</f>
        <v>#REF!</v>
      </c>
      <c r="N23" s="93" t="e">
        <f>SUMPRODUCT((Data!$C$2:$C55=$A23)*(Data!#REF!=N$2)*(Data!$AI$2:$AI55="Yes")*(Data!$A$2:$A55&lt;42217))</f>
        <v>#REF!</v>
      </c>
      <c r="O23" s="93" t="e">
        <f>SUMPRODUCT((Data!$C$2:$C55=$A23)*(Data!#REF!=O$2)*(Data!$AI$2:$AI55="Yes")*(Data!$A$2:$A55&lt;42217))</f>
        <v>#REF!</v>
      </c>
      <c r="P23" s="94" t="e">
        <f>SUMPRODUCT((Data!$C$2:$C55=$A23)*(Data!#REF!=P$2)*(Data!$AA$2:$AA55="Yes")*(Data!$A$2:$A55&lt;42217))</f>
        <v>#REF!</v>
      </c>
      <c r="Q23" s="94" t="e">
        <f>SUMPRODUCT((Data!$C$2:$C55=$A23)*(Data!#REF!=Q$2)*(Data!$AA$2:$AA55="Yes")*(Data!$A$2:$A55&lt;42217))</f>
        <v>#REF!</v>
      </c>
      <c r="R23" s="94" t="e">
        <f>SUMPRODUCT((Data!$C$2:$C55=$A23)*(Data!#REF!=R$2)*(Data!$AA$2:$AA55="Yes")*(Data!$A$2:$A55&lt;42217))</f>
        <v>#REF!</v>
      </c>
      <c r="S23" s="94" t="e">
        <f>SUMPRODUCT((Data!$C$2:$C55=$A23)*(Data!#REF!=S$2)*(Data!$AA$2:$AA55="Yes")*(Data!$A$2:$A55&lt;42217))</f>
        <v>#REF!</v>
      </c>
      <c r="T23" s="94" t="e">
        <f>SUMPRODUCT((Data!$C$2:$C55=$A23)*(Data!#REF!=T$2)*(Data!$AA$2:$AA55="Yes")*(Data!$A$2:$A55&lt;42217))</f>
        <v>#REF!</v>
      </c>
      <c r="U23" s="94" t="e">
        <f>SUMPRODUCT((Data!$C$2:$C55=$A23)*(Data!#REF!=U$2)*(Data!$AA$2:$AA55="Yes")*(Data!$A$2:$A55&lt;42217))</f>
        <v>#REF!</v>
      </c>
      <c r="V23" s="94" t="e">
        <f>SUMPRODUCT((Data!$C$2:$C55=$A23)*(Data!#REF!=V$2)*(Data!$AA$2:$AA55="Yes")*(Data!$A$2:$A55&lt;42217))</f>
        <v>#REF!</v>
      </c>
      <c r="W23" s="95" t="e">
        <f>SUMPRODUCT((Data!$C$2:$C55=$A23)*(Data!#REF!=W$2)*(Data!$AA$2:$AA55="No")*(Data!$A$2:$A55&lt;42217))</f>
        <v>#REF!</v>
      </c>
      <c r="X23" s="95" t="e">
        <f>SUMPRODUCT((Data!$C$2:$C55=$A23)*(Data!#REF!=X$2)*(Data!$AA$2:$AA55="No")*(Data!$A$2:$A55&lt;42217))</f>
        <v>#REF!</v>
      </c>
      <c r="Y23" s="95" t="e">
        <f>SUMPRODUCT((Data!$C$2:$C55=$A23)*(Data!#REF!=Y$2)*(Data!$AA$2:$AA55="No")*(Data!$A$2:$A55&lt;42217))</f>
        <v>#REF!</v>
      </c>
      <c r="Z23" s="95" t="e">
        <f>SUMPRODUCT((Data!$C$2:$C55=$A23)*(Data!#REF!=Z$2)*(Data!$AA$2:$AA55="No")*(Data!$A$2:$A55&lt;42217))</f>
        <v>#REF!</v>
      </c>
      <c r="AA23" s="95" t="e">
        <f>SUMPRODUCT((Data!$C$2:$C55=$A23)*(Data!#REF!=AA$2)*(Data!$AA$2:$AA55="No")*(Data!$A$2:$A55&lt;42217))</f>
        <v>#REF!</v>
      </c>
      <c r="AB23" s="95" t="e">
        <f>SUMPRODUCT((Data!$C$2:$C55=$A23)*(Data!#REF!=AB$2)*(Data!$AA$2:$AA55="No")*(Data!$A$2:$A55&lt;42217))</f>
        <v>#REF!</v>
      </c>
      <c r="AC23" s="95" t="e">
        <f>SUMPRODUCT((Data!$C$2:$C55=$A23)*(Data!#REF!=AC$2)*(Data!$AA$2:$AA55="No")*(Data!$A$2:$A55&lt;42217))</f>
        <v>#REF!</v>
      </c>
      <c r="AD23" s="96" t="s">
        <v>28</v>
      </c>
      <c r="AE23" s="96" t="s">
        <v>28</v>
      </c>
      <c r="AF23" s="96" t="s">
        <v>28</v>
      </c>
      <c r="AG23" s="96" t="s">
        <v>28</v>
      </c>
      <c r="AH23" s="96" t="s">
        <v>28</v>
      </c>
      <c r="AI23" s="96" t="s">
        <v>28</v>
      </c>
      <c r="AJ23" s="96" t="s">
        <v>28</v>
      </c>
      <c r="AK23" s="97">
        <v>5699478</v>
      </c>
      <c r="AL23" s="97">
        <v>5788101</v>
      </c>
      <c r="AM23" s="97">
        <v>5843833</v>
      </c>
      <c r="AN23" s="97">
        <v>5891819</v>
      </c>
      <c r="AO23" s="97">
        <v>5938737</v>
      </c>
      <c r="AP23" s="97">
        <v>5976407</v>
      </c>
      <c r="AQ23" s="98">
        <f t="shared" si="0"/>
        <v>3486237.4166666665</v>
      </c>
      <c r="AR23" s="99" t="e">
        <f t="shared" si="1"/>
        <v>#REF!</v>
      </c>
      <c r="AS23" s="99">
        <f t="shared" si="2"/>
        <v>0</v>
      </c>
      <c r="AT23" s="99" t="e">
        <f t="shared" si="3"/>
        <v>#REF!</v>
      </c>
      <c r="AU23" s="99" t="e">
        <f t="shared" si="4"/>
        <v>#REF!</v>
      </c>
      <c r="AV23" s="99" t="e">
        <f t="shared" si="5"/>
        <v>#REF!</v>
      </c>
      <c r="AW23" s="99" t="e">
        <f t="shared" si="6"/>
        <v>#REF!</v>
      </c>
      <c r="AX23" s="99">
        <f t="shared" si="7"/>
        <v>38624612.416666664</v>
      </c>
      <c r="AY23" s="99">
        <f t="shared" si="8"/>
        <v>0</v>
      </c>
      <c r="AZ23" s="99">
        <f t="shared" si="9"/>
        <v>38624612.416666664</v>
      </c>
      <c r="BA23" s="100" t="e">
        <f t="shared" ref="BA23:BC23" si="30">(AT23/$AZ23)*100000000</f>
        <v>#REF!</v>
      </c>
      <c r="BB23" s="100" t="e">
        <f t="shared" si="30"/>
        <v>#REF!</v>
      </c>
      <c r="BC23" s="100" t="e">
        <f t="shared" si="30"/>
        <v>#REF!</v>
      </c>
    </row>
    <row r="24" spans="1:55" ht="12">
      <c r="A24" s="91" t="s">
        <v>90</v>
      </c>
      <c r="B24" s="92" t="e">
        <f>SUMPRODUCT((Data!$C$2:$C55=$A24)*(Data!#REF!=B$2)*(Data!$A$2:$A55&lt;42217))</f>
        <v>#REF!</v>
      </c>
      <c r="C24" s="92" t="e">
        <f>SUMPRODUCT((Data!$C$2:$C55=$A24)*(Data!#REF!=C$2)*(Data!$A$2:$A55&lt;42217))</f>
        <v>#REF!</v>
      </c>
      <c r="D24" s="92" t="e">
        <f>SUMPRODUCT((Data!$C$2:$C55=$A24)*(Data!#REF!=D$2)*(Data!$A$2:$A55&lt;42217))</f>
        <v>#REF!</v>
      </c>
      <c r="E24" s="92" t="e">
        <f>SUMPRODUCT((Data!$C$2:$C55=$A24)*(Data!#REF!=E$2)*(Data!$A$2:$A55&lt;42217))</f>
        <v>#REF!</v>
      </c>
      <c r="F24" s="92" t="e">
        <f>SUMPRODUCT((Data!$C$2:$C55=$A24)*(Data!#REF!=F$2)*(Data!$A$2:$A55&lt;42217))</f>
        <v>#REF!</v>
      </c>
      <c r="G24" s="92" t="e">
        <f>SUMPRODUCT((Data!$C$2:$C55=$A24)*(Data!#REF!=G$2)*(Data!$A$2:$A55&lt;42217))</f>
        <v>#REF!</v>
      </c>
      <c r="H24" s="92" t="e">
        <f>SUMPRODUCT((Data!$C$2:$C55=$A24)*(Data!#REF!=H$2)*(Data!$A$2:$A55&lt;42217))</f>
        <v>#REF!</v>
      </c>
      <c r="I24" s="93" t="e">
        <f>SUMPRODUCT((Data!$C$2:$C55=$A24)*(Data!#REF!=I$2)*(Data!$AI$2:$AI55="Yes")*(Data!$A$2:$A55&lt;42217))</f>
        <v>#REF!</v>
      </c>
      <c r="J24" s="93" t="e">
        <f>SUMPRODUCT((Data!$C$2:$C55=$A24)*(Data!#REF!=J$2)*(Data!$AI$2:$AI55="Yes")*(Data!$A$2:$A55&lt;42217))</f>
        <v>#REF!</v>
      </c>
      <c r="K24" s="93" t="e">
        <f>SUMPRODUCT((Data!$C$2:$C55=$A24)*(Data!#REF!=K$2)*(Data!$AI$2:$AI55="Yes")*(Data!$A$2:$A55&lt;42217))</f>
        <v>#REF!</v>
      </c>
      <c r="L24" s="93" t="e">
        <f>SUMPRODUCT((Data!$C$2:$C55=$A24)*(Data!#REF!=L$2)*(Data!$AI$2:$AI55="Yes")*(Data!$A$2:$A55&lt;42217))</f>
        <v>#REF!</v>
      </c>
      <c r="M24" s="93" t="e">
        <f>SUMPRODUCT((Data!$C$2:$C55=$A24)*(Data!#REF!=M$2)*(Data!$AI$2:$AI55="Yes")*(Data!$A$2:$A55&lt;42217))</f>
        <v>#REF!</v>
      </c>
      <c r="N24" s="93" t="e">
        <f>SUMPRODUCT((Data!$C$2:$C55=$A24)*(Data!#REF!=N$2)*(Data!$AI$2:$AI55="Yes")*(Data!$A$2:$A55&lt;42217))</f>
        <v>#REF!</v>
      </c>
      <c r="O24" s="93" t="e">
        <f>SUMPRODUCT((Data!$C$2:$C55=$A24)*(Data!#REF!=O$2)*(Data!$AI$2:$AI55="Yes")*(Data!$A$2:$A55&lt;42217))</f>
        <v>#REF!</v>
      </c>
      <c r="P24" s="94" t="e">
        <f>SUMPRODUCT((Data!$C$2:$C55=$A24)*(Data!#REF!=P$2)*(Data!$AA$2:$AA55="Yes")*(Data!$A$2:$A55&lt;42217))</f>
        <v>#REF!</v>
      </c>
      <c r="Q24" s="94" t="e">
        <f>SUMPRODUCT((Data!$C$2:$C55=$A24)*(Data!#REF!=Q$2)*(Data!$AA$2:$AA55="Yes")*(Data!$A$2:$A55&lt;42217))</f>
        <v>#REF!</v>
      </c>
      <c r="R24" s="94" t="e">
        <f>SUMPRODUCT((Data!$C$2:$C55=$A24)*(Data!#REF!=R$2)*(Data!$AA$2:$AA55="Yes")*(Data!$A$2:$A55&lt;42217))</f>
        <v>#REF!</v>
      </c>
      <c r="S24" s="94" t="e">
        <f>SUMPRODUCT((Data!$C$2:$C55=$A24)*(Data!#REF!=S$2)*(Data!$AA$2:$AA55="Yes")*(Data!$A$2:$A55&lt;42217))</f>
        <v>#REF!</v>
      </c>
      <c r="T24" s="94" t="e">
        <f>SUMPRODUCT((Data!$C$2:$C55=$A24)*(Data!#REF!=T$2)*(Data!$AA$2:$AA55="Yes")*(Data!$A$2:$A55&lt;42217))</f>
        <v>#REF!</v>
      </c>
      <c r="U24" s="94" t="e">
        <f>SUMPRODUCT((Data!$C$2:$C55=$A24)*(Data!#REF!=U$2)*(Data!$AA$2:$AA55="Yes")*(Data!$A$2:$A55&lt;42217))</f>
        <v>#REF!</v>
      </c>
      <c r="V24" s="94" t="e">
        <f>SUMPRODUCT((Data!$C$2:$C55=$A24)*(Data!#REF!=V$2)*(Data!$AA$2:$AA55="Yes")*(Data!$A$2:$A55&lt;42217))</f>
        <v>#REF!</v>
      </c>
      <c r="W24" s="95" t="e">
        <f>SUMPRODUCT((Data!$C$2:$C55=$A24)*(Data!#REF!=W$2)*(Data!$AA$2:$AA55="No")*(Data!$A$2:$A55&lt;42217))</f>
        <v>#REF!</v>
      </c>
      <c r="X24" s="95" t="e">
        <f>SUMPRODUCT((Data!$C$2:$C55=$A24)*(Data!#REF!=X$2)*(Data!$AA$2:$AA55="No")*(Data!$A$2:$A55&lt;42217))</f>
        <v>#REF!</v>
      </c>
      <c r="Y24" s="95" t="e">
        <f>SUMPRODUCT((Data!$C$2:$C55=$A24)*(Data!#REF!=Y$2)*(Data!$AA$2:$AA55="No")*(Data!$A$2:$A55&lt;42217))</f>
        <v>#REF!</v>
      </c>
      <c r="Z24" s="95" t="e">
        <f>SUMPRODUCT((Data!$C$2:$C55=$A24)*(Data!#REF!=Z$2)*(Data!$AA$2:$AA55="No")*(Data!$A$2:$A55&lt;42217))</f>
        <v>#REF!</v>
      </c>
      <c r="AA24" s="95" t="e">
        <f>SUMPRODUCT((Data!$C$2:$C55=$A24)*(Data!#REF!=AA$2)*(Data!$AA$2:$AA55="No")*(Data!$A$2:$A55&lt;42217))</f>
        <v>#REF!</v>
      </c>
      <c r="AB24" s="95" t="e">
        <f>SUMPRODUCT((Data!$C$2:$C55=$A24)*(Data!#REF!=AB$2)*(Data!$AA$2:$AA55="No")*(Data!$A$2:$A55&lt;42217))</f>
        <v>#REF!</v>
      </c>
      <c r="AC24" s="95" t="e">
        <f>SUMPRODUCT((Data!$C$2:$C55=$A24)*(Data!#REF!=AC$2)*(Data!$AA$2:$AA55="No")*(Data!$A$2:$A55&lt;42217))</f>
        <v>#REF!</v>
      </c>
      <c r="AD24" s="96" t="s">
        <v>28</v>
      </c>
      <c r="AE24" s="96" t="s">
        <v>28</v>
      </c>
      <c r="AF24" s="96" t="s">
        <v>28</v>
      </c>
      <c r="AG24" s="96" t="s">
        <v>28</v>
      </c>
      <c r="AH24" s="96" t="s">
        <v>28</v>
      </c>
      <c r="AI24" s="96" t="s">
        <v>28</v>
      </c>
      <c r="AJ24" s="96" t="s">
        <v>28</v>
      </c>
      <c r="AK24" s="97">
        <v>6593587</v>
      </c>
      <c r="AL24" s="97">
        <v>6564073</v>
      </c>
      <c r="AM24" s="97">
        <v>6612270</v>
      </c>
      <c r="AN24" s="97">
        <v>6655829</v>
      </c>
      <c r="AO24" s="97">
        <v>6708874</v>
      </c>
      <c r="AP24" s="97">
        <v>6745408</v>
      </c>
      <c r="AQ24" s="98">
        <f t="shared" si="0"/>
        <v>3934821.3333333335</v>
      </c>
      <c r="AR24" s="99" t="e">
        <f t="shared" si="1"/>
        <v>#REF!</v>
      </c>
      <c r="AS24" s="99">
        <f t="shared" si="2"/>
        <v>0</v>
      </c>
      <c r="AT24" s="99" t="e">
        <f t="shared" si="3"/>
        <v>#REF!</v>
      </c>
      <c r="AU24" s="99" t="e">
        <f t="shared" si="4"/>
        <v>#REF!</v>
      </c>
      <c r="AV24" s="99" t="e">
        <f t="shared" si="5"/>
        <v>#REF!</v>
      </c>
      <c r="AW24" s="99" t="e">
        <f t="shared" si="6"/>
        <v>#REF!</v>
      </c>
      <c r="AX24" s="99">
        <f t="shared" si="7"/>
        <v>43814862.333333336</v>
      </c>
      <c r="AY24" s="99">
        <f t="shared" si="8"/>
        <v>0</v>
      </c>
      <c r="AZ24" s="99">
        <f t="shared" si="9"/>
        <v>43814862.333333336</v>
      </c>
      <c r="BA24" s="100" t="e">
        <f t="shared" ref="BA24:BC24" si="31">(AT24/$AZ24)*100000000</f>
        <v>#REF!</v>
      </c>
      <c r="BB24" s="100" t="e">
        <f t="shared" si="31"/>
        <v>#REF!</v>
      </c>
      <c r="BC24" s="100" t="e">
        <f t="shared" si="31"/>
        <v>#REF!</v>
      </c>
    </row>
    <row r="25" spans="1:55" ht="12">
      <c r="A25" s="91" t="s">
        <v>68</v>
      </c>
      <c r="B25" s="92" t="e">
        <f>SUMPRODUCT((Data!$C$2:$C55=$A25)*(Data!#REF!=B$2)*(Data!$A$2:$A55&lt;42217))</f>
        <v>#REF!</v>
      </c>
      <c r="C25" s="92" t="e">
        <f>SUMPRODUCT((Data!$C$2:$C55=$A25)*(Data!#REF!=C$2)*(Data!$A$2:$A55&lt;42217))</f>
        <v>#REF!</v>
      </c>
      <c r="D25" s="92" t="e">
        <f>SUMPRODUCT((Data!$C$2:$C55=$A25)*(Data!#REF!=D$2)*(Data!$A$2:$A55&lt;42217))</f>
        <v>#REF!</v>
      </c>
      <c r="E25" s="92" t="e">
        <f>SUMPRODUCT((Data!$C$2:$C55=$A25)*(Data!#REF!=E$2)*(Data!$A$2:$A55&lt;42217))</f>
        <v>#REF!</v>
      </c>
      <c r="F25" s="92" t="e">
        <f>SUMPRODUCT((Data!$C$2:$C55=$A25)*(Data!#REF!=F$2)*(Data!$A$2:$A55&lt;42217))</f>
        <v>#REF!</v>
      </c>
      <c r="G25" s="92" t="e">
        <f>SUMPRODUCT((Data!$C$2:$C55=$A25)*(Data!#REF!=G$2)*(Data!$A$2:$A55&lt;42217))</f>
        <v>#REF!</v>
      </c>
      <c r="H25" s="92" t="e">
        <f>SUMPRODUCT((Data!$C$2:$C55=$A25)*(Data!#REF!=H$2)*(Data!$A$2:$A55&lt;42217))</f>
        <v>#REF!</v>
      </c>
      <c r="I25" s="93" t="e">
        <f>SUMPRODUCT((Data!$C$2:$C55=$A25)*(Data!#REF!=I$2)*(Data!$AI$2:$AI55="Yes")*(Data!$A$2:$A55&lt;42217))</f>
        <v>#REF!</v>
      </c>
      <c r="J25" s="93" t="e">
        <f>SUMPRODUCT((Data!$C$2:$C55=$A25)*(Data!#REF!=J$2)*(Data!$AI$2:$AI55="Yes")*(Data!$A$2:$A55&lt;42217))</f>
        <v>#REF!</v>
      </c>
      <c r="K25" s="93" t="e">
        <f>SUMPRODUCT((Data!$C$2:$C55=$A25)*(Data!#REF!=K$2)*(Data!$AI$2:$AI55="Yes")*(Data!$A$2:$A55&lt;42217))</f>
        <v>#REF!</v>
      </c>
      <c r="L25" s="93" t="e">
        <f>SUMPRODUCT((Data!$C$2:$C55=$A25)*(Data!#REF!=L$2)*(Data!$AI$2:$AI55="Yes")*(Data!$A$2:$A55&lt;42217))</f>
        <v>#REF!</v>
      </c>
      <c r="M25" s="93" t="e">
        <f>SUMPRODUCT((Data!$C$2:$C55=$A25)*(Data!#REF!=M$2)*(Data!$AI$2:$AI55="Yes")*(Data!$A$2:$A55&lt;42217))</f>
        <v>#REF!</v>
      </c>
      <c r="N25" s="93" t="e">
        <f>SUMPRODUCT((Data!$C$2:$C55=$A25)*(Data!#REF!=N$2)*(Data!$AI$2:$AI55="Yes")*(Data!$A$2:$A55&lt;42217))</f>
        <v>#REF!</v>
      </c>
      <c r="O25" s="93" t="e">
        <f>SUMPRODUCT((Data!$C$2:$C55=$A25)*(Data!#REF!=O$2)*(Data!$AI$2:$AI55="Yes")*(Data!$A$2:$A55&lt;42217))</f>
        <v>#REF!</v>
      </c>
      <c r="P25" s="94" t="e">
        <f>SUMPRODUCT((Data!$C$2:$C55=$A25)*(Data!#REF!=P$2)*(Data!$AA$2:$AA55="Yes")*(Data!$A$2:$A55&lt;42217))</f>
        <v>#REF!</v>
      </c>
      <c r="Q25" s="94" t="e">
        <f>SUMPRODUCT((Data!$C$2:$C55=$A25)*(Data!#REF!=Q$2)*(Data!$AA$2:$AA55="Yes")*(Data!$A$2:$A55&lt;42217))</f>
        <v>#REF!</v>
      </c>
      <c r="R25" s="94" t="e">
        <f>SUMPRODUCT((Data!$C$2:$C55=$A25)*(Data!#REF!=R$2)*(Data!$AA$2:$AA55="Yes")*(Data!$A$2:$A55&lt;42217))</f>
        <v>#REF!</v>
      </c>
      <c r="S25" s="94" t="e">
        <f>SUMPRODUCT((Data!$C$2:$C55=$A25)*(Data!#REF!=S$2)*(Data!$AA$2:$AA55="Yes")*(Data!$A$2:$A55&lt;42217))</f>
        <v>#REF!</v>
      </c>
      <c r="T25" s="94" t="e">
        <f>SUMPRODUCT((Data!$C$2:$C55=$A25)*(Data!#REF!=T$2)*(Data!$AA$2:$AA55="Yes")*(Data!$A$2:$A55&lt;42217))</f>
        <v>#REF!</v>
      </c>
      <c r="U25" s="94" t="e">
        <f>SUMPRODUCT((Data!$C$2:$C55=$A25)*(Data!#REF!=U$2)*(Data!$AA$2:$AA55="Yes")*(Data!$A$2:$A55&lt;42217))</f>
        <v>#REF!</v>
      </c>
      <c r="V25" s="94" t="e">
        <f>SUMPRODUCT((Data!$C$2:$C55=$A25)*(Data!#REF!=V$2)*(Data!$AA$2:$AA55="Yes")*(Data!$A$2:$A55&lt;42217))</f>
        <v>#REF!</v>
      </c>
      <c r="W25" s="95" t="e">
        <f>SUMPRODUCT((Data!$C$2:$C55=$A25)*(Data!#REF!=W$2)*(Data!$AA$2:$AA55="No")*(Data!$A$2:$A55&lt;42217))</f>
        <v>#REF!</v>
      </c>
      <c r="X25" s="95" t="e">
        <f>SUMPRODUCT((Data!$C$2:$C55=$A25)*(Data!#REF!=X$2)*(Data!$AA$2:$AA55="No")*(Data!$A$2:$A55&lt;42217))</f>
        <v>#REF!</v>
      </c>
      <c r="Y25" s="95" t="e">
        <f>SUMPRODUCT((Data!$C$2:$C55=$A25)*(Data!#REF!=Y$2)*(Data!$AA$2:$AA55="No")*(Data!$A$2:$A55&lt;42217))</f>
        <v>#REF!</v>
      </c>
      <c r="Z25" s="95" t="e">
        <f>SUMPRODUCT((Data!$C$2:$C55=$A25)*(Data!#REF!=Z$2)*(Data!$AA$2:$AA55="No")*(Data!$A$2:$A55&lt;42217))</f>
        <v>#REF!</v>
      </c>
      <c r="AA25" s="95" t="e">
        <f>SUMPRODUCT((Data!$C$2:$C55=$A25)*(Data!#REF!=AA$2)*(Data!$AA$2:$AA55="No")*(Data!$A$2:$A55&lt;42217))</f>
        <v>#REF!</v>
      </c>
      <c r="AB25" s="95" t="e">
        <f>SUMPRODUCT((Data!$C$2:$C55=$A25)*(Data!#REF!=AB$2)*(Data!$AA$2:$AA55="No")*(Data!$A$2:$A55&lt;42217))</f>
        <v>#REF!</v>
      </c>
      <c r="AC25" s="95" t="e">
        <f>SUMPRODUCT((Data!$C$2:$C55=$A25)*(Data!#REF!=AC$2)*(Data!$AA$2:$AA55="No")*(Data!$A$2:$A55&lt;42217))</f>
        <v>#REF!</v>
      </c>
      <c r="AD25" s="96" t="s">
        <v>28</v>
      </c>
      <c r="AE25" s="96" t="s">
        <v>28</v>
      </c>
      <c r="AF25" s="96" t="s">
        <v>28</v>
      </c>
      <c r="AG25" s="96" t="s">
        <v>28</v>
      </c>
      <c r="AH25" s="96" t="s">
        <v>28</v>
      </c>
      <c r="AI25" s="96" t="s">
        <v>28</v>
      </c>
      <c r="AJ25" s="96" t="s">
        <v>28</v>
      </c>
      <c r="AK25" s="97">
        <v>9969727</v>
      </c>
      <c r="AL25" s="97">
        <v>9876498</v>
      </c>
      <c r="AM25" s="97">
        <v>9875736</v>
      </c>
      <c r="AN25" s="97">
        <v>9884781</v>
      </c>
      <c r="AO25" s="97">
        <v>9898193</v>
      </c>
      <c r="AP25" s="97">
        <v>9909877</v>
      </c>
      <c r="AQ25" s="98">
        <f t="shared" si="0"/>
        <v>5780761.583333333</v>
      </c>
      <c r="AR25" s="99" t="e">
        <f t="shared" si="1"/>
        <v>#REF!</v>
      </c>
      <c r="AS25" s="99">
        <f t="shared" si="2"/>
        <v>0</v>
      </c>
      <c r="AT25" s="99" t="e">
        <f t="shared" si="3"/>
        <v>#REF!</v>
      </c>
      <c r="AU25" s="99" t="e">
        <f t="shared" si="4"/>
        <v>#REF!</v>
      </c>
      <c r="AV25" s="99" t="e">
        <f t="shared" si="5"/>
        <v>#REF!</v>
      </c>
      <c r="AW25" s="99" t="e">
        <f t="shared" si="6"/>
        <v>#REF!</v>
      </c>
      <c r="AX25" s="99">
        <f t="shared" si="7"/>
        <v>65195573.583333336</v>
      </c>
      <c r="AY25" s="99">
        <f t="shared" si="8"/>
        <v>0</v>
      </c>
      <c r="AZ25" s="99">
        <f t="shared" si="9"/>
        <v>65195573.583333336</v>
      </c>
      <c r="BA25" s="100" t="e">
        <f t="shared" ref="BA25:BC25" si="32">(AT25/$AZ25)*100000000</f>
        <v>#REF!</v>
      </c>
      <c r="BB25" s="100" t="e">
        <f t="shared" si="32"/>
        <v>#REF!</v>
      </c>
      <c r="BC25" s="100" t="e">
        <f t="shared" si="32"/>
        <v>#REF!</v>
      </c>
    </row>
    <row r="26" spans="1:55" ht="12">
      <c r="A26" s="91" t="s">
        <v>95</v>
      </c>
      <c r="B26" s="92" t="e">
        <f>SUMPRODUCT((Data!$C$2:$C55=$A26)*(Data!#REF!=B$2)*(Data!$A$2:$A55&lt;42217))</f>
        <v>#REF!</v>
      </c>
      <c r="C26" s="92" t="e">
        <f>SUMPRODUCT((Data!$C$2:$C55=$A26)*(Data!#REF!=C$2)*(Data!$A$2:$A55&lt;42217))</f>
        <v>#REF!</v>
      </c>
      <c r="D26" s="92" t="e">
        <f>SUMPRODUCT((Data!$C$2:$C55=$A26)*(Data!#REF!=D$2)*(Data!$A$2:$A55&lt;42217))</f>
        <v>#REF!</v>
      </c>
      <c r="E26" s="92" t="e">
        <f>SUMPRODUCT((Data!$C$2:$C55=$A26)*(Data!#REF!=E$2)*(Data!$A$2:$A55&lt;42217))</f>
        <v>#REF!</v>
      </c>
      <c r="F26" s="92" t="e">
        <f>SUMPRODUCT((Data!$C$2:$C55=$A26)*(Data!#REF!=F$2)*(Data!$A$2:$A55&lt;42217))</f>
        <v>#REF!</v>
      </c>
      <c r="G26" s="92" t="e">
        <f>SUMPRODUCT((Data!$C$2:$C55=$A26)*(Data!#REF!=G$2)*(Data!$A$2:$A55&lt;42217))</f>
        <v>#REF!</v>
      </c>
      <c r="H26" s="92" t="e">
        <f>SUMPRODUCT((Data!$C$2:$C55=$A26)*(Data!#REF!=H$2)*(Data!$A$2:$A55&lt;42217))</f>
        <v>#REF!</v>
      </c>
      <c r="I26" s="93" t="e">
        <f>SUMPRODUCT((Data!$C$2:$C55=$A26)*(Data!#REF!=I$2)*(Data!$AI$2:$AI55="Yes")*(Data!$A$2:$A55&lt;42217))</f>
        <v>#REF!</v>
      </c>
      <c r="J26" s="93" t="e">
        <f>SUMPRODUCT((Data!$C$2:$C55=$A26)*(Data!#REF!=J$2)*(Data!$AI$2:$AI55="Yes")*(Data!$A$2:$A55&lt;42217))</f>
        <v>#REF!</v>
      </c>
      <c r="K26" s="93" t="e">
        <f>SUMPRODUCT((Data!$C$2:$C55=$A26)*(Data!#REF!=K$2)*(Data!$AI$2:$AI55="Yes")*(Data!$A$2:$A55&lt;42217))</f>
        <v>#REF!</v>
      </c>
      <c r="L26" s="93" t="e">
        <f>SUMPRODUCT((Data!$C$2:$C55=$A26)*(Data!#REF!=L$2)*(Data!$AI$2:$AI55="Yes")*(Data!$A$2:$A55&lt;42217))</f>
        <v>#REF!</v>
      </c>
      <c r="M26" s="93" t="e">
        <f>SUMPRODUCT((Data!$C$2:$C55=$A26)*(Data!#REF!=M$2)*(Data!$AI$2:$AI55="Yes")*(Data!$A$2:$A55&lt;42217))</f>
        <v>#REF!</v>
      </c>
      <c r="N26" s="93" t="e">
        <f>SUMPRODUCT((Data!$C$2:$C55=$A26)*(Data!#REF!=N$2)*(Data!$AI$2:$AI55="Yes")*(Data!$A$2:$A55&lt;42217))</f>
        <v>#REF!</v>
      </c>
      <c r="O26" s="93" t="e">
        <f>SUMPRODUCT((Data!$C$2:$C55=$A26)*(Data!#REF!=O$2)*(Data!$AI$2:$AI55="Yes")*(Data!$A$2:$A55&lt;42217))</f>
        <v>#REF!</v>
      </c>
      <c r="P26" s="94" t="e">
        <f>SUMPRODUCT((Data!$C$2:$C55=$A26)*(Data!#REF!=P$2)*(Data!$AA$2:$AA55="Yes")*(Data!$A$2:$A55&lt;42217))</f>
        <v>#REF!</v>
      </c>
      <c r="Q26" s="94" t="e">
        <f>SUMPRODUCT((Data!$C$2:$C55=$A26)*(Data!#REF!=Q$2)*(Data!$AA$2:$AA55="Yes")*(Data!$A$2:$A55&lt;42217))</f>
        <v>#REF!</v>
      </c>
      <c r="R26" s="94" t="e">
        <f>SUMPRODUCT((Data!$C$2:$C55=$A26)*(Data!#REF!=R$2)*(Data!$AA$2:$AA55="Yes")*(Data!$A$2:$A55&lt;42217))</f>
        <v>#REF!</v>
      </c>
      <c r="S26" s="94" t="e">
        <f>SUMPRODUCT((Data!$C$2:$C55=$A26)*(Data!#REF!=S$2)*(Data!$AA$2:$AA55="Yes")*(Data!$A$2:$A55&lt;42217))</f>
        <v>#REF!</v>
      </c>
      <c r="T26" s="94" t="e">
        <f>SUMPRODUCT((Data!$C$2:$C55=$A26)*(Data!#REF!=T$2)*(Data!$AA$2:$AA55="Yes")*(Data!$A$2:$A55&lt;42217))</f>
        <v>#REF!</v>
      </c>
      <c r="U26" s="94" t="e">
        <f>SUMPRODUCT((Data!$C$2:$C55=$A26)*(Data!#REF!=U$2)*(Data!$AA$2:$AA55="Yes")*(Data!$A$2:$A55&lt;42217))</f>
        <v>#REF!</v>
      </c>
      <c r="V26" s="94" t="e">
        <f>SUMPRODUCT((Data!$C$2:$C55=$A26)*(Data!#REF!=V$2)*(Data!$AA$2:$AA55="Yes")*(Data!$A$2:$A55&lt;42217))</f>
        <v>#REF!</v>
      </c>
      <c r="W26" s="95" t="e">
        <f>SUMPRODUCT((Data!$C$2:$C55=$A26)*(Data!#REF!=W$2)*(Data!$AA$2:$AA55="No")*(Data!$A$2:$A55&lt;42217))</f>
        <v>#REF!</v>
      </c>
      <c r="X26" s="95" t="e">
        <f>SUMPRODUCT((Data!$C$2:$C55=$A26)*(Data!#REF!=X$2)*(Data!$AA$2:$AA55="No")*(Data!$A$2:$A55&lt;42217))</f>
        <v>#REF!</v>
      </c>
      <c r="Y26" s="95" t="e">
        <f>SUMPRODUCT((Data!$C$2:$C55=$A26)*(Data!#REF!=Y$2)*(Data!$AA$2:$AA55="No")*(Data!$A$2:$A55&lt;42217))</f>
        <v>#REF!</v>
      </c>
      <c r="Z26" s="95" t="e">
        <f>SUMPRODUCT((Data!$C$2:$C55=$A26)*(Data!#REF!=Z$2)*(Data!$AA$2:$AA55="No")*(Data!$A$2:$A55&lt;42217))</f>
        <v>#REF!</v>
      </c>
      <c r="AA26" s="95" t="e">
        <f>SUMPRODUCT((Data!$C$2:$C55=$A26)*(Data!#REF!=AA$2)*(Data!$AA$2:$AA55="No")*(Data!$A$2:$A55&lt;42217))</f>
        <v>#REF!</v>
      </c>
      <c r="AB26" s="95" t="e">
        <f>SUMPRODUCT((Data!$C$2:$C55=$A26)*(Data!#REF!=AB$2)*(Data!$AA$2:$AA55="No")*(Data!$A$2:$A55&lt;42217))</f>
        <v>#REF!</v>
      </c>
      <c r="AC26" s="95" t="e">
        <f>SUMPRODUCT((Data!$C$2:$C55=$A26)*(Data!#REF!=AC$2)*(Data!$AA$2:$AA55="No")*(Data!$A$2:$A55&lt;42217))</f>
        <v>#REF!</v>
      </c>
      <c r="AD26" s="96" t="s">
        <v>17</v>
      </c>
      <c r="AE26" s="96" t="s">
        <v>17</v>
      </c>
      <c r="AF26" s="96" t="s">
        <v>17</v>
      </c>
      <c r="AG26" s="96" t="s">
        <v>17</v>
      </c>
      <c r="AH26" s="96" t="s">
        <v>17</v>
      </c>
      <c r="AI26" s="96" t="s">
        <v>17</v>
      </c>
      <c r="AJ26" s="96" t="s">
        <v>17</v>
      </c>
      <c r="AK26" s="97">
        <v>5266214</v>
      </c>
      <c r="AL26" s="97">
        <v>5310418</v>
      </c>
      <c r="AM26" s="97">
        <v>5348036</v>
      </c>
      <c r="AN26" s="97">
        <v>5380615</v>
      </c>
      <c r="AO26" s="97">
        <v>5422060</v>
      </c>
      <c r="AP26" s="97">
        <v>5457173</v>
      </c>
      <c r="AQ26" s="98">
        <f t="shared" si="0"/>
        <v>3183350.9166666665</v>
      </c>
      <c r="AR26" s="99">
        <f t="shared" si="1"/>
        <v>0</v>
      </c>
      <c r="AS26" s="99" t="e">
        <f t="shared" si="2"/>
        <v>#REF!</v>
      </c>
      <c r="AT26" s="99" t="e">
        <f t="shared" si="3"/>
        <v>#REF!</v>
      </c>
      <c r="AU26" s="99" t="e">
        <f t="shared" si="4"/>
        <v>#REF!</v>
      </c>
      <c r="AV26" s="99" t="e">
        <f t="shared" si="5"/>
        <v>#REF!</v>
      </c>
      <c r="AW26" s="99" t="e">
        <f t="shared" si="6"/>
        <v>#REF!</v>
      </c>
      <c r="AX26" s="99">
        <f t="shared" si="7"/>
        <v>0</v>
      </c>
      <c r="AY26" s="99">
        <f t="shared" si="8"/>
        <v>35367866.916666664</v>
      </c>
      <c r="AZ26" s="99">
        <f t="shared" si="9"/>
        <v>35367866.916666664</v>
      </c>
      <c r="BA26" s="100" t="e">
        <f t="shared" ref="BA26:BC26" si="33">(AT26/$AZ26)*100000000</f>
        <v>#REF!</v>
      </c>
      <c r="BB26" s="100" t="e">
        <f t="shared" si="33"/>
        <v>#REF!</v>
      </c>
      <c r="BC26" s="100" t="e">
        <f t="shared" si="33"/>
        <v>#REF!</v>
      </c>
    </row>
    <row r="27" spans="1:55" ht="12">
      <c r="A27" s="91" t="s">
        <v>27</v>
      </c>
      <c r="B27" s="92" t="e">
        <f>SUMPRODUCT((Data!$C$2:$C55=$A27)*(Data!#REF!=B$2)*(Data!$A$2:$A55&lt;42217))</f>
        <v>#REF!</v>
      </c>
      <c r="C27" s="92" t="e">
        <f>SUMPRODUCT((Data!$C$2:$C55=$A27)*(Data!#REF!=C$2)*(Data!$A$2:$A55&lt;42217))</f>
        <v>#REF!</v>
      </c>
      <c r="D27" s="92" t="e">
        <f>SUMPRODUCT((Data!$C$2:$C55=$A27)*(Data!#REF!=D$2)*(Data!$A$2:$A55&lt;42217))</f>
        <v>#REF!</v>
      </c>
      <c r="E27" s="92" t="e">
        <f>SUMPRODUCT((Data!$C$2:$C55=$A27)*(Data!#REF!=E$2)*(Data!$A$2:$A55&lt;42217))</f>
        <v>#REF!</v>
      </c>
      <c r="F27" s="92" t="e">
        <f>SUMPRODUCT((Data!$C$2:$C55=$A27)*(Data!#REF!=F$2)*(Data!$A$2:$A55&lt;42217))</f>
        <v>#REF!</v>
      </c>
      <c r="G27" s="92" t="e">
        <f>SUMPRODUCT((Data!$C$2:$C55=$A27)*(Data!#REF!=G$2)*(Data!$A$2:$A55&lt;42217))</f>
        <v>#REF!</v>
      </c>
      <c r="H27" s="92" t="e">
        <f>SUMPRODUCT((Data!$C$2:$C55=$A27)*(Data!#REF!=H$2)*(Data!$A$2:$A55&lt;42217))</f>
        <v>#REF!</v>
      </c>
      <c r="I27" s="93" t="e">
        <f>SUMPRODUCT((Data!$C$2:$C55=$A27)*(Data!#REF!=I$2)*(Data!$AI$2:$AI55="Yes")*(Data!$A$2:$A55&lt;42217))</f>
        <v>#REF!</v>
      </c>
      <c r="J27" s="93" t="e">
        <f>SUMPRODUCT((Data!$C$2:$C55=$A27)*(Data!#REF!=J$2)*(Data!$AI$2:$AI55="Yes")*(Data!$A$2:$A55&lt;42217))</f>
        <v>#REF!</v>
      </c>
      <c r="K27" s="93" t="e">
        <f>SUMPRODUCT((Data!$C$2:$C55=$A27)*(Data!#REF!=K$2)*(Data!$AI$2:$AI55="Yes")*(Data!$A$2:$A55&lt;42217))</f>
        <v>#REF!</v>
      </c>
      <c r="L27" s="93" t="e">
        <f>SUMPRODUCT((Data!$C$2:$C55=$A27)*(Data!#REF!=L$2)*(Data!$AI$2:$AI55="Yes")*(Data!$A$2:$A55&lt;42217))</f>
        <v>#REF!</v>
      </c>
      <c r="M27" s="93" t="e">
        <f>SUMPRODUCT((Data!$C$2:$C55=$A27)*(Data!#REF!=M$2)*(Data!$AI$2:$AI55="Yes")*(Data!$A$2:$A55&lt;42217))</f>
        <v>#REF!</v>
      </c>
      <c r="N27" s="93" t="e">
        <f>SUMPRODUCT((Data!$C$2:$C55=$A27)*(Data!#REF!=N$2)*(Data!$AI$2:$AI55="Yes")*(Data!$A$2:$A55&lt;42217))</f>
        <v>#REF!</v>
      </c>
      <c r="O27" s="93" t="e">
        <f>SUMPRODUCT((Data!$C$2:$C55=$A27)*(Data!#REF!=O$2)*(Data!$AI$2:$AI55="Yes")*(Data!$A$2:$A55&lt;42217))</f>
        <v>#REF!</v>
      </c>
      <c r="P27" s="94" t="e">
        <f>SUMPRODUCT((Data!$C$2:$C55=$A27)*(Data!#REF!=P$2)*(Data!$AA$2:$AA55="Yes")*(Data!$A$2:$A55&lt;42217))</f>
        <v>#REF!</v>
      </c>
      <c r="Q27" s="94" t="e">
        <f>SUMPRODUCT((Data!$C$2:$C55=$A27)*(Data!#REF!=Q$2)*(Data!$AA$2:$AA55="Yes")*(Data!$A$2:$A55&lt;42217))</f>
        <v>#REF!</v>
      </c>
      <c r="R27" s="94" t="e">
        <f>SUMPRODUCT((Data!$C$2:$C55=$A27)*(Data!#REF!=R$2)*(Data!$AA$2:$AA55="Yes")*(Data!$A$2:$A55&lt;42217))</f>
        <v>#REF!</v>
      </c>
      <c r="S27" s="94" t="e">
        <f>SUMPRODUCT((Data!$C$2:$C55=$A27)*(Data!#REF!=S$2)*(Data!$AA$2:$AA55="Yes")*(Data!$A$2:$A55&lt;42217))</f>
        <v>#REF!</v>
      </c>
      <c r="T27" s="94" t="e">
        <f>SUMPRODUCT((Data!$C$2:$C55=$A27)*(Data!#REF!=T$2)*(Data!$AA$2:$AA55="Yes")*(Data!$A$2:$A55&lt;42217))</f>
        <v>#REF!</v>
      </c>
      <c r="U27" s="94" t="e">
        <f>SUMPRODUCT((Data!$C$2:$C55=$A27)*(Data!#REF!=U$2)*(Data!$AA$2:$AA55="Yes")*(Data!$A$2:$A55&lt;42217))</f>
        <v>#REF!</v>
      </c>
      <c r="V27" s="94" t="e">
        <f>SUMPRODUCT((Data!$C$2:$C55=$A27)*(Data!#REF!=V$2)*(Data!$AA$2:$AA55="Yes")*(Data!$A$2:$A55&lt;42217))</f>
        <v>#REF!</v>
      </c>
      <c r="W27" s="95" t="e">
        <f>SUMPRODUCT((Data!$C$2:$C55=$A27)*(Data!#REF!=W$2)*(Data!$AA$2:$AA55="No")*(Data!$A$2:$A55&lt;42217))</f>
        <v>#REF!</v>
      </c>
      <c r="X27" s="95" t="e">
        <f>SUMPRODUCT((Data!$C$2:$C55=$A27)*(Data!#REF!=X$2)*(Data!$AA$2:$AA55="No")*(Data!$A$2:$A55&lt;42217))</f>
        <v>#REF!</v>
      </c>
      <c r="Y27" s="95" t="e">
        <f>SUMPRODUCT((Data!$C$2:$C55=$A27)*(Data!#REF!=Y$2)*(Data!$AA$2:$AA55="No")*(Data!$A$2:$A55&lt;42217))</f>
        <v>#REF!</v>
      </c>
      <c r="Z27" s="95" t="e">
        <f>SUMPRODUCT((Data!$C$2:$C55=$A27)*(Data!#REF!=Z$2)*(Data!$AA$2:$AA55="No")*(Data!$A$2:$A55&lt;42217))</f>
        <v>#REF!</v>
      </c>
      <c r="AA27" s="95" t="e">
        <f>SUMPRODUCT((Data!$C$2:$C55=$A27)*(Data!#REF!=AA$2)*(Data!$AA$2:$AA55="No")*(Data!$A$2:$A55&lt;42217))</f>
        <v>#REF!</v>
      </c>
      <c r="AB27" s="95" t="e">
        <f>SUMPRODUCT((Data!$C$2:$C55=$A27)*(Data!#REF!=AB$2)*(Data!$AA$2:$AA55="No")*(Data!$A$2:$A55&lt;42217))</f>
        <v>#REF!</v>
      </c>
      <c r="AC27" s="95" t="e">
        <f>SUMPRODUCT((Data!$C$2:$C55=$A27)*(Data!#REF!=AC$2)*(Data!$AA$2:$AA55="No")*(Data!$A$2:$A55&lt;42217))</f>
        <v>#REF!</v>
      </c>
      <c r="AD27" s="96" t="s">
        <v>17</v>
      </c>
      <c r="AE27" s="96" t="s">
        <v>17</v>
      </c>
      <c r="AF27" s="96" t="s">
        <v>17</v>
      </c>
      <c r="AG27" s="96" t="s">
        <v>17</v>
      </c>
      <c r="AH27" s="96" t="s">
        <v>17</v>
      </c>
      <c r="AI27" s="96" t="s">
        <v>17</v>
      </c>
      <c r="AJ27" s="96" t="s">
        <v>17</v>
      </c>
      <c r="AK27" s="97">
        <v>2951996</v>
      </c>
      <c r="AL27" s="97">
        <v>2970811</v>
      </c>
      <c r="AM27" s="97">
        <v>2978464</v>
      </c>
      <c r="AN27" s="97">
        <v>2986137</v>
      </c>
      <c r="AO27" s="97">
        <v>2992206</v>
      </c>
      <c r="AP27" s="97">
        <v>2994079</v>
      </c>
      <c r="AQ27" s="98">
        <f t="shared" si="0"/>
        <v>1746546.0833333333</v>
      </c>
      <c r="AR27" s="99">
        <f t="shared" si="1"/>
        <v>0</v>
      </c>
      <c r="AS27" s="99" t="e">
        <f t="shared" si="2"/>
        <v>#REF!</v>
      </c>
      <c r="AT27" s="99" t="e">
        <f t="shared" si="3"/>
        <v>#REF!</v>
      </c>
      <c r="AU27" s="99" t="e">
        <f t="shared" si="4"/>
        <v>#REF!</v>
      </c>
      <c r="AV27" s="99" t="e">
        <f t="shared" si="5"/>
        <v>#REF!</v>
      </c>
      <c r="AW27" s="99" t="e">
        <f t="shared" si="6"/>
        <v>#REF!</v>
      </c>
      <c r="AX27" s="99">
        <f t="shared" si="7"/>
        <v>0</v>
      </c>
      <c r="AY27" s="99">
        <f t="shared" si="8"/>
        <v>19620239.083333332</v>
      </c>
      <c r="AZ27" s="99">
        <f t="shared" si="9"/>
        <v>19620239.083333332</v>
      </c>
      <c r="BA27" s="100" t="e">
        <f t="shared" ref="BA27:BC27" si="34">(AT27/$AZ27)*100000000</f>
        <v>#REF!</v>
      </c>
      <c r="BB27" s="100" t="e">
        <f t="shared" si="34"/>
        <v>#REF!</v>
      </c>
      <c r="BC27" s="100" t="e">
        <f t="shared" si="34"/>
        <v>#REF!</v>
      </c>
    </row>
    <row r="28" spans="1:55" ht="12">
      <c r="A28" s="91" t="s">
        <v>9</v>
      </c>
      <c r="B28" s="92" t="e">
        <f>SUMPRODUCT((Data!$C$2:$C55=$A28)*(Data!#REF!=B$2)*(Data!$A$2:$A55&lt;42217))</f>
        <v>#REF!</v>
      </c>
      <c r="C28" s="92" t="e">
        <f>SUMPRODUCT((Data!$C$2:$C55=$A28)*(Data!#REF!=C$2)*(Data!$A$2:$A55&lt;42217))</f>
        <v>#REF!</v>
      </c>
      <c r="D28" s="92" t="e">
        <f>SUMPRODUCT((Data!$C$2:$C55=$A28)*(Data!#REF!=D$2)*(Data!$A$2:$A55&lt;42217))</f>
        <v>#REF!</v>
      </c>
      <c r="E28" s="92" t="e">
        <f>SUMPRODUCT((Data!$C$2:$C55=$A28)*(Data!#REF!=E$2)*(Data!$A$2:$A55&lt;42217))</f>
        <v>#REF!</v>
      </c>
      <c r="F28" s="92" t="e">
        <f>SUMPRODUCT((Data!$C$2:$C55=$A28)*(Data!#REF!=F$2)*(Data!$A$2:$A55&lt;42217))</f>
        <v>#REF!</v>
      </c>
      <c r="G28" s="92" t="e">
        <f>SUMPRODUCT((Data!$C$2:$C55=$A28)*(Data!#REF!=G$2)*(Data!$A$2:$A55&lt;42217))</f>
        <v>#REF!</v>
      </c>
      <c r="H28" s="92" t="e">
        <f>SUMPRODUCT((Data!$C$2:$C55=$A28)*(Data!#REF!=H$2)*(Data!$A$2:$A55&lt;42217))</f>
        <v>#REF!</v>
      </c>
      <c r="I28" s="93" t="e">
        <f>SUMPRODUCT((Data!$C$2:$C55=$A28)*(Data!#REF!=I$2)*(Data!$AI$2:$AI55="Yes")*(Data!$A$2:$A55&lt;42217))</f>
        <v>#REF!</v>
      </c>
      <c r="J28" s="93" t="e">
        <f>SUMPRODUCT((Data!$C$2:$C55=$A28)*(Data!#REF!=J$2)*(Data!$AI$2:$AI55="Yes")*(Data!$A$2:$A55&lt;42217))</f>
        <v>#REF!</v>
      </c>
      <c r="K28" s="93" t="e">
        <f>SUMPRODUCT((Data!$C$2:$C55=$A28)*(Data!#REF!=K$2)*(Data!$AI$2:$AI55="Yes")*(Data!$A$2:$A55&lt;42217))</f>
        <v>#REF!</v>
      </c>
      <c r="L28" s="93" t="e">
        <f>SUMPRODUCT((Data!$C$2:$C55=$A28)*(Data!#REF!=L$2)*(Data!$AI$2:$AI55="Yes")*(Data!$A$2:$A55&lt;42217))</f>
        <v>#REF!</v>
      </c>
      <c r="M28" s="93" t="e">
        <f>SUMPRODUCT((Data!$C$2:$C55=$A28)*(Data!#REF!=M$2)*(Data!$AI$2:$AI55="Yes")*(Data!$A$2:$A55&lt;42217))</f>
        <v>#REF!</v>
      </c>
      <c r="N28" s="93" t="e">
        <f>SUMPRODUCT((Data!$C$2:$C55=$A28)*(Data!#REF!=N$2)*(Data!$AI$2:$AI55="Yes")*(Data!$A$2:$A55&lt;42217))</f>
        <v>#REF!</v>
      </c>
      <c r="O28" s="93" t="e">
        <f>SUMPRODUCT((Data!$C$2:$C55=$A28)*(Data!#REF!=O$2)*(Data!$AI$2:$AI55="Yes")*(Data!$A$2:$A55&lt;42217))</f>
        <v>#REF!</v>
      </c>
      <c r="P28" s="94" t="e">
        <f>SUMPRODUCT((Data!$C$2:$C55=$A28)*(Data!#REF!=P$2)*(Data!$AA$2:$AA55="Yes")*(Data!$A$2:$A55&lt;42217))</f>
        <v>#REF!</v>
      </c>
      <c r="Q28" s="94" t="e">
        <f>SUMPRODUCT((Data!$C$2:$C55=$A28)*(Data!#REF!=Q$2)*(Data!$AA$2:$AA55="Yes")*(Data!$A$2:$A55&lt;42217))</f>
        <v>#REF!</v>
      </c>
      <c r="R28" s="94" t="e">
        <f>SUMPRODUCT((Data!$C$2:$C55=$A28)*(Data!#REF!=R$2)*(Data!$AA$2:$AA55="Yes")*(Data!$A$2:$A55&lt;42217))</f>
        <v>#REF!</v>
      </c>
      <c r="S28" s="94" t="e">
        <f>SUMPRODUCT((Data!$C$2:$C55=$A28)*(Data!#REF!=S$2)*(Data!$AA$2:$AA55="Yes")*(Data!$A$2:$A55&lt;42217))</f>
        <v>#REF!</v>
      </c>
      <c r="T28" s="94" t="e">
        <f>SUMPRODUCT((Data!$C$2:$C55=$A28)*(Data!#REF!=T$2)*(Data!$AA$2:$AA55="Yes")*(Data!$A$2:$A55&lt;42217))</f>
        <v>#REF!</v>
      </c>
      <c r="U28" s="94" t="e">
        <f>SUMPRODUCT((Data!$C$2:$C55=$A28)*(Data!#REF!=U$2)*(Data!$AA$2:$AA55="Yes")*(Data!$A$2:$A55&lt;42217))</f>
        <v>#REF!</v>
      </c>
      <c r="V28" s="94" t="e">
        <f>SUMPRODUCT((Data!$C$2:$C55=$A28)*(Data!#REF!=V$2)*(Data!$AA$2:$AA55="Yes")*(Data!$A$2:$A55&lt;42217))</f>
        <v>#REF!</v>
      </c>
      <c r="W28" s="95" t="e">
        <f>SUMPRODUCT((Data!$C$2:$C55=$A28)*(Data!#REF!=W$2)*(Data!$AA$2:$AA55="No")*(Data!$A$2:$A55&lt;42217))</f>
        <v>#REF!</v>
      </c>
      <c r="X28" s="95" t="e">
        <f>SUMPRODUCT((Data!$C$2:$C55=$A28)*(Data!#REF!=X$2)*(Data!$AA$2:$AA55="No")*(Data!$A$2:$A55&lt;42217))</f>
        <v>#REF!</v>
      </c>
      <c r="Y28" s="95" t="e">
        <f>SUMPRODUCT((Data!$C$2:$C55=$A28)*(Data!#REF!=Y$2)*(Data!$AA$2:$AA55="No")*(Data!$A$2:$A55&lt;42217))</f>
        <v>#REF!</v>
      </c>
      <c r="Z28" s="95" t="e">
        <f>SUMPRODUCT((Data!$C$2:$C55=$A28)*(Data!#REF!=Z$2)*(Data!$AA$2:$AA55="No")*(Data!$A$2:$A55&lt;42217))</f>
        <v>#REF!</v>
      </c>
      <c r="AA28" s="95" t="e">
        <f>SUMPRODUCT((Data!$C$2:$C55=$A28)*(Data!#REF!=AA$2)*(Data!$AA$2:$AA55="No")*(Data!$A$2:$A55&lt;42217))</f>
        <v>#REF!</v>
      </c>
      <c r="AB28" s="95" t="e">
        <f>SUMPRODUCT((Data!$C$2:$C55=$A28)*(Data!#REF!=AB$2)*(Data!$AA$2:$AA55="No")*(Data!$A$2:$A55&lt;42217))</f>
        <v>#REF!</v>
      </c>
      <c r="AC28" s="95" t="e">
        <f>SUMPRODUCT((Data!$C$2:$C55=$A28)*(Data!#REF!=AC$2)*(Data!$AA$2:$AA55="No")*(Data!$A$2:$A55&lt;42217))</f>
        <v>#REF!</v>
      </c>
      <c r="AD28" s="96" t="s">
        <v>17</v>
      </c>
      <c r="AE28" s="96" t="s">
        <v>17</v>
      </c>
      <c r="AF28" s="96" t="s">
        <v>17</v>
      </c>
      <c r="AG28" s="96" t="s">
        <v>17</v>
      </c>
      <c r="AH28" s="96" t="s">
        <v>17</v>
      </c>
      <c r="AI28" s="96" t="s">
        <v>17</v>
      </c>
      <c r="AJ28" s="96" t="s">
        <v>17</v>
      </c>
      <c r="AK28" s="97">
        <v>5987580</v>
      </c>
      <c r="AL28" s="97">
        <v>5996085</v>
      </c>
      <c r="AM28" s="97">
        <v>6010544</v>
      </c>
      <c r="AN28" s="97">
        <v>6025281</v>
      </c>
      <c r="AO28" s="97">
        <v>6044917</v>
      </c>
      <c r="AP28" s="97">
        <v>6063589</v>
      </c>
      <c r="AQ28" s="98">
        <f t="shared" si="0"/>
        <v>3537093.5833333335</v>
      </c>
      <c r="AR28" s="99">
        <f t="shared" si="1"/>
        <v>0</v>
      </c>
      <c r="AS28" s="99" t="e">
        <f t="shared" si="2"/>
        <v>#REF!</v>
      </c>
      <c r="AT28" s="99" t="e">
        <f t="shared" si="3"/>
        <v>#REF!</v>
      </c>
      <c r="AU28" s="99" t="e">
        <f t="shared" si="4"/>
        <v>#REF!</v>
      </c>
      <c r="AV28" s="99" t="e">
        <f t="shared" si="5"/>
        <v>#REF!</v>
      </c>
      <c r="AW28" s="99" t="e">
        <f t="shared" si="6"/>
        <v>#REF!</v>
      </c>
      <c r="AX28" s="99">
        <f t="shared" si="7"/>
        <v>0</v>
      </c>
      <c r="AY28" s="99">
        <f t="shared" si="8"/>
        <v>39665089.583333336</v>
      </c>
      <c r="AZ28" s="99">
        <f t="shared" si="9"/>
        <v>39665089.583333336</v>
      </c>
      <c r="BA28" s="100" t="e">
        <f t="shared" ref="BA28:BC28" si="35">(AT28/$AZ28)*100000000</f>
        <v>#REF!</v>
      </c>
      <c r="BB28" s="100" t="e">
        <f t="shared" si="35"/>
        <v>#REF!</v>
      </c>
      <c r="BC28" s="100" t="e">
        <f t="shared" si="35"/>
        <v>#REF!</v>
      </c>
    </row>
    <row r="29" spans="1:55" ht="12">
      <c r="A29" s="91" t="s">
        <v>154</v>
      </c>
      <c r="B29" s="92" t="e">
        <f>SUMPRODUCT((Data!$C$2:$C55=$A29)*(Data!#REF!=B$2)*(Data!$A$2:$A55&lt;42217))</f>
        <v>#REF!</v>
      </c>
      <c r="C29" s="92" t="e">
        <f>SUMPRODUCT((Data!$C$2:$C55=$A29)*(Data!#REF!=C$2)*(Data!$A$2:$A55&lt;42217))</f>
        <v>#REF!</v>
      </c>
      <c r="D29" s="92" t="e">
        <f>SUMPRODUCT((Data!$C$2:$C55=$A29)*(Data!#REF!=D$2)*(Data!$A$2:$A55&lt;42217))</f>
        <v>#REF!</v>
      </c>
      <c r="E29" s="92" t="e">
        <f>SUMPRODUCT((Data!$C$2:$C55=$A29)*(Data!#REF!=E$2)*(Data!$A$2:$A55&lt;42217))</f>
        <v>#REF!</v>
      </c>
      <c r="F29" s="92" t="e">
        <f>SUMPRODUCT((Data!$C$2:$C55=$A29)*(Data!#REF!=F$2)*(Data!$A$2:$A55&lt;42217))</f>
        <v>#REF!</v>
      </c>
      <c r="G29" s="92" t="e">
        <f>SUMPRODUCT((Data!$C$2:$C55=$A29)*(Data!#REF!=G$2)*(Data!$A$2:$A55&lt;42217))</f>
        <v>#REF!</v>
      </c>
      <c r="H29" s="92" t="e">
        <f>SUMPRODUCT((Data!$C$2:$C55=$A29)*(Data!#REF!=H$2)*(Data!$A$2:$A55&lt;42217))</f>
        <v>#REF!</v>
      </c>
      <c r="I29" s="93" t="e">
        <f>SUMPRODUCT((Data!$C$2:$C55=$A29)*(Data!#REF!=I$2)*(Data!$AI$2:$AI55="Yes")*(Data!$A$2:$A55&lt;42217))</f>
        <v>#REF!</v>
      </c>
      <c r="J29" s="93" t="e">
        <f>SUMPRODUCT((Data!$C$2:$C55=$A29)*(Data!#REF!=J$2)*(Data!$AI$2:$AI55="Yes")*(Data!$A$2:$A55&lt;42217))</f>
        <v>#REF!</v>
      </c>
      <c r="K29" s="93" t="e">
        <f>SUMPRODUCT((Data!$C$2:$C55=$A29)*(Data!#REF!=K$2)*(Data!$AI$2:$AI55="Yes")*(Data!$A$2:$A55&lt;42217))</f>
        <v>#REF!</v>
      </c>
      <c r="L29" s="93" t="e">
        <f>SUMPRODUCT((Data!$C$2:$C55=$A29)*(Data!#REF!=L$2)*(Data!$AI$2:$AI55="Yes")*(Data!$A$2:$A55&lt;42217))</f>
        <v>#REF!</v>
      </c>
      <c r="M29" s="93" t="e">
        <f>SUMPRODUCT((Data!$C$2:$C55=$A29)*(Data!#REF!=M$2)*(Data!$AI$2:$AI55="Yes")*(Data!$A$2:$A55&lt;42217))</f>
        <v>#REF!</v>
      </c>
      <c r="N29" s="93" t="e">
        <f>SUMPRODUCT((Data!$C$2:$C55=$A29)*(Data!#REF!=N$2)*(Data!$AI$2:$AI55="Yes")*(Data!$A$2:$A55&lt;42217))</f>
        <v>#REF!</v>
      </c>
      <c r="O29" s="93" t="e">
        <f>SUMPRODUCT((Data!$C$2:$C55=$A29)*(Data!#REF!=O$2)*(Data!$AI$2:$AI55="Yes")*(Data!$A$2:$A55&lt;42217))</f>
        <v>#REF!</v>
      </c>
      <c r="P29" s="94" t="e">
        <f>SUMPRODUCT((Data!$C$2:$C55=$A29)*(Data!#REF!=P$2)*(Data!$AA$2:$AA55="Yes")*(Data!$A$2:$A55&lt;42217))</f>
        <v>#REF!</v>
      </c>
      <c r="Q29" s="94" t="e">
        <f>SUMPRODUCT((Data!$C$2:$C55=$A29)*(Data!#REF!=Q$2)*(Data!$AA$2:$AA55="Yes")*(Data!$A$2:$A55&lt;42217))</f>
        <v>#REF!</v>
      </c>
      <c r="R29" s="94" t="e">
        <f>SUMPRODUCT((Data!$C$2:$C55=$A29)*(Data!#REF!=R$2)*(Data!$AA$2:$AA55="Yes")*(Data!$A$2:$A55&lt;42217))</f>
        <v>#REF!</v>
      </c>
      <c r="S29" s="94" t="e">
        <f>SUMPRODUCT((Data!$C$2:$C55=$A29)*(Data!#REF!=S$2)*(Data!$AA$2:$AA55="Yes")*(Data!$A$2:$A55&lt;42217))</f>
        <v>#REF!</v>
      </c>
      <c r="T29" s="94" t="e">
        <f>SUMPRODUCT((Data!$C$2:$C55=$A29)*(Data!#REF!=T$2)*(Data!$AA$2:$AA55="Yes")*(Data!$A$2:$A55&lt;42217))</f>
        <v>#REF!</v>
      </c>
      <c r="U29" s="94" t="e">
        <f>SUMPRODUCT((Data!$C$2:$C55=$A29)*(Data!#REF!=U$2)*(Data!$AA$2:$AA55="Yes")*(Data!$A$2:$A55&lt;42217))</f>
        <v>#REF!</v>
      </c>
      <c r="V29" s="94" t="e">
        <f>SUMPRODUCT((Data!$C$2:$C55=$A29)*(Data!#REF!=V$2)*(Data!$AA$2:$AA55="Yes")*(Data!$A$2:$A55&lt;42217))</f>
        <v>#REF!</v>
      </c>
      <c r="W29" s="95" t="e">
        <f>SUMPRODUCT((Data!$C$2:$C55=$A29)*(Data!#REF!=W$2)*(Data!$AA$2:$AA55="No")*(Data!$A$2:$A55&lt;42217))</f>
        <v>#REF!</v>
      </c>
      <c r="X29" s="95" t="e">
        <f>SUMPRODUCT((Data!$C$2:$C55=$A29)*(Data!#REF!=X$2)*(Data!$AA$2:$AA55="No")*(Data!$A$2:$A55&lt;42217))</f>
        <v>#REF!</v>
      </c>
      <c r="Y29" s="95" t="e">
        <f>SUMPRODUCT((Data!$C$2:$C55=$A29)*(Data!#REF!=Y$2)*(Data!$AA$2:$AA55="No")*(Data!$A$2:$A55&lt;42217))</f>
        <v>#REF!</v>
      </c>
      <c r="Z29" s="95" t="e">
        <f>SUMPRODUCT((Data!$C$2:$C55=$A29)*(Data!#REF!=Z$2)*(Data!$AA$2:$AA55="No")*(Data!$A$2:$A55&lt;42217))</f>
        <v>#REF!</v>
      </c>
      <c r="AA29" s="95" t="e">
        <f>SUMPRODUCT((Data!$C$2:$C55=$A29)*(Data!#REF!=AA$2)*(Data!$AA$2:$AA55="No")*(Data!$A$2:$A55&lt;42217))</f>
        <v>#REF!</v>
      </c>
      <c r="AB29" s="95" t="e">
        <f>SUMPRODUCT((Data!$C$2:$C55=$A29)*(Data!#REF!=AB$2)*(Data!$AA$2:$AA55="No")*(Data!$A$2:$A55&lt;42217))</f>
        <v>#REF!</v>
      </c>
      <c r="AC29" s="95" t="e">
        <f>SUMPRODUCT((Data!$C$2:$C55=$A29)*(Data!#REF!=AC$2)*(Data!$AA$2:$AA55="No")*(Data!$A$2:$A55&lt;42217))</f>
        <v>#REF!</v>
      </c>
      <c r="AD29" s="96" t="s">
        <v>17</v>
      </c>
      <c r="AE29" s="96" t="s">
        <v>17</v>
      </c>
      <c r="AF29" s="96" t="s">
        <v>17</v>
      </c>
      <c r="AG29" s="96" t="s">
        <v>17</v>
      </c>
      <c r="AH29" s="96" t="s">
        <v>17</v>
      </c>
      <c r="AI29" s="96" t="s">
        <v>17</v>
      </c>
      <c r="AJ29" s="96" t="s">
        <v>17</v>
      </c>
      <c r="AK29" s="97">
        <v>974989</v>
      </c>
      <c r="AL29" s="97">
        <v>990575</v>
      </c>
      <c r="AM29" s="97">
        <v>997661</v>
      </c>
      <c r="AN29" s="97">
        <v>1005163</v>
      </c>
      <c r="AO29" s="97">
        <v>1014864</v>
      </c>
      <c r="AP29" s="97">
        <v>1023579</v>
      </c>
      <c r="AQ29" s="98">
        <f t="shared" si="0"/>
        <v>597087.75</v>
      </c>
      <c r="AR29" s="99">
        <f t="shared" si="1"/>
        <v>0</v>
      </c>
      <c r="AS29" s="99" t="e">
        <f t="shared" si="2"/>
        <v>#REF!</v>
      </c>
      <c r="AT29" s="99" t="e">
        <f t="shared" si="3"/>
        <v>#REF!</v>
      </c>
      <c r="AU29" s="99" t="e">
        <f t="shared" si="4"/>
        <v>#REF!</v>
      </c>
      <c r="AV29" s="99" t="e">
        <f t="shared" si="5"/>
        <v>#REF!</v>
      </c>
      <c r="AW29" s="99" t="e">
        <f t="shared" si="6"/>
        <v>#REF!</v>
      </c>
      <c r="AX29" s="99">
        <f t="shared" si="7"/>
        <v>0</v>
      </c>
      <c r="AY29" s="99">
        <f t="shared" si="8"/>
        <v>6603918.75</v>
      </c>
      <c r="AZ29" s="99">
        <f t="shared" si="9"/>
        <v>6603918.75</v>
      </c>
      <c r="BA29" s="100" t="e">
        <f t="shared" ref="BA29:BC29" si="36">(AT29/$AZ29)*100000000</f>
        <v>#REF!</v>
      </c>
      <c r="BB29" s="100" t="e">
        <f t="shared" si="36"/>
        <v>#REF!</v>
      </c>
      <c r="BC29" s="100" t="e">
        <f t="shared" si="36"/>
        <v>#REF!</v>
      </c>
    </row>
    <row r="30" spans="1:55" ht="12">
      <c r="A30" s="91" t="s">
        <v>161</v>
      </c>
      <c r="B30" s="92" t="e">
        <f>SUMPRODUCT((Data!$C$2:$C55=$A30)*(Data!#REF!=B$2)*(Data!$A$2:$A55&lt;42217))</f>
        <v>#REF!</v>
      </c>
      <c r="C30" s="92" t="e">
        <f>SUMPRODUCT((Data!$C$2:$C55=$A30)*(Data!#REF!=C$2)*(Data!$A$2:$A55&lt;42217))</f>
        <v>#REF!</v>
      </c>
      <c r="D30" s="92" t="e">
        <f>SUMPRODUCT((Data!$C$2:$C55=$A30)*(Data!#REF!=D$2)*(Data!$A$2:$A55&lt;42217))</f>
        <v>#REF!</v>
      </c>
      <c r="E30" s="92" t="e">
        <f>SUMPRODUCT((Data!$C$2:$C55=$A30)*(Data!#REF!=E$2)*(Data!$A$2:$A55&lt;42217))</f>
        <v>#REF!</v>
      </c>
      <c r="F30" s="92" t="e">
        <f>SUMPRODUCT((Data!$C$2:$C55=$A30)*(Data!#REF!=F$2)*(Data!$A$2:$A55&lt;42217))</f>
        <v>#REF!</v>
      </c>
      <c r="G30" s="92" t="e">
        <f>SUMPRODUCT((Data!$C$2:$C55=$A30)*(Data!#REF!=G$2)*(Data!$A$2:$A55&lt;42217))</f>
        <v>#REF!</v>
      </c>
      <c r="H30" s="92" t="e">
        <f>SUMPRODUCT((Data!$C$2:$C55=$A30)*(Data!#REF!=H$2)*(Data!$A$2:$A55&lt;42217))</f>
        <v>#REF!</v>
      </c>
      <c r="I30" s="93" t="e">
        <f>SUMPRODUCT((Data!$C$2:$C55=$A30)*(Data!#REF!=I$2)*(Data!$AI$2:$AI55="Yes")*(Data!$A$2:$A55&lt;42217))</f>
        <v>#REF!</v>
      </c>
      <c r="J30" s="93" t="e">
        <f>SUMPRODUCT((Data!$C$2:$C55=$A30)*(Data!#REF!=J$2)*(Data!$AI$2:$AI55="Yes")*(Data!$A$2:$A55&lt;42217))</f>
        <v>#REF!</v>
      </c>
      <c r="K30" s="93" t="e">
        <f>SUMPRODUCT((Data!$C$2:$C55=$A30)*(Data!#REF!=K$2)*(Data!$AI$2:$AI55="Yes")*(Data!$A$2:$A55&lt;42217))</f>
        <v>#REF!</v>
      </c>
      <c r="L30" s="93" t="e">
        <f>SUMPRODUCT((Data!$C$2:$C55=$A30)*(Data!#REF!=L$2)*(Data!$AI$2:$AI55="Yes")*(Data!$A$2:$A55&lt;42217))</f>
        <v>#REF!</v>
      </c>
      <c r="M30" s="93" t="e">
        <f>SUMPRODUCT((Data!$C$2:$C55=$A30)*(Data!#REF!=M$2)*(Data!$AI$2:$AI55="Yes")*(Data!$A$2:$A55&lt;42217))</f>
        <v>#REF!</v>
      </c>
      <c r="N30" s="93" t="e">
        <f>SUMPRODUCT((Data!$C$2:$C55=$A30)*(Data!#REF!=N$2)*(Data!$AI$2:$AI55="Yes")*(Data!$A$2:$A55&lt;42217))</f>
        <v>#REF!</v>
      </c>
      <c r="O30" s="93" t="e">
        <f>SUMPRODUCT((Data!$C$2:$C55=$A30)*(Data!#REF!=O$2)*(Data!$AI$2:$AI55="Yes")*(Data!$A$2:$A55&lt;42217))</f>
        <v>#REF!</v>
      </c>
      <c r="P30" s="94" t="e">
        <f>SUMPRODUCT((Data!$C$2:$C55=$A30)*(Data!#REF!=P$2)*(Data!$AA$2:$AA55="Yes")*(Data!$A$2:$A55&lt;42217))</f>
        <v>#REF!</v>
      </c>
      <c r="Q30" s="94" t="e">
        <f>SUMPRODUCT((Data!$C$2:$C55=$A30)*(Data!#REF!=Q$2)*(Data!$AA$2:$AA55="Yes")*(Data!$A$2:$A55&lt;42217))</f>
        <v>#REF!</v>
      </c>
      <c r="R30" s="94" t="e">
        <f>SUMPRODUCT((Data!$C$2:$C55=$A30)*(Data!#REF!=R$2)*(Data!$AA$2:$AA55="Yes")*(Data!$A$2:$A55&lt;42217))</f>
        <v>#REF!</v>
      </c>
      <c r="S30" s="94" t="e">
        <f>SUMPRODUCT((Data!$C$2:$C55=$A30)*(Data!#REF!=S$2)*(Data!$AA$2:$AA55="Yes")*(Data!$A$2:$A55&lt;42217))</f>
        <v>#REF!</v>
      </c>
      <c r="T30" s="94" t="e">
        <f>SUMPRODUCT((Data!$C$2:$C55=$A30)*(Data!#REF!=T$2)*(Data!$AA$2:$AA55="Yes")*(Data!$A$2:$A55&lt;42217))</f>
        <v>#REF!</v>
      </c>
      <c r="U30" s="94" t="e">
        <f>SUMPRODUCT((Data!$C$2:$C55=$A30)*(Data!#REF!=U$2)*(Data!$AA$2:$AA55="Yes")*(Data!$A$2:$A55&lt;42217))</f>
        <v>#REF!</v>
      </c>
      <c r="V30" s="94" t="e">
        <f>SUMPRODUCT((Data!$C$2:$C55=$A30)*(Data!#REF!=V$2)*(Data!$AA$2:$AA55="Yes")*(Data!$A$2:$A55&lt;42217))</f>
        <v>#REF!</v>
      </c>
      <c r="W30" s="95" t="e">
        <f>SUMPRODUCT((Data!$C$2:$C55=$A30)*(Data!#REF!=W$2)*(Data!$AA$2:$AA55="No")*(Data!$A$2:$A55&lt;42217))</f>
        <v>#REF!</v>
      </c>
      <c r="X30" s="95" t="e">
        <f>SUMPRODUCT((Data!$C$2:$C55=$A30)*(Data!#REF!=X$2)*(Data!$AA$2:$AA55="No")*(Data!$A$2:$A55&lt;42217))</f>
        <v>#REF!</v>
      </c>
      <c r="Y30" s="95" t="e">
        <f>SUMPRODUCT((Data!$C$2:$C55=$A30)*(Data!#REF!=Y$2)*(Data!$AA$2:$AA55="No")*(Data!$A$2:$A55&lt;42217))</f>
        <v>#REF!</v>
      </c>
      <c r="Z30" s="95" t="e">
        <f>SUMPRODUCT((Data!$C$2:$C55=$A30)*(Data!#REF!=Z$2)*(Data!$AA$2:$AA55="No")*(Data!$A$2:$A55&lt;42217))</f>
        <v>#REF!</v>
      </c>
      <c r="AA30" s="95" t="e">
        <f>SUMPRODUCT((Data!$C$2:$C55=$A30)*(Data!#REF!=AA$2)*(Data!$AA$2:$AA55="No")*(Data!$A$2:$A55&lt;42217))</f>
        <v>#REF!</v>
      </c>
      <c r="AB30" s="95" t="e">
        <f>SUMPRODUCT((Data!$C$2:$C55=$A30)*(Data!#REF!=AB$2)*(Data!$AA$2:$AA55="No")*(Data!$A$2:$A55&lt;42217))</f>
        <v>#REF!</v>
      </c>
      <c r="AC30" s="95" t="e">
        <f>SUMPRODUCT((Data!$C$2:$C55=$A30)*(Data!#REF!=AC$2)*(Data!$AA$2:$AA55="No")*(Data!$A$2:$A55&lt;42217))</f>
        <v>#REF!</v>
      </c>
      <c r="AD30" s="96" t="s">
        <v>28</v>
      </c>
      <c r="AE30" s="96" t="s">
        <v>28</v>
      </c>
      <c r="AF30" s="96" t="s">
        <v>28</v>
      </c>
      <c r="AG30" s="96" t="s">
        <v>28</v>
      </c>
      <c r="AH30" s="96" t="s">
        <v>28</v>
      </c>
      <c r="AI30" s="96" t="s">
        <v>28</v>
      </c>
      <c r="AJ30" s="96" t="s">
        <v>28</v>
      </c>
      <c r="AK30" s="97">
        <v>1796619</v>
      </c>
      <c r="AL30" s="97">
        <v>1829865</v>
      </c>
      <c r="AM30" s="97">
        <v>1842232</v>
      </c>
      <c r="AN30" s="97">
        <v>1855487</v>
      </c>
      <c r="AO30" s="97">
        <v>1868969</v>
      </c>
      <c r="AP30" s="97">
        <v>1881503</v>
      </c>
      <c r="AQ30" s="98">
        <f t="shared" si="0"/>
        <v>1097543.4166666667</v>
      </c>
      <c r="AR30" s="99" t="e">
        <f t="shared" si="1"/>
        <v>#REF!</v>
      </c>
      <c r="AS30" s="99">
        <f t="shared" si="2"/>
        <v>0</v>
      </c>
      <c r="AT30" s="99" t="e">
        <f t="shared" si="3"/>
        <v>#REF!</v>
      </c>
      <c r="AU30" s="99" t="e">
        <f t="shared" si="4"/>
        <v>#REF!</v>
      </c>
      <c r="AV30" s="99" t="e">
        <f t="shared" si="5"/>
        <v>#REF!</v>
      </c>
      <c r="AW30" s="99" t="e">
        <f t="shared" si="6"/>
        <v>#REF!</v>
      </c>
      <c r="AX30" s="99">
        <f t="shared" si="7"/>
        <v>12172218.416666666</v>
      </c>
      <c r="AY30" s="99">
        <f t="shared" si="8"/>
        <v>0</v>
      </c>
      <c r="AZ30" s="99">
        <f t="shared" si="9"/>
        <v>12172218.416666666</v>
      </c>
      <c r="BA30" s="100" t="e">
        <f t="shared" ref="BA30:BC30" si="37">(AT30/$AZ30)*100000000</f>
        <v>#REF!</v>
      </c>
      <c r="BB30" s="100" t="e">
        <f t="shared" si="37"/>
        <v>#REF!</v>
      </c>
      <c r="BC30" s="100" t="e">
        <f t="shared" si="37"/>
        <v>#REF!</v>
      </c>
    </row>
    <row r="31" spans="1:55" ht="12">
      <c r="A31" s="91" t="s">
        <v>94</v>
      </c>
      <c r="B31" s="92" t="e">
        <f>SUMPRODUCT((Data!$C$2:$C55=$A31)*(Data!#REF!=B$2)*(Data!$A$2:$A55&lt;42217))</f>
        <v>#REF!</v>
      </c>
      <c r="C31" s="92" t="e">
        <f>SUMPRODUCT((Data!$C$2:$C55=$A31)*(Data!#REF!=C$2)*(Data!$A$2:$A55&lt;42217))</f>
        <v>#REF!</v>
      </c>
      <c r="D31" s="92" t="e">
        <f>SUMPRODUCT((Data!$C$2:$C55=$A31)*(Data!#REF!=D$2)*(Data!$A$2:$A55&lt;42217))</f>
        <v>#REF!</v>
      </c>
      <c r="E31" s="92" t="e">
        <f>SUMPRODUCT((Data!$C$2:$C55=$A31)*(Data!#REF!=E$2)*(Data!$A$2:$A55&lt;42217))</f>
        <v>#REF!</v>
      </c>
      <c r="F31" s="92" t="e">
        <f>SUMPRODUCT((Data!$C$2:$C55=$A31)*(Data!#REF!=F$2)*(Data!$A$2:$A55&lt;42217))</f>
        <v>#REF!</v>
      </c>
      <c r="G31" s="92" t="e">
        <f>SUMPRODUCT((Data!$C$2:$C55=$A31)*(Data!#REF!=G$2)*(Data!$A$2:$A55&lt;42217))</f>
        <v>#REF!</v>
      </c>
      <c r="H31" s="92" t="e">
        <f>SUMPRODUCT((Data!$C$2:$C55=$A31)*(Data!#REF!=H$2)*(Data!$A$2:$A55&lt;42217))</f>
        <v>#REF!</v>
      </c>
      <c r="I31" s="93" t="e">
        <f>SUMPRODUCT((Data!$C$2:$C55=$A31)*(Data!#REF!=I$2)*(Data!$AI$2:$AI55="Yes")*(Data!$A$2:$A55&lt;42217))</f>
        <v>#REF!</v>
      </c>
      <c r="J31" s="93" t="e">
        <f>SUMPRODUCT((Data!$C$2:$C55=$A31)*(Data!#REF!=J$2)*(Data!$AI$2:$AI55="Yes")*(Data!$A$2:$A55&lt;42217))</f>
        <v>#REF!</v>
      </c>
      <c r="K31" s="93" t="e">
        <f>SUMPRODUCT((Data!$C$2:$C55=$A31)*(Data!#REF!=K$2)*(Data!$AI$2:$AI55="Yes")*(Data!$A$2:$A55&lt;42217))</f>
        <v>#REF!</v>
      </c>
      <c r="L31" s="93" t="e">
        <f>SUMPRODUCT((Data!$C$2:$C55=$A31)*(Data!#REF!=L$2)*(Data!$AI$2:$AI55="Yes")*(Data!$A$2:$A55&lt;42217))</f>
        <v>#REF!</v>
      </c>
      <c r="M31" s="93" t="e">
        <f>SUMPRODUCT((Data!$C$2:$C55=$A31)*(Data!#REF!=M$2)*(Data!$AI$2:$AI55="Yes")*(Data!$A$2:$A55&lt;42217))</f>
        <v>#REF!</v>
      </c>
      <c r="N31" s="93" t="e">
        <f>SUMPRODUCT((Data!$C$2:$C55=$A31)*(Data!#REF!=N$2)*(Data!$AI$2:$AI55="Yes")*(Data!$A$2:$A55&lt;42217))</f>
        <v>#REF!</v>
      </c>
      <c r="O31" s="93" t="e">
        <f>SUMPRODUCT((Data!$C$2:$C55=$A31)*(Data!#REF!=O$2)*(Data!$AI$2:$AI55="Yes")*(Data!$A$2:$A55&lt;42217))</f>
        <v>#REF!</v>
      </c>
      <c r="P31" s="94" t="e">
        <f>SUMPRODUCT((Data!$C$2:$C55=$A31)*(Data!#REF!=P$2)*(Data!$AA$2:$AA55="Yes")*(Data!$A$2:$A55&lt;42217))</f>
        <v>#REF!</v>
      </c>
      <c r="Q31" s="94" t="e">
        <f>SUMPRODUCT((Data!$C$2:$C55=$A31)*(Data!#REF!=Q$2)*(Data!$AA$2:$AA55="Yes")*(Data!$A$2:$A55&lt;42217))</f>
        <v>#REF!</v>
      </c>
      <c r="R31" s="94" t="e">
        <f>SUMPRODUCT((Data!$C$2:$C55=$A31)*(Data!#REF!=R$2)*(Data!$AA$2:$AA55="Yes")*(Data!$A$2:$A55&lt;42217))</f>
        <v>#REF!</v>
      </c>
      <c r="S31" s="94" t="e">
        <f>SUMPRODUCT((Data!$C$2:$C55=$A31)*(Data!#REF!=S$2)*(Data!$AA$2:$AA55="Yes")*(Data!$A$2:$A55&lt;42217))</f>
        <v>#REF!</v>
      </c>
      <c r="T31" s="94" t="e">
        <f>SUMPRODUCT((Data!$C$2:$C55=$A31)*(Data!#REF!=T$2)*(Data!$AA$2:$AA55="Yes")*(Data!$A$2:$A55&lt;42217))</f>
        <v>#REF!</v>
      </c>
      <c r="U31" s="94" t="e">
        <f>SUMPRODUCT((Data!$C$2:$C55=$A31)*(Data!#REF!=U$2)*(Data!$AA$2:$AA55="Yes")*(Data!$A$2:$A55&lt;42217))</f>
        <v>#REF!</v>
      </c>
      <c r="V31" s="94" t="e">
        <f>SUMPRODUCT((Data!$C$2:$C55=$A31)*(Data!#REF!=V$2)*(Data!$AA$2:$AA55="Yes")*(Data!$A$2:$A55&lt;42217))</f>
        <v>#REF!</v>
      </c>
      <c r="W31" s="95" t="e">
        <f>SUMPRODUCT((Data!$C$2:$C55=$A31)*(Data!#REF!=W$2)*(Data!$AA$2:$AA55="No")*(Data!$A$2:$A55&lt;42217))</f>
        <v>#REF!</v>
      </c>
      <c r="X31" s="95" t="e">
        <f>SUMPRODUCT((Data!$C$2:$C55=$A31)*(Data!#REF!=X$2)*(Data!$AA$2:$AA55="No")*(Data!$A$2:$A55&lt;42217))</f>
        <v>#REF!</v>
      </c>
      <c r="Y31" s="95" t="e">
        <f>SUMPRODUCT((Data!$C$2:$C55=$A31)*(Data!#REF!=Y$2)*(Data!$AA$2:$AA55="No")*(Data!$A$2:$A55&lt;42217))</f>
        <v>#REF!</v>
      </c>
      <c r="Z31" s="95" t="e">
        <f>SUMPRODUCT((Data!$C$2:$C55=$A31)*(Data!#REF!=Z$2)*(Data!$AA$2:$AA55="No")*(Data!$A$2:$A55&lt;42217))</f>
        <v>#REF!</v>
      </c>
      <c r="AA31" s="95" t="e">
        <f>SUMPRODUCT((Data!$C$2:$C55=$A31)*(Data!#REF!=AA$2)*(Data!$AA$2:$AA55="No")*(Data!$A$2:$A55&lt;42217))</f>
        <v>#REF!</v>
      </c>
      <c r="AB31" s="95" t="e">
        <f>SUMPRODUCT((Data!$C$2:$C55=$A31)*(Data!#REF!=AB$2)*(Data!$AA$2:$AA55="No")*(Data!$A$2:$A55&lt;42217))</f>
        <v>#REF!</v>
      </c>
      <c r="AC31" s="95" t="e">
        <f>SUMPRODUCT((Data!$C$2:$C55=$A31)*(Data!#REF!=AC$2)*(Data!$AA$2:$AA55="No")*(Data!$A$2:$A55&lt;42217))</f>
        <v>#REF!</v>
      </c>
      <c r="AD31" s="96" t="s">
        <v>17</v>
      </c>
      <c r="AE31" s="96" t="s">
        <v>17</v>
      </c>
      <c r="AF31" s="96" t="s">
        <v>17</v>
      </c>
      <c r="AG31" s="96" t="s">
        <v>17</v>
      </c>
      <c r="AH31" s="96" t="s">
        <v>17</v>
      </c>
      <c r="AI31" s="96" t="s">
        <v>17</v>
      </c>
      <c r="AJ31" s="96" t="s">
        <v>17</v>
      </c>
      <c r="AK31" s="97">
        <v>2643085</v>
      </c>
      <c r="AL31" s="97">
        <v>2703493</v>
      </c>
      <c r="AM31" s="97">
        <v>2718586</v>
      </c>
      <c r="AN31" s="97">
        <v>2755245</v>
      </c>
      <c r="AO31" s="97">
        <v>2791494</v>
      </c>
      <c r="AP31" s="97">
        <v>2839099</v>
      </c>
      <c r="AQ31" s="98">
        <f t="shared" si="0"/>
        <v>1656141.0833333333</v>
      </c>
      <c r="AR31" s="99">
        <f t="shared" si="1"/>
        <v>0</v>
      </c>
      <c r="AS31" s="99" t="e">
        <f t="shared" si="2"/>
        <v>#REF!</v>
      </c>
      <c r="AT31" s="99" t="e">
        <f t="shared" si="3"/>
        <v>#REF!</v>
      </c>
      <c r="AU31" s="99" t="e">
        <f t="shared" si="4"/>
        <v>#REF!</v>
      </c>
      <c r="AV31" s="99" t="e">
        <f t="shared" si="5"/>
        <v>#REF!</v>
      </c>
      <c r="AW31" s="99" t="e">
        <f t="shared" si="6"/>
        <v>#REF!</v>
      </c>
      <c r="AX31" s="99">
        <f t="shared" si="7"/>
        <v>0</v>
      </c>
      <c r="AY31" s="99">
        <f t="shared" si="8"/>
        <v>18107143.083333332</v>
      </c>
      <c r="AZ31" s="99">
        <f t="shared" si="9"/>
        <v>18107143.083333332</v>
      </c>
      <c r="BA31" s="100" t="e">
        <f t="shared" ref="BA31:BC31" si="38">(AT31/$AZ31)*100000000</f>
        <v>#REF!</v>
      </c>
      <c r="BB31" s="100" t="e">
        <f t="shared" si="38"/>
        <v>#REF!</v>
      </c>
      <c r="BC31" s="100" t="e">
        <f t="shared" si="38"/>
        <v>#REF!</v>
      </c>
    </row>
    <row r="32" spans="1:55" ht="12">
      <c r="A32" s="91" t="s">
        <v>162</v>
      </c>
      <c r="B32" s="92" t="e">
        <f>SUMPRODUCT((Data!$C$2:$C55=$A32)*(Data!#REF!=B$2)*(Data!$A$2:$A55&lt;42217))</f>
        <v>#REF!</v>
      </c>
      <c r="C32" s="92" t="e">
        <f>SUMPRODUCT((Data!$C$2:$C55=$A32)*(Data!#REF!=C$2)*(Data!$A$2:$A55&lt;42217))</f>
        <v>#REF!</v>
      </c>
      <c r="D32" s="92" t="e">
        <f>SUMPRODUCT((Data!$C$2:$C55=$A32)*(Data!#REF!=D$2)*(Data!$A$2:$A55&lt;42217))</f>
        <v>#REF!</v>
      </c>
      <c r="E32" s="92" t="e">
        <f>SUMPRODUCT((Data!$C$2:$C55=$A32)*(Data!#REF!=E$2)*(Data!$A$2:$A55&lt;42217))</f>
        <v>#REF!</v>
      </c>
      <c r="F32" s="92" t="e">
        <f>SUMPRODUCT((Data!$C$2:$C55=$A32)*(Data!#REF!=F$2)*(Data!$A$2:$A55&lt;42217))</f>
        <v>#REF!</v>
      </c>
      <c r="G32" s="92" t="e">
        <f>SUMPRODUCT((Data!$C$2:$C55=$A32)*(Data!#REF!=G$2)*(Data!$A$2:$A55&lt;42217))</f>
        <v>#REF!</v>
      </c>
      <c r="H32" s="92" t="e">
        <f>SUMPRODUCT((Data!$C$2:$C55=$A32)*(Data!#REF!=H$2)*(Data!$A$2:$A55&lt;42217))</f>
        <v>#REF!</v>
      </c>
      <c r="I32" s="93" t="e">
        <f>SUMPRODUCT((Data!$C$2:$C55=$A32)*(Data!#REF!=I$2)*(Data!$AI$2:$AI55="Yes")*(Data!$A$2:$A55&lt;42217))</f>
        <v>#REF!</v>
      </c>
      <c r="J32" s="93" t="e">
        <f>SUMPRODUCT((Data!$C$2:$C55=$A32)*(Data!#REF!=J$2)*(Data!$AI$2:$AI55="Yes")*(Data!$A$2:$A55&lt;42217))</f>
        <v>#REF!</v>
      </c>
      <c r="K32" s="93" t="e">
        <f>SUMPRODUCT((Data!$C$2:$C55=$A32)*(Data!#REF!=K$2)*(Data!$AI$2:$AI55="Yes")*(Data!$A$2:$A55&lt;42217))</f>
        <v>#REF!</v>
      </c>
      <c r="L32" s="93" t="e">
        <f>SUMPRODUCT((Data!$C$2:$C55=$A32)*(Data!#REF!=L$2)*(Data!$AI$2:$AI55="Yes")*(Data!$A$2:$A55&lt;42217))</f>
        <v>#REF!</v>
      </c>
      <c r="M32" s="93" t="e">
        <f>SUMPRODUCT((Data!$C$2:$C55=$A32)*(Data!#REF!=M$2)*(Data!$AI$2:$AI55="Yes")*(Data!$A$2:$A55&lt;42217))</f>
        <v>#REF!</v>
      </c>
      <c r="N32" s="93" t="e">
        <f>SUMPRODUCT((Data!$C$2:$C55=$A32)*(Data!#REF!=N$2)*(Data!$AI$2:$AI55="Yes")*(Data!$A$2:$A55&lt;42217))</f>
        <v>#REF!</v>
      </c>
      <c r="O32" s="93" t="e">
        <f>SUMPRODUCT((Data!$C$2:$C55=$A32)*(Data!#REF!=O$2)*(Data!$AI$2:$AI55="Yes")*(Data!$A$2:$A55&lt;42217))</f>
        <v>#REF!</v>
      </c>
      <c r="P32" s="94" t="e">
        <f>SUMPRODUCT((Data!$C$2:$C55=$A32)*(Data!#REF!=P$2)*(Data!$AA$2:$AA55="Yes")*(Data!$A$2:$A55&lt;42217))</f>
        <v>#REF!</v>
      </c>
      <c r="Q32" s="94" t="e">
        <f>SUMPRODUCT((Data!$C$2:$C55=$A32)*(Data!#REF!=Q$2)*(Data!$AA$2:$AA55="Yes")*(Data!$A$2:$A55&lt;42217))</f>
        <v>#REF!</v>
      </c>
      <c r="R32" s="94" t="e">
        <f>SUMPRODUCT((Data!$C$2:$C55=$A32)*(Data!#REF!=R$2)*(Data!$AA$2:$AA55="Yes")*(Data!$A$2:$A55&lt;42217))</f>
        <v>#REF!</v>
      </c>
      <c r="S32" s="94" t="e">
        <f>SUMPRODUCT((Data!$C$2:$C55=$A32)*(Data!#REF!=S$2)*(Data!$AA$2:$AA55="Yes")*(Data!$A$2:$A55&lt;42217))</f>
        <v>#REF!</v>
      </c>
      <c r="T32" s="94" t="e">
        <f>SUMPRODUCT((Data!$C$2:$C55=$A32)*(Data!#REF!=T$2)*(Data!$AA$2:$AA55="Yes")*(Data!$A$2:$A55&lt;42217))</f>
        <v>#REF!</v>
      </c>
      <c r="U32" s="94" t="e">
        <f>SUMPRODUCT((Data!$C$2:$C55=$A32)*(Data!#REF!=U$2)*(Data!$AA$2:$AA55="Yes")*(Data!$A$2:$A55&lt;42217))</f>
        <v>#REF!</v>
      </c>
      <c r="V32" s="94" t="e">
        <f>SUMPRODUCT((Data!$C$2:$C55=$A32)*(Data!#REF!=V$2)*(Data!$AA$2:$AA55="Yes")*(Data!$A$2:$A55&lt;42217))</f>
        <v>#REF!</v>
      </c>
      <c r="W32" s="95" t="e">
        <f>SUMPRODUCT((Data!$C$2:$C55=$A32)*(Data!#REF!=W$2)*(Data!$AA$2:$AA55="No")*(Data!$A$2:$A55&lt;42217))</f>
        <v>#REF!</v>
      </c>
      <c r="X32" s="95" t="e">
        <f>SUMPRODUCT((Data!$C$2:$C55=$A32)*(Data!#REF!=X$2)*(Data!$AA$2:$AA55="No")*(Data!$A$2:$A55&lt;42217))</f>
        <v>#REF!</v>
      </c>
      <c r="Y32" s="95" t="e">
        <f>SUMPRODUCT((Data!$C$2:$C55=$A32)*(Data!#REF!=Y$2)*(Data!$AA$2:$AA55="No")*(Data!$A$2:$A55&lt;42217))</f>
        <v>#REF!</v>
      </c>
      <c r="Z32" s="95" t="e">
        <f>SUMPRODUCT((Data!$C$2:$C55=$A32)*(Data!#REF!=Z$2)*(Data!$AA$2:$AA55="No")*(Data!$A$2:$A55&lt;42217))</f>
        <v>#REF!</v>
      </c>
      <c r="AA32" s="95" t="e">
        <f>SUMPRODUCT((Data!$C$2:$C55=$A32)*(Data!#REF!=AA$2)*(Data!$AA$2:$AA55="No")*(Data!$A$2:$A55&lt;42217))</f>
        <v>#REF!</v>
      </c>
      <c r="AB32" s="95" t="e">
        <f>SUMPRODUCT((Data!$C$2:$C55=$A32)*(Data!#REF!=AB$2)*(Data!$AA$2:$AA55="No")*(Data!$A$2:$A55&lt;42217))</f>
        <v>#REF!</v>
      </c>
      <c r="AC32" s="95" t="e">
        <f>SUMPRODUCT((Data!$C$2:$C55=$A32)*(Data!#REF!=AC$2)*(Data!$AA$2:$AA55="No")*(Data!$A$2:$A55&lt;42217))</f>
        <v>#REF!</v>
      </c>
      <c r="AD32" s="96" t="s">
        <v>17</v>
      </c>
      <c r="AE32" s="96" t="s">
        <v>17</v>
      </c>
      <c r="AF32" s="96" t="s">
        <v>17</v>
      </c>
      <c r="AG32" s="96" t="s">
        <v>17</v>
      </c>
      <c r="AH32" s="96" t="s">
        <v>17</v>
      </c>
      <c r="AI32" s="96" t="s">
        <v>17</v>
      </c>
      <c r="AJ32" s="96" t="s">
        <v>17</v>
      </c>
      <c r="AK32" s="97">
        <v>1324575</v>
      </c>
      <c r="AL32" s="97">
        <v>1316517</v>
      </c>
      <c r="AM32" s="97">
        <v>1318109</v>
      </c>
      <c r="AN32" s="97">
        <v>1321297</v>
      </c>
      <c r="AO32" s="97">
        <v>1322616</v>
      </c>
      <c r="AP32" s="97">
        <v>1326813</v>
      </c>
      <c r="AQ32" s="98">
        <f t="shared" si="0"/>
        <v>773974.25</v>
      </c>
      <c r="AR32" s="99">
        <f t="shared" si="1"/>
        <v>0</v>
      </c>
      <c r="AS32" s="99" t="e">
        <f t="shared" si="2"/>
        <v>#REF!</v>
      </c>
      <c r="AT32" s="99" t="e">
        <f t="shared" si="3"/>
        <v>#REF!</v>
      </c>
      <c r="AU32" s="99" t="e">
        <f t="shared" si="4"/>
        <v>#REF!</v>
      </c>
      <c r="AV32" s="99" t="e">
        <f t="shared" si="5"/>
        <v>#REF!</v>
      </c>
      <c r="AW32" s="99" t="e">
        <f t="shared" si="6"/>
        <v>#REF!</v>
      </c>
      <c r="AX32" s="99">
        <f t="shared" si="7"/>
        <v>0</v>
      </c>
      <c r="AY32" s="99">
        <f t="shared" si="8"/>
        <v>8703901.25</v>
      </c>
      <c r="AZ32" s="99">
        <f t="shared" si="9"/>
        <v>8703901.25</v>
      </c>
      <c r="BA32" s="100" t="e">
        <f t="shared" ref="BA32:BC32" si="39">(AT32/$AZ32)*100000000</f>
        <v>#REF!</v>
      </c>
      <c r="BB32" s="100" t="e">
        <f t="shared" si="39"/>
        <v>#REF!</v>
      </c>
      <c r="BC32" s="100" t="e">
        <f t="shared" si="39"/>
        <v>#REF!</v>
      </c>
    </row>
    <row r="33" spans="1:55" ht="12">
      <c r="A33" s="91" t="s">
        <v>35</v>
      </c>
      <c r="B33" s="92" t="e">
        <f>SUMPRODUCT((Data!$C$2:$C55=$A33)*(Data!#REF!=B$2)*(Data!$A$2:$A55&lt;42217))</f>
        <v>#REF!</v>
      </c>
      <c r="C33" s="92" t="e">
        <f>SUMPRODUCT((Data!$C$2:$C55=$A33)*(Data!#REF!=C$2)*(Data!$A$2:$A55&lt;42217))</f>
        <v>#REF!</v>
      </c>
      <c r="D33" s="92" t="e">
        <f>SUMPRODUCT((Data!$C$2:$C55=$A33)*(Data!#REF!=D$2)*(Data!$A$2:$A55&lt;42217))</f>
        <v>#REF!</v>
      </c>
      <c r="E33" s="92" t="e">
        <f>SUMPRODUCT((Data!$C$2:$C55=$A33)*(Data!#REF!=E$2)*(Data!$A$2:$A55&lt;42217))</f>
        <v>#REF!</v>
      </c>
      <c r="F33" s="92" t="e">
        <f>SUMPRODUCT((Data!$C$2:$C55=$A33)*(Data!#REF!=F$2)*(Data!$A$2:$A55&lt;42217))</f>
        <v>#REF!</v>
      </c>
      <c r="G33" s="92" t="e">
        <f>SUMPRODUCT((Data!$C$2:$C55=$A33)*(Data!#REF!=G$2)*(Data!$A$2:$A55&lt;42217))</f>
        <v>#REF!</v>
      </c>
      <c r="H33" s="92" t="e">
        <f>SUMPRODUCT((Data!$C$2:$C55=$A33)*(Data!#REF!=H$2)*(Data!$A$2:$A55&lt;42217))</f>
        <v>#REF!</v>
      </c>
      <c r="I33" s="93" t="e">
        <f>SUMPRODUCT((Data!$C$2:$C55=$A33)*(Data!#REF!=I$2)*(Data!$AI$2:$AI55="Yes")*(Data!$A$2:$A55&lt;42217))</f>
        <v>#REF!</v>
      </c>
      <c r="J33" s="93" t="e">
        <f>SUMPRODUCT((Data!$C$2:$C55=$A33)*(Data!#REF!=J$2)*(Data!$AI$2:$AI55="Yes")*(Data!$A$2:$A55&lt;42217))</f>
        <v>#REF!</v>
      </c>
      <c r="K33" s="93" t="e">
        <f>SUMPRODUCT((Data!$C$2:$C55=$A33)*(Data!#REF!=K$2)*(Data!$AI$2:$AI55="Yes")*(Data!$A$2:$A55&lt;42217))</f>
        <v>#REF!</v>
      </c>
      <c r="L33" s="93" t="e">
        <f>SUMPRODUCT((Data!$C$2:$C55=$A33)*(Data!#REF!=L$2)*(Data!$AI$2:$AI55="Yes")*(Data!$A$2:$A55&lt;42217))</f>
        <v>#REF!</v>
      </c>
      <c r="M33" s="93" t="e">
        <f>SUMPRODUCT((Data!$C$2:$C55=$A33)*(Data!#REF!=M$2)*(Data!$AI$2:$AI55="Yes")*(Data!$A$2:$A55&lt;42217))</f>
        <v>#REF!</v>
      </c>
      <c r="N33" s="93" t="e">
        <f>SUMPRODUCT((Data!$C$2:$C55=$A33)*(Data!#REF!=N$2)*(Data!$AI$2:$AI55="Yes")*(Data!$A$2:$A55&lt;42217))</f>
        <v>#REF!</v>
      </c>
      <c r="O33" s="93" t="e">
        <f>SUMPRODUCT((Data!$C$2:$C55=$A33)*(Data!#REF!=O$2)*(Data!$AI$2:$AI55="Yes")*(Data!$A$2:$A55&lt;42217))</f>
        <v>#REF!</v>
      </c>
      <c r="P33" s="94" t="e">
        <f>SUMPRODUCT((Data!$C$2:$C55=$A33)*(Data!#REF!=P$2)*(Data!$AA$2:$AA55="Yes")*(Data!$A$2:$A55&lt;42217))</f>
        <v>#REF!</v>
      </c>
      <c r="Q33" s="94" t="e">
        <f>SUMPRODUCT((Data!$C$2:$C55=$A33)*(Data!#REF!=Q$2)*(Data!$AA$2:$AA55="Yes")*(Data!$A$2:$A55&lt;42217))</f>
        <v>#REF!</v>
      </c>
      <c r="R33" s="94" t="e">
        <f>SUMPRODUCT((Data!$C$2:$C55=$A33)*(Data!#REF!=R$2)*(Data!$AA$2:$AA55="Yes")*(Data!$A$2:$A55&lt;42217))</f>
        <v>#REF!</v>
      </c>
      <c r="S33" s="94" t="e">
        <f>SUMPRODUCT((Data!$C$2:$C55=$A33)*(Data!#REF!=S$2)*(Data!$AA$2:$AA55="Yes")*(Data!$A$2:$A55&lt;42217))</f>
        <v>#REF!</v>
      </c>
      <c r="T33" s="94" t="e">
        <f>SUMPRODUCT((Data!$C$2:$C55=$A33)*(Data!#REF!=T$2)*(Data!$AA$2:$AA55="Yes")*(Data!$A$2:$A55&lt;42217))</f>
        <v>#REF!</v>
      </c>
      <c r="U33" s="94" t="e">
        <f>SUMPRODUCT((Data!$C$2:$C55=$A33)*(Data!#REF!=U$2)*(Data!$AA$2:$AA55="Yes")*(Data!$A$2:$A55&lt;42217))</f>
        <v>#REF!</v>
      </c>
      <c r="V33" s="94" t="e">
        <f>SUMPRODUCT((Data!$C$2:$C55=$A33)*(Data!#REF!=V$2)*(Data!$AA$2:$AA55="Yes")*(Data!$A$2:$A55&lt;42217))</f>
        <v>#REF!</v>
      </c>
      <c r="W33" s="95" t="e">
        <f>SUMPRODUCT((Data!$C$2:$C55=$A33)*(Data!#REF!=W$2)*(Data!$AA$2:$AA55="No")*(Data!$A$2:$A55&lt;42217))</f>
        <v>#REF!</v>
      </c>
      <c r="X33" s="95" t="e">
        <f>SUMPRODUCT((Data!$C$2:$C55=$A33)*(Data!#REF!=X$2)*(Data!$AA$2:$AA55="No")*(Data!$A$2:$A55&lt;42217))</f>
        <v>#REF!</v>
      </c>
      <c r="Y33" s="95" t="e">
        <f>SUMPRODUCT((Data!$C$2:$C55=$A33)*(Data!#REF!=Y$2)*(Data!$AA$2:$AA55="No")*(Data!$A$2:$A55&lt;42217))</f>
        <v>#REF!</v>
      </c>
      <c r="Z33" s="95" t="e">
        <f>SUMPRODUCT((Data!$C$2:$C55=$A33)*(Data!#REF!=Z$2)*(Data!$AA$2:$AA55="No")*(Data!$A$2:$A55&lt;42217))</f>
        <v>#REF!</v>
      </c>
      <c r="AA33" s="95" t="e">
        <f>SUMPRODUCT((Data!$C$2:$C55=$A33)*(Data!#REF!=AA$2)*(Data!$AA$2:$AA55="No")*(Data!$A$2:$A55&lt;42217))</f>
        <v>#REF!</v>
      </c>
      <c r="AB33" s="95" t="e">
        <f>SUMPRODUCT((Data!$C$2:$C55=$A33)*(Data!#REF!=AB$2)*(Data!$AA$2:$AA55="No")*(Data!$A$2:$A55&lt;42217))</f>
        <v>#REF!</v>
      </c>
      <c r="AC33" s="95" t="e">
        <f>SUMPRODUCT((Data!$C$2:$C55=$A33)*(Data!#REF!=AC$2)*(Data!$AA$2:$AA55="No")*(Data!$A$2:$A55&lt;42217))</f>
        <v>#REF!</v>
      </c>
      <c r="AD33" s="96" t="s">
        <v>28</v>
      </c>
      <c r="AE33" s="96" t="s">
        <v>28</v>
      </c>
      <c r="AF33" s="96" t="s">
        <v>28</v>
      </c>
      <c r="AG33" s="96" t="s">
        <v>28</v>
      </c>
      <c r="AH33" s="96" t="s">
        <v>28</v>
      </c>
      <c r="AI33" s="96" t="s">
        <v>28</v>
      </c>
      <c r="AJ33" s="96" t="s">
        <v>28</v>
      </c>
      <c r="AK33" s="97">
        <v>8707739</v>
      </c>
      <c r="AL33" s="97">
        <v>8803580</v>
      </c>
      <c r="AM33" s="97">
        <v>8842614</v>
      </c>
      <c r="AN33" s="97">
        <v>8876000</v>
      </c>
      <c r="AO33" s="97">
        <v>8911502</v>
      </c>
      <c r="AP33" s="97">
        <v>8938175</v>
      </c>
      <c r="AQ33" s="98">
        <f t="shared" si="0"/>
        <v>5213935.416666667</v>
      </c>
      <c r="AR33" s="99" t="e">
        <f t="shared" si="1"/>
        <v>#REF!</v>
      </c>
      <c r="AS33" s="99">
        <f t="shared" si="2"/>
        <v>0</v>
      </c>
      <c r="AT33" s="99" t="e">
        <f t="shared" si="3"/>
        <v>#REF!</v>
      </c>
      <c r="AU33" s="99" t="e">
        <f t="shared" si="4"/>
        <v>#REF!</v>
      </c>
      <c r="AV33" s="99" t="e">
        <f t="shared" si="5"/>
        <v>#REF!</v>
      </c>
      <c r="AW33" s="99" t="e">
        <f t="shared" si="6"/>
        <v>#REF!</v>
      </c>
      <c r="AX33" s="99">
        <f t="shared" si="7"/>
        <v>58293545.416666664</v>
      </c>
      <c r="AY33" s="99">
        <f t="shared" si="8"/>
        <v>0</v>
      </c>
      <c r="AZ33" s="99">
        <f t="shared" si="9"/>
        <v>58293545.416666664</v>
      </c>
      <c r="BA33" s="100" t="e">
        <f t="shared" ref="BA33:BC33" si="40">(AT33/$AZ33)*100000000</f>
        <v>#REF!</v>
      </c>
      <c r="BB33" s="100" t="e">
        <f t="shared" si="40"/>
        <v>#REF!</v>
      </c>
      <c r="BC33" s="100" t="e">
        <f t="shared" si="40"/>
        <v>#REF!</v>
      </c>
    </row>
    <row r="34" spans="1:55" ht="12">
      <c r="A34" s="91" t="s">
        <v>155</v>
      </c>
      <c r="B34" s="92" t="e">
        <f>SUMPRODUCT((Data!$C$2:$C55=$A34)*(Data!#REF!=B$2)*(Data!$A$2:$A55&lt;42217))</f>
        <v>#REF!</v>
      </c>
      <c r="C34" s="92" t="e">
        <f>SUMPRODUCT((Data!$C$2:$C55=$A34)*(Data!#REF!=C$2)*(Data!$A$2:$A55&lt;42217))</f>
        <v>#REF!</v>
      </c>
      <c r="D34" s="92" t="e">
        <f>SUMPRODUCT((Data!$C$2:$C55=$A34)*(Data!#REF!=D$2)*(Data!$A$2:$A55&lt;42217))</f>
        <v>#REF!</v>
      </c>
      <c r="E34" s="92" t="e">
        <f>SUMPRODUCT((Data!$C$2:$C55=$A34)*(Data!#REF!=E$2)*(Data!$A$2:$A55&lt;42217))</f>
        <v>#REF!</v>
      </c>
      <c r="F34" s="92" t="e">
        <f>SUMPRODUCT((Data!$C$2:$C55=$A34)*(Data!#REF!=F$2)*(Data!$A$2:$A55&lt;42217))</f>
        <v>#REF!</v>
      </c>
      <c r="G34" s="92" t="e">
        <f>SUMPRODUCT((Data!$C$2:$C55=$A34)*(Data!#REF!=G$2)*(Data!$A$2:$A55&lt;42217))</f>
        <v>#REF!</v>
      </c>
      <c r="H34" s="92" t="e">
        <f>SUMPRODUCT((Data!$C$2:$C55=$A34)*(Data!#REF!=H$2)*(Data!$A$2:$A55&lt;42217))</f>
        <v>#REF!</v>
      </c>
      <c r="I34" s="93" t="e">
        <f>SUMPRODUCT((Data!$C$2:$C55=$A34)*(Data!#REF!=I$2)*(Data!$AI$2:$AI55="Yes")*(Data!$A$2:$A55&lt;42217))</f>
        <v>#REF!</v>
      </c>
      <c r="J34" s="93" t="e">
        <f>SUMPRODUCT((Data!$C$2:$C55=$A34)*(Data!#REF!=J$2)*(Data!$AI$2:$AI55="Yes")*(Data!$A$2:$A55&lt;42217))</f>
        <v>#REF!</v>
      </c>
      <c r="K34" s="93" t="e">
        <f>SUMPRODUCT((Data!$C$2:$C55=$A34)*(Data!#REF!=K$2)*(Data!$AI$2:$AI55="Yes")*(Data!$A$2:$A55&lt;42217))</f>
        <v>#REF!</v>
      </c>
      <c r="L34" s="93" t="e">
        <f>SUMPRODUCT((Data!$C$2:$C55=$A34)*(Data!#REF!=L$2)*(Data!$AI$2:$AI55="Yes")*(Data!$A$2:$A55&lt;42217))</f>
        <v>#REF!</v>
      </c>
      <c r="M34" s="93" t="e">
        <f>SUMPRODUCT((Data!$C$2:$C55=$A34)*(Data!#REF!=M$2)*(Data!$AI$2:$AI55="Yes")*(Data!$A$2:$A55&lt;42217))</f>
        <v>#REF!</v>
      </c>
      <c r="N34" s="93" t="e">
        <f>SUMPRODUCT((Data!$C$2:$C55=$A34)*(Data!#REF!=N$2)*(Data!$AI$2:$AI55="Yes")*(Data!$A$2:$A55&lt;42217))</f>
        <v>#REF!</v>
      </c>
      <c r="O34" s="93" t="e">
        <f>SUMPRODUCT((Data!$C$2:$C55=$A34)*(Data!#REF!=O$2)*(Data!$AI$2:$AI55="Yes")*(Data!$A$2:$A55&lt;42217))</f>
        <v>#REF!</v>
      </c>
      <c r="P34" s="94" t="e">
        <f>SUMPRODUCT((Data!$C$2:$C55=$A34)*(Data!#REF!=P$2)*(Data!$AA$2:$AA55="Yes")*(Data!$A$2:$A55&lt;42217))</f>
        <v>#REF!</v>
      </c>
      <c r="Q34" s="94" t="e">
        <f>SUMPRODUCT((Data!$C$2:$C55=$A34)*(Data!#REF!=Q$2)*(Data!$AA$2:$AA55="Yes")*(Data!$A$2:$A55&lt;42217))</f>
        <v>#REF!</v>
      </c>
      <c r="R34" s="94" t="e">
        <f>SUMPRODUCT((Data!$C$2:$C55=$A34)*(Data!#REF!=R$2)*(Data!$AA$2:$AA55="Yes")*(Data!$A$2:$A55&lt;42217))</f>
        <v>#REF!</v>
      </c>
      <c r="S34" s="94" t="e">
        <f>SUMPRODUCT((Data!$C$2:$C55=$A34)*(Data!#REF!=S$2)*(Data!$AA$2:$AA55="Yes")*(Data!$A$2:$A55&lt;42217))</f>
        <v>#REF!</v>
      </c>
      <c r="T34" s="94" t="e">
        <f>SUMPRODUCT((Data!$C$2:$C55=$A34)*(Data!#REF!=T$2)*(Data!$AA$2:$AA55="Yes")*(Data!$A$2:$A55&lt;42217))</f>
        <v>#REF!</v>
      </c>
      <c r="U34" s="94" t="e">
        <f>SUMPRODUCT((Data!$C$2:$C55=$A34)*(Data!#REF!=U$2)*(Data!$AA$2:$AA55="Yes")*(Data!$A$2:$A55&lt;42217))</f>
        <v>#REF!</v>
      </c>
      <c r="V34" s="94" t="e">
        <f>SUMPRODUCT((Data!$C$2:$C55=$A34)*(Data!#REF!=V$2)*(Data!$AA$2:$AA55="Yes")*(Data!$A$2:$A55&lt;42217))</f>
        <v>#REF!</v>
      </c>
      <c r="W34" s="95" t="e">
        <f>SUMPRODUCT((Data!$C$2:$C55=$A34)*(Data!#REF!=W$2)*(Data!$AA$2:$AA55="No")*(Data!$A$2:$A55&lt;42217))</f>
        <v>#REF!</v>
      </c>
      <c r="X34" s="95" t="e">
        <f>SUMPRODUCT((Data!$C$2:$C55=$A34)*(Data!#REF!=X$2)*(Data!$AA$2:$AA55="No")*(Data!$A$2:$A55&lt;42217))</f>
        <v>#REF!</v>
      </c>
      <c r="Y34" s="95" t="e">
        <f>SUMPRODUCT((Data!$C$2:$C55=$A34)*(Data!#REF!=Y$2)*(Data!$AA$2:$AA55="No")*(Data!$A$2:$A55&lt;42217))</f>
        <v>#REF!</v>
      </c>
      <c r="Z34" s="95" t="e">
        <f>SUMPRODUCT((Data!$C$2:$C55=$A34)*(Data!#REF!=Z$2)*(Data!$AA$2:$AA55="No")*(Data!$A$2:$A55&lt;42217))</f>
        <v>#REF!</v>
      </c>
      <c r="AA34" s="95" t="e">
        <f>SUMPRODUCT((Data!$C$2:$C55=$A34)*(Data!#REF!=AA$2)*(Data!$AA$2:$AA55="No")*(Data!$A$2:$A55&lt;42217))</f>
        <v>#REF!</v>
      </c>
      <c r="AB34" s="95" t="e">
        <f>SUMPRODUCT((Data!$C$2:$C55=$A34)*(Data!#REF!=AB$2)*(Data!$AA$2:$AA55="No")*(Data!$A$2:$A55&lt;42217))</f>
        <v>#REF!</v>
      </c>
      <c r="AC34" s="95" t="e">
        <f>SUMPRODUCT((Data!$C$2:$C55=$A34)*(Data!#REF!=AC$2)*(Data!$AA$2:$AA55="No")*(Data!$A$2:$A55&lt;42217))</f>
        <v>#REF!</v>
      </c>
      <c r="AD34" s="96" t="s">
        <v>17</v>
      </c>
      <c r="AE34" s="96" t="s">
        <v>17</v>
      </c>
      <c r="AF34" s="96" t="s">
        <v>17</v>
      </c>
      <c r="AG34" s="96" t="s">
        <v>17</v>
      </c>
      <c r="AH34" s="96" t="s">
        <v>17</v>
      </c>
      <c r="AI34" s="96" t="s">
        <v>17</v>
      </c>
      <c r="AJ34" s="96" t="s">
        <v>17</v>
      </c>
      <c r="AK34" s="97">
        <v>2009671</v>
      </c>
      <c r="AL34" s="97">
        <v>2064950</v>
      </c>
      <c r="AM34" s="97">
        <v>2078407</v>
      </c>
      <c r="AN34" s="97">
        <v>2084594</v>
      </c>
      <c r="AO34" s="97">
        <v>2086895</v>
      </c>
      <c r="AP34" s="97">
        <v>2085572</v>
      </c>
      <c r="AQ34" s="98">
        <f t="shared" si="0"/>
        <v>1216583.6666666667</v>
      </c>
      <c r="AR34" s="99">
        <f t="shared" si="1"/>
        <v>0</v>
      </c>
      <c r="AS34" s="99" t="e">
        <f t="shared" si="2"/>
        <v>#REF!</v>
      </c>
      <c r="AT34" s="99" t="e">
        <f t="shared" si="3"/>
        <v>#REF!</v>
      </c>
      <c r="AU34" s="99" t="e">
        <f t="shared" si="4"/>
        <v>#REF!</v>
      </c>
      <c r="AV34" s="99" t="e">
        <f t="shared" si="5"/>
        <v>#REF!</v>
      </c>
      <c r="AW34" s="99" t="e">
        <f t="shared" si="6"/>
        <v>#REF!</v>
      </c>
      <c r="AX34" s="99">
        <f t="shared" si="7"/>
        <v>0</v>
      </c>
      <c r="AY34" s="99">
        <f t="shared" si="8"/>
        <v>13626672.666666666</v>
      </c>
      <c r="AZ34" s="99">
        <f t="shared" si="9"/>
        <v>13626672.666666666</v>
      </c>
      <c r="BA34" s="100" t="e">
        <f t="shared" ref="BA34:BC34" si="41">(AT34/$AZ34)*100000000</f>
        <v>#REF!</v>
      </c>
      <c r="BB34" s="100" t="e">
        <f t="shared" si="41"/>
        <v>#REF!</v>
      </c>
      <c r="BC34" s="100" t="e">
        <f t="shared" si="41"/>
        <v>#REF!</v>
      </c>
    </row>
    <row r="35" spans="1:55" ht="12">
      <c r="A35" s="91" t="s">
        <v>67</v>
      </c>
      <c r="B35" s="92" t="e">
        <f>SUMPRODUCT((Data!$C$2:$C55=$A35)*(Data!#REF!=B$2)*(Data!$A$2:$A55&lt;42217))</f>
        <v>#REF!</v>
      </c>
      <c r="C35" s="92" t="e">
        <f>SUMPRODUCT((Data!$C$2:$C55=$A35)*(Data!#REF!=C$2)*(Data!$A$2:$A55&lt;42217))</f>
        <v>#REF!</v>
      </c>
      <c r="D35" s="92" t="e">
        <f>SUMPRODUCT((Data!$C$2:$C55=$A35)*(Data!#REF!=D$2)*(Data!$A$2:$A55&lt;42217))</f>
        <v>#REF!</v>
      </c>
      <c r="E35" s="92" t="e">
        <f>SUMPRODUCT((Data!$C$2:$C55=$A35)*(Data!#REF!=E$2)*(Data!$A$2:$A55&lt;42217))</f>
        <v>#REF!</v>
      </c>
      <c r="F35" s="92" t="e">
        <f>SUMPRODUCT((Data!$C$2:$C55=$A35)*(Data!#REF!=F$2)*(Data!$A$2:$A55&lt;42217))</f>
        <v>#REF!</v>
      </c>
      <c r="G35" s="92" t="e">
        <f>SUMPRODUCT((Data!$C$2:$C55=$A35)*(Data!#REF!=G$2)*(Data!$A$2:$A55&lt;42217))</f>
        <v>#REF!</v>
      </c>
      <c r="H35" s="92" t="e">
        <f>SUMPRODUCT((Data!$C$2:$C55=$A35)*(Data!#REF!=H$2)*(Data!$A$2:$A55&lt;42217))</f>
        <v>#REF!</v>
      </c>
      <c r="I35" s="93" t="e">
        <f>SUMPRODUCT((Data!$C$2:$C55=$A35)*(Data!#REF!=I$2)*(Data!$AI$2:$AI55="Yes")*(Data!$A$2:$A55&lt;42217))</f>
        <v>#REF!</v>
      </c>
      <c r="J35" s="93" t="e">
        <f>SUMPRODUCT((Data!$C$2:$C55=$A35)*(Data!#REF!=J$2)*(Data!$AI$2:$AI55="Yes")*(Data!$A$2:$A55&lt;42217))</f>
        <v>#REF!</v>
      </c>
      <c r="K35" s="93" t="e">
        <f>SUMPRODUCT((Data!$C$2:$C55=$A35)*(Data!#REF!=K$2)*(Data!$AI$2:$AI55="Yes")*(Data!$A$2:$A55&lt;42217))</f>
        <v>#REF!</v>
      </c>
      <c r="L35" s="93" t="e">
        <f>SUMPRODUCT((Data!$C$2:$C55=$A35)*(Data!#REF!=L$2)*(Data!$AI$2:$AI55="Yes")*(Data!$A$2:$A55&lt;42217))</f>
        <v>#REF!</v>
      </c>
      <c r="M35" s="93" t="e">
        <f>SUMPRODUCT((Data!$C$2:$C55=$A35)*(Data!#REF!=M$2)*(Data!$AI$2:$AI55="Yes")*(Data!$A$2:$A55&lt;42217))</f>
        <v>#REF!</v>
      </c>
      <c r="N35" s="93" t="e">
        <f>SUMPRODUCT((Data!$C$2:$C55=$A35)*(Data!#REF!=N$2)*(Data!$AI$2:$AI55="Yes")*(Data!$A$2:$A55&lt;42217))</f>
        <v>#REF!</v>
      </c>
      <c r="O35" s="93" t="e">
        <f>SUMPRODUCT((Data!$C$2:$C55=$A35)*(Data!#REF!=O$2)*(Data!$AI$2:$AI55="Yes")*(Data!$A$2:$A55&lt;42217))</f>
        <v>#REF!</v>
      </c>
      <c r="P35" s="94" t="e">
        <f>SUMPRODUCT((Data!$C$2:$C55=$A35)*(Data!#REF!=P$2)*(Data!$AA$2:$AA55="Yes")*(Data!$A$2:$A55&lt;42217))</f>
        <v>#REF!</v>
      </c>
      <c r="Q35" s="94" t="e">
        <f>SUMPRODUCT((Data!$C$2:$C55=$A35)*(Data!#REF!=Q$2)*(Data!$AA$2:$AA55="Yes")*(Data!$A$2:$A55&lt;42217))</f>
        <v>#REF!</v>
      </c>
      <c r="R35" s="94" t="e">
        <f>SUMPRODUCT((Data!$C$2:$C55=$A35)*(Data!#REF!=R$2)*(Data!$AA$2:$AA55="Yes")*(Data!$A$2:$A55&lt;42217))</f>
        <v>#REF!</v>
      </c>
      <c r="S35" s="94" t="e">
        <f>SUMPRODUCT((Data!$C$2:$C55=$A35)*(Data!#REF!=S$2)*(Data!$AA$2:$AA55="Yes")*(Data!$A$2:$A55&lt;42217))</f>
        <v>#REF!</v>
      </c>
      <c r="T35" s="94" t="e">
        <f>SUMPRODUCT((Data!$C$2:$C55=$A35)*(Data!#REF!=T$2)*(Data!$AA$2:$AA55="Yes")*(Data!$A$2:$A55&lt;42217))</f>
        <v>#REF!</v>
      </c>
      <c r="U35" s="94" t="e">
        <f>SUMPRODUCT((Data!$C$2:$C55=$A35)*(Data!#REF!=U$2)*(Data!$AA$2:$AA55="Yes")*(Data!$A$2:$A55&lt;42217))</f>
        <v>#REF!</v>
      </c>
      <c r="V35" s="94" t="e">
        <f>SUMPRODUCT((Data!$C$2:$C55=$A35)*(Data!#REF!=V$2)*(Data!$AA$2:$AA55="Yes")*(Data!$A$2:$A55&lt;42217))</f>
        <v>#REF!</v>
      </c>
      <c r="W35" s="95" t="e">
        <f>SUMPRODUCT((Data!$C$2:$C55=$A35)*(Data!#REF!=W$2)*(Data!$AA$2:$AA55="No")*(Data!$A$2:$A55&lt;42217))</f>
        <v>#REF!</v>
      </c>
      <c r="X35" s="95" t="e">
        <f>SUMPRODUCT((Data!$C$2:$C55=$A35)*(Data!#REF!=X$2)*(Data!$AA$2:$AA55="No")*(Data!$A$2:$A55&lt;42217))</f>
        <v>#REF!</v>
      </c>
      <c r="Y35" s="95" t="e">
        <f>SUMPRODUCT((Data!$C$2:$C55=$A35)*(Data!#REF!=Y$2)*(Data!$AA$2:$AA55="No")*(Data!$A$2:$A55&lt;42217))</f>
        <v>#REF!</v>
      </c>
      <c r="Z35" s="95" t="e">
        <f>SUMPRODUCT((Data!$C$2:$C55=$A35)*(Data!#REF!=Z$2)*(Data!$AA$2:$AA55="No")*(Data!$A$2:$A55&lt;42217))</f>
        <v>#REF!</v>
      </c>
      <c r="AA35" s="95" t="e">
        <f>SUMPRODUCT((Data!$C$2:$C55=$A35)*(Data!#REF!=AA$2)*(Data!$AA$2:$AA55="No")*(Data!$A$2:$A55&lt;42217))</f>
        <v>#REF!</v>
      </c>
      <c r="AB35" s="95" t="e">
        <f>SUMPRODUCT((Data!$C$2:$C55=$A35)*(Data!#REF!=AB$2)*(Data!$AA$2:$AA55="No")*(Data!$A$2:$A55&lt;42217))</f>
        <v>#REF!</v>
      </c>
      <c r="AC35" s="95" t="e">
        <f>SUMPRODUCT((Data!$C$2:$C55=$A35)*(Data!#REF!=AC$2)*(Data!$AA$2:$AA55="No")*(Data!$A$2:$A55&lt;42217))</f>
        <v>#REF!</v>
      </c>
      <c r="AD35" s="96" t="s">
        <v>28</v>
      </c>
      <c r="AE35" s="96" t="s">
        <v>28</v>
      </c>
      <c r="AF35" s="96" t="s">
        <v>28</v>
      </c>
      <c r="AG35" s="96" t="s">
        <v>28</v>
      </c>
      <c r="AH35" s="96" t="s">
        <v>28</v>
      </c>
      <c r="AI35" s="96" t="s">
        <v>28</v>
      </c>
      <c r="AJ35" s="96" t="s">
        <v>28</v>
      </c>
      <c r="AK35" s="97">
        <v>19541453</v>
      </c>
      <c r="AL35" s="97">
        <v>19400867</v>
      </c>
      <c r="AM35" s="97">
        <v>19521745</v>
      </c>
      <c r="AN35" s="97">
        <v>19607140</v>
      </c>
      <c r="AO35" s="97">
        <v>19695680</v>
      </c>
      <c r="AP35" s="97">
        <v>19746227</v>
      </c>
      <c r="AQ35" s="98">
        <f t="shared" si="0"/>
        <v>11518632.416666666</v>
      </c>
      <c r="AR35" s="99" t="e">
        <f t="shared" si="1"/>
        <v>#REF!</v>
      </c>
      <c r="AS35" s="99">
        <f t="shared" si="2"/>
        <v>0</v>
      </c>
      <c r="AT35" s="99" t="e">
        <f t="shared" si="3"/>
        <v>#REF!</v>
      </c>
      <c r="AU35" s="99" t="e">
        <f t="shared" si="4"/>
        <v>#REF!</v>
      </c>
      <c r="AV35" s="99" t="e">
        <f t="shared" si="5"/>
        <v>#REF!</v>
      </c>
      <c r="AW35" s="99" t="e">
        <f t="shared" si="6"/>
        <v>#REF!</v>
      </c>
      <c r="AX35" s="99">
        <f t="shared" si="7"/>
        <v>129031744.41666667</v>
      </c>
      <c r="AY35" s="99">
        <f t="shared" si="8"/>
        <v>0</v>
      </c>
      <c r="AZ35" s="99">
        <f t="shared" si="9"/>
        <v>129031744.41666667</v>
      </c>
      <c r="BA35" s="100" t="e">
        <f t="shared" ref="BA35:BC35" si="42">(AT35/$AZ35)*100000000</f>
        <v>#REF!</v>
      </c>
      <c r="BB35" s="100" t="e">
        <f t="shared" si="42"/>
        <v>#REF!</v>
      </c>
      <c r="BC35" s="100" t="e">
        <f t="shared" si="42"/>
        <v>#REF!</v>
      </c>
    </row>
    <row r="36" spans="1:55" ht="12">
      <c r="A36" s="91" t="s">
        <v>18</v>
      </c>
      <c r="B36" s="92" t="e">
        <f>SUMPRODUCT((Data!$C$2:$C55=$A36)*(Data!#REF!=B$2)*(Data!$A$2:$A55&lt;42217))</f>
        <v>#REF!</v>
      </c>
      <c r="C36" s="92" t="e">
        <f>SUMPRODUCT((Data!$C$2:$C55=$A36)*(Data!#REF!=C$2)*(Data!$A$2:$A55&lt;42217))</f>
        <v>#REF!</v>
      </c>
      <c r="D36" s="92" t="e">
        <f>SUMPRODUCT((Data!$C$2:$C55=$A36)*(Data!#REF!=D$2)*(Data!$A$2:$A55&lt;42217))</f>
        <v>#REF!</v>
      </c>
      <c r="E36" s="92" t="e">
        <f>SUMPRODUCT((Data!$C$2:$C55=$A36)*(Data!#REF!=E$2)*(Data!$A$2:$A55&lt;42217))</f>
        <v>#REF!</v>
      </c>
      <c r="F36" s="92" t="e">
        <f>SUMPRODUCT((Data!$C$2:$C55=$A36)*(Data!#REF!=F$2)*(Data!$A$2:$A55&lt;42217))</f>
        <v>#REF!</v>
      </c>
      <c r="G36" s="92" t="e">
        <f>SUMPRODUCT((Data!$C$2:$C55=$A36)*(Data!#REF!=G$2)*(Data!$A$2:$A55&lt;42217))</f>
        <v>#REF!</v>
      </c>
      <c r="H36" s="92" t="e">
        <f>SUMPRODUCT((Data!$C$2:$C55=$A36)*(Data!#REF!=H$2)*(Data!$A$2:$A55&lt;42217))</f>
        <v>#REF!</v>
      </c>
      <c r="I36" s="93" t="e">
        <f>SUMPRODUCT((Data!$C$2:$C55=$A36)*(Data!#REF!=I$2)*(Data!$AI$2:$AI55="Yes")*(Data!$A$2:$A55&lt;42217))</f>
        <v>#REF!</v>
      </c>
      <c r="J36" s="93" t="e">
        <f>SUMPRODUCT((Data!$C$2:$C55=$A36)*(Data!#REF!=J$2)*(Data!$AI$2:$AI55="Yes")*(Data!$A$2:$A55&lt;42217))</f>
        <v>#REF!</v>
      </c>
      <c r="K36" s="93" t="e">
        <f>SUMPRODUCT((Data!$C$2:$C55=$A36)*(Data!#REF!=K$2)*(Data!$AI$2:$AI55="Yes")*(Data!$A$2:$A55&lt;42217))</f>
        <v>#REF!</v>
      </c>
      <c r="L36" s="93" t="e">
        <f>SUMPRODUCT((Data!$C$2:$C55=$A36)*(Data!#REF!=L$2)*(Data!$AI$2:$AI55="Yes")*(Data!$A$2:$A55&lt;42217))</f>
        <v>#REF!</v>
      </c>
      <c r="M36" s="93" t="e">
        <f>SUMPRODUCT((Data!$C$2:$C55=$A36)*(Data!#REF!=M$2)*(Data!$AI$2:$AI55="Yes")*(Data!$A$2:$A55&lt;42217))</f>
        <v>#REF!</v>
      </c>
      <c r="N36" s="93" t="e">
        <f>SUMPRODUCT((Data!$C$2:$C55=$A36)*(Data!#REF!=N$2)*(Data!$AI$2:$AI55="Yes")*(Data!$A$2:$A55&lt;42217))</f>
        <v>#REF!</v>
      </c>
      <c r="O36" s="93" t="e">
        <f>SUMPRODUCT((Data!$C$2:$C55=$A36)*(Data!#REF!=O$2)*(Data!$AI$2:$AI55="Yes")*(Data!$A$2:$A55&lt;42217))</f>
        <v>#REF!</v>
      </c>
      <c r="P36" s="94" t="e">
        <f>SUMPRODUCT((Data!$C$2:$C55=$A36)*(Data!#REF!=P$2)*(Data!$AA$2:$AA55="Yes")*(Data!$A$2:$A55&lt;42217))</f>
        <v>#REF!</v>
      </c>
      <c r="Q36" s="94" t="e">
        <f>SUMPRODUCT((Data!$C$2:$C55=$A36)*(Data!#REF!=Q$2)*(Data!$AA$2:$AA55="Yes")*(Data!$A$2:$A55&lt;42217))</f>
        <v>#REF!</v>
      </c>
      <c r="R36" s="94" t="e">
        <f>SUMPRODUCT((Data!$C$2:$C55=$A36)*(Data!#REF!=R$2)*(Data!$AA$2:$AA55="Yes")*(Data!$A$2:$A55&lt;42217))</f>
        <v>#REF!</v>
      </c>
      <c r="S36" s="94" t="e">
        <f>SUMPRODUCT((Data!$C$2:$C55=$A36)*(Data!#REF!=S$2)*(Data!$AA$2:$AA55="Yes")*(Data!$A$2:$A55&lt;42217))</f>
        <v>#REF!</v>
      </c>
      <c r="T36" s="94" t="e">
        <f>SUMPRODUCT((Data!$C$2:$C55=$A36)*(Data!#REF!=T$2)*(Data!$AA$2:$AA55="Yes")*(Data!$A$2:$A55&lt;42217))</f>
        <v>#REF!</v>
      </c>
      <c r="U36" s="94" t="e">
        <f>SUMPRODUCT((Data!$C$2:$C55=$A36)*(Data!#REF!=U$2)*(Data!$AA$2:$AA55="Yes")*(Data!$A$2:$A55&lt;42217))</f>
        <v>#REF!</v>
      </c>
      <c r="V36" s="94" t="e">
        <f>SUMPRODUCT((Data!$C$2:$C55=$A36)*(Data!#REF!=V$2)*(Data!$AA$2:$AA55="Yes")*(Data!$A$2:$A55&lt;42217))</f>
        <v>#REF!</v>
      </c>
      <c r="W36" s="95" t="e">
        <f>SUMPRODUCT((Data!$C$2:$C55=$A36)*(Data!#REF!=W$2)*(Data!$AA$2:$AA55="No")*(Data!$A$2:$A55&lt;42217))</f>
        <v>#REF!</v>
      </c>
      <c r="X36" s="95" t="e">
        <f>SUMPRODUCT((Data!$C$2:$C55=$A36)*(Data!#REF!=X$2)*(Data!$AA$2:$AA55="No")*(Data!$A$2:$A55&lt;42217))</f>
        <v>#REF!</v>
      </c>
      <c r="Y36" s="95" t="e">
        <f>SUMPRODUCT((Data!$C$2:$C55=$A36)*(Data!#REF!=Y$2)*(Data!$AA$2:$AA55="No")*(Data!$A$2:$A55&lt;42217))</f>
        <v>#REF!</v>
      </c>
      <c r="Z36" s="95" t="e">
        <f>SUMPRODUCT((Data!$C$2:$C55=$A36)*(Data!#REF!=Z$2)*(Data!$AA$2:$AA55="No")*(Data!$A$2:$A55&lt;42217))</f>
        <v>#REF!</v>
      </c>
      <c r="AA36" s="95" t="e">
        <f>SUMPRODUCT((Data!$C$2:$C55=$A36)*(Data!#REF!=AA$2)*(Data!$AA$2:$AA55="No")*(Data!$A$2:$A55&lt;42217))</f>
        <v>#REF!</v>
      </c>
      <c r="AB36" s="95" t="e">
        <f>SUMPRODUCT((Data!$C$2:$C55=$A36)*(Data!#REF!=AB$2)*(Data!$AA$2:$AA55="No")*(Data!$A$2:$A55&lt;42217))</f>
        <v>#REF!</v>
      </c>
      <c r="AC36" s="95" t="e">
        <f>SUMPRODUCT((Data!$C$2:$C55=$A36)*(Data!#REF!=AC$2)*(Data!$AA$2:$AA55="No")*(Data!$A$2:$A55&lt;42217))</f>
        <v>#REF!</v>
      </c>
      <c r="AD36" s="96" t="s">
        <v>28</v>
      </c>
      <c r="AE36" s="96" t="s">
        <v>28</v>
      </c>
      <c r="AF36" s="96" t="s">
        <v>28</v>
      </c>
      <c r="AG36" s="96" t="s">
        <v>28</v>
      </c>
      <c r="AH36" s="96" t="s">
        <v>28</v>
      </c>
      <c r="AI36" s="96" t="s">
        <v>28</v>
      </c>
      <c r="AJ36" s="96" t="s">
        <v>28</v>
      </c>
      <c r="AK36" s="97">
        <v>9380884</v>
      </c>
      <c r="AL36" s="97">
        <v>9559488</v>
      </c>
      <c r="AM36" s="97">
        <v>9651502</v>
      </c>
      <c r="AN36" s="97">
        <v>9748181</v>
      </c>
      <c r="AO36" s="97">
        <v>9848917</v>
      </c>
      <c r="AP36" s="97">
        <v>9943964</v>
      </c>
      <c r="AQ36" s="98">
        <f t="shared" si="0"/>
        <v>5800645.666666667</v>
      </c>
      <c r="AR36" s="99" t="e">
        <f t="shared" si="1"/>
        <v>#REF!</v>
      </c>
      <c r="AS36" s="99">
        <f t="shared" si="2"/>
        <v>0</v>
      </c>
      <c r="AT36" s="99" t="e">
        <f t="shared" si="3"/>
        <v>#REF!</v>
      </c>
      <c r="AU36" s="99" t="e">
        <f t="shared" si="4"/>
        <v>#REF!</v>
      </c>
      <c r="AV36" s="99" t="e">
        <f t="shared" si="5"/>
        <v>#REF!</v>
      </c>
      <c r="AW36" s="99" t="e">
        <f t="shared" si="6"/>
        <v>#REF!</v>
      </c>
      <c r="AX36" s="99">
        <f t="shared" si="7"/>
        <v>63933581.666666664</v>
      </c>
      <c r="AY36" s="99">
        <f t="shared" si="8"/>
        <v>0</v>
      </c>
      <c r="AZ36" s="99">
        <f t="shared" si="9"/>
        <v>63933581.666666664</v>
      </c>
      <c r="BA36" s="100" t="e">
        <f t="shared" ref="BA36:BC36" si="43">(AT36/$AZ36)*100000000</f>
        <v>#REF!</v>
      </c>
      <c r="BB36" s="100" t="e">
        <f t="shared" si="43"/>
        <v>#REF!</v>
      </c>
      <c r="BC36" s="100" t="e">
        <f t="shared" si="43"/>
        <v>#REF!</v>
      </c>
    </row>
    <row r="37" spans="1:55" ht="12">
      <c r="A37" s="91" t="s">
        <v>113</v>
      </c>
      <c r="B37" s="92" t="e">
        <f>SUMPRODUCT((Data!$C$2:$C55=$A37)*(Data!#REF!=B$2)*(Data!$A$2:$A55&lt;42217))</f>
        <v>#REF!</v>
      </c>
      <c r="C37" s="92" t="e">
        <f>SUMPRODUCT((Data!$C$2:$C55=$A37)*(Data!#REF!=C$2)*(Data!$A$2:$A55&lt;42217))</f>
        <v>#REF!</v>
      </c>
      <c r="D37" s="92" t="e">
        <f>SUMPRODUCT((Data!$C$2:$C55=$A37)*(Data!#REF!=D$2)*(Data!$A$2:$A55&lt;42217))</f>
        <v>#REF!</v>
      </c>
      <c r="E37" s="92" t="e">
        <f>SUMPRODUCT((Data!$C$2:$C55=$A37)*(Data!#REF!=E$2)*(Data!$A$2:$A55&lt;42217))</f>
        <v>#REF!</v>
      </c>
      <c r="F37" s="92" t="e">
        <f>SUMPRODUCT((Data!$C$2:$C55=$A37)*(Data!#REF!=F$2)*(Data!$A$2:$A55&lt;42217))</f>
        <v>#REF!</v>
      </c>
      <c r="G37" s="92" t="e">
        <f>SUMPRODUCT((Data!$C$2:$C55=$A37)*(Data!#REF!=G$2)*(Data!$A$2:$A55&lt;42217))</f>
        <v>#REF!</v>
      </c>
      <c r="H37" s="92" t="e">
        <f>SUMPRODUCT((Data!$C$2:$C55=$A37)*(Data!#REF!=H$2)*(Data!$A$2:$A55&lt;42217))</f>
        <v>#REF!</v>
      </c>
      <c r="I37" s="93" t="e">
        <f>SUMPRODUCT((Data!$C$2:$C55=$A37)*(Data!#REF!=I$2)*(Data!$AI$2:$AI55="Yes")*(Data!$A$2:$A55&lt;42217))</f>
        <v>#REF!</v>
      </c>
      <c r="J37" s="93" t="e">
        <f>SUMPRODUCT((Data!$C$2:$C55=$A37)*(Data!#REF!=J$2)*(Data!$AI$2:$AI55="Yes")*(Data!$A$2:$A55&lt;42217))</f>
        <v>#REF!</v>
      </c>
      <c r="K37" s="93" t="e">
        <f>SUMPRODUCT((Data!$C$2:$C55=$A37)*(Data!#REF!=K$2)*(Data!$AI$2:$AI55="Yes")*(Data!$A$2:$A55&lt;42217))</f>
        <v>#REF!</v>
      </c>
      <c r="L37" s="93" t="e">
        <f>SUMPRODUCT((Data!$C$2:$C55=$A37)*(Data!#REF!=L$2)*(Data!$AI$2:$AI55="Yes")*(Data!$A$2:$A55&lt;42217))</f>
        <v>#REF!</v>
      </c>
      <c r="M37" s="93" t="e">
        <f>SUMPRODUCT((Data!$C$2:$C55=$A37)*(Data!#REF!=M$2)*(Data!$AI$2:$AI55="Yes")*(Data!$A$2:$A55&lt;42217))</f>
        <v>#REF!</v>
      </c>
      <c r="N37" s="93" t="e">
        <f>SUMPRODUCT((Data!$C$2:$C55=$A37)*(Data!#REF!=N$2)*(Data!$AI$2:$AI55="Yes")*(Data!$A$2:$A55&lt;42217))</f>
        <v>#REF!</v>
      </c>
      <c r="O37" s="93" t="e">
        <f>SUMPRODUCT((Data!$C$2:$C55=$A37)*(Data!#REF!=O$2)*(Data!$AI$2:$AI55="Yes")*(Data!$A$2:$A55&lt;42217))</f>
        <v>#REF!</v>
      </c>
      <c r="P37" s="94" t="e">
        <f>SUMPRODUCT((Data!$C$2:$C55=$A37)*(Data!#REF!=P$2)*(Data!$AA$2:$AA55="Yes")*(Data!$A$2:$A55&lt;42217))</f>
        <v>#REF!</v>
      </c>
      <c r="Q37" s="94" t="e">
        <f>SUMPRODUCT((Data!$C$2:$C55=$A37)*(Data!#REF!=Q$2)*(Data!$AA$2:$AA55="Yes")*(Data!$A$2:$A55&lt;42217))</f>
        <v>#REF!</v>
      </c>
      <c r="R37" s="94" t="e">
        <f>SUMPRODUCT((Data!$C$2:$C55=$A37)*(Data!#REF!=R$2)*(Data!$AA$2:$AA55="Yes")*(Data!$A$2:$A55&lt;42217))</f>
        <v>#REF!</v>
      </c>
      <c r="S37" s="94" t="e">
        <f>SUMPRODUCT((Data!$C$2:$C55=$A37)*(Data!#REF!=S$2)*(Data!$AA$2:$AA55="Yes")*(Data!$A$2:$A55&lt;42217))</f>
        <v>#REF!</v>
      </c>
      <c r="T37" s="94" t="e">
        <f>SUMPRODUCT((Data!$C$2:$C55=$A37)*(Data!#REF!=T$2)*(Data!$AA$2:$AA55="Yes")*(Data!$A$2:$A55&lt;42217))</f>
        <v>#REF!</v>
      </c>
      <c r="U37" s="94" t="e">
        <f>SUMPRODUCT((Data!$C$2:$C55=$A37)*(Data!#REF!=U$2)*(Data!$AA$2:$AA55="Yes")*(Data!$A$2:$A55&lt;42217))</f>
        <v>#REF!</v>
      </c>
      <c r="V37" s="94" t="e">
        <f>SUMPRODUCT((Data!$C$2:$C55=$A37)*(Data!#REF!=V$2)*(Data!$AA$2:$AA55="Yes")*(Data!$A$2:$A55&lt;42217))</f>
        <v>#REF!</v>
      </c>
      <c r="W37" s="95" t="e">
        <f>SUMPRODUCT((Data!$C$2:$C55=$A37)*(Data!#REF!=W$2)*(Data!$AA$2:$AA55="No")*(Data!$A$2:$A55&lt;42217))</f>
        <v>#REF!</v>
      </c>
      <c r="X37" s="95" t="e">
        <f>SUMPRODUCT((Data!$C$2:$C55=$A37)*(Data!#REF!=X$2)*(Data!$AA$2:$AA55="No")*(Data!$A$2:$A55&lt;42217))</f>
        <v>#REF!</v>
      </c>
      <c r="Y37" s="95" t="e">
        <f>SUMPRODUCT((Data!$C$2:$C55=$A37)*(Data!#REF!=Y$2)*(Data!$AA$2:$AA55="No")*(Data!$A$2:$A55&lt;42217))</f>
        <v>#REF!</v>
      </c>
      <c r="Z37" s="95" t="e">
        <f>SUMPRODUCT((Data!$C$2:$C55=$A37)*(Data!#REF!=Z$2)*(Data!$AA$2:$AA55="No")*(Data!$A$2:$A55&lt;42217))</f>
        <v>#REF!</v>
      </c>
      <c r="AA37" s="95" t="e">
        <f>SUMPRODUCT((Data!$C$2:$C55=$A37)*(Data!#REF!=AA$2)*(Data!$AA$2:$AA55="No")*(Data!$A$2:$A55&lt;42217))</f>
        <v>#REF!</v>
      </c>
      <c r="AB37" s="95" t="e">
        <f>SUMPRODUCT((Data!$C$2:$C55=$A37)*(Data!#REF!=AB$2)*(Data!$AA$2:$AA55="No")*(Data!$A$2:$A55&lt;42217))</f>
        <v>#REF!</v>
      </c>
      <c r="AC37" s="95" t="e">
        <f>SUMPRODUCT((Data!$C$2:$C55=$A37)*(Data!#REF!=AC$2)*(Data!$AA$2:$AA55="No")*(Data!$A$2:$A55&lt;42217))</f>
        <v>#REF!</v>
      </c>
      <c r="AD37" s="96" t="s">
        <v>17</v>
      </c>
      <c r="AE37" s="96" t="s">
        <v>17</v>
      </c>
      <c r="AF37" s="96" t="s">
        <v>17</v>
      </c>
      <c r="AG37" s="96" t="s">
        <v>17</v>
      </c>
      <c r="AH37" s="96" t="s">
        <v>17</v>
      </c>
      <c r="AI37" s="96" t="s">
        <v>17</v>
      </c>
      <c r="AJ37" s="96" t="s">
        <v>17</v>
      </c>
      <c r="AK37" s="97">
        <v>646844</v>
      </c>
      <c r="AL37" s="97">
        <v>674345</v>
      </c>
      <c r="AM37" s="97">
        <v>685242</v>
      </c>
      <c r="AN37" s="97">
        <v>701705</v>
      </c>
      <c r="AO37" s="97">
        <v>723857</v>
      </c>
      <c r="AP37" s="97">
        <v>739482</v>
      </c>
      <c r="AQ37" s="98">
        <f t="shared" si="0"/>
        <v>431364.5</v>
      </c>
      <c r="AR37" s="99">
        <f t="shared" si="1"/>
        <v>0</v>
      </c>
      <c r="AS37" s="99" t="e">
        <f t="shared" si="2"/>
        <v>#REF!</v>
      </c>
      <c r="AT37" s="99" t="e">
        <f t="shared" si="3"/>
        <v>#REF!</v>
      </c>
      <c r="AU37" s="99" t="e">
        <f t="shared" si="4"/>
        <v>#REF!</v>
      </c>
      <c r="AV37" s="99" t="e">
        <f t="shared" si="5"/>
        <v>#REF!</v>
      </c>
      <c r="AW37" s="99" t="e">
        <f t="shared" si="6"/>
        <v>#REF!</v>
      </c>
      <c r="AX37" s="99">
        <f t="shared" si="7"/>
        <v>0</v>
      </c>
      <c r="AY37" s="99">
        <f t="shared" si="8"/>
        <v>4602839.5</v>
      </c>
      <c r="AZ37" s="99">
        <f t="shared" si="9"/>
        <v>4602839.5</v>
      </c>
      <c r="BA37" s="100" t="e">
        <f t="shared" ref="BA37:BC37" si="44">(AT37/$AZ37)*100000000</f>
        <v>#REF!</v>
      </c>
      <c r="BB37" s="100" t="e">
        <f t="shared" si="44"/>
        <v>#REF!</v>
      </c>
      <c r="BC37" s="100" t="e">
        <f t="shared" si="44"/>
        <v>#REF!</v>
      </c>
    </row>
    <row r="38" spans="1:55" ht="12">
      <c r="A38" s="91" t="s">
        <v>36</v>
      </c>
      <c r="B38" s="92" t="e">
        <f>SUMPRODUCT((Data!$C$2:$C55=$A38)*(Data!#REF!=B$2)*(Data!$A$2:$A55&lt;42217))</f>
        <v>#REF!</v>
      </c>
      <c r="C38" s="92" t="e">
        <f>SUMPRODUCT((Data!$C$2:$C55=$A38)*(Data!#REF!=C$2)*(Data!$A$2:$A55&lt;42217))</f>
        <v>#REF!</v>
      </c>
      <c r="D38" s="92" t="e">
        <f>SUMPRODUCT((Data!$C$2:$C55=$A38)*(Data!#REF!=D$2)*(Data!$A$2:$A55&lt;42217))</f>
        <v>#REF!</v>
      </c>
      <c r="E38" s="92" t="e">
        <f>SUMPRODUCT((Data!$C$2:$C55=$A38)*(Data!#REF!=E$2)*(Data!$A$2:$A55&lt;42217))</f>
        <v>#REF!</v>
      </c>
      <c r="F38" s="92" t="e">
        <f>SUMPRODUCT((Data!$C$2:$C55=$A38)*(Data!#REF!=F$2)*(Data!$A$2:$A55&lt;42217))</f>
        <v>#REF!</v>
      </c>
      <c r="G38" s="92" t="e">
        <f>SUMPRODUCT((Data!$C$2:$C55=$A38)*(Data!#REF!=G$2)*(Data!$A$2:$A55&lt;42217))</f>
        <v>#REF!</v>
      </c>
      <c r="H38" s="92" t="e">
        <f>SUMPRODUCT((Data!$C$2:$C55=$A38)*(Data!#REF!=H$2)*(Data!$A$2:$A55&lt;42217))</f>
        <v>#REF!</v>
      </c>
      <c r="I38" s="93" t="e">
        <f>SUMPRODUCT((Data!$C$2:$C55=$A38)*(Data!#REF!=I$2)*(Data!$AI$2:$AI55="Yes")*(Data!$A$2:$A55&lt;42217))</f>
        <v>#REF!</v>
      </c>
      <c r="J38" s="93" t="e">
        <f>SUMPRODUCT((Data!$C$2:$C55=$A38)*(Data!#REF!=J$2)*(Data!$AI$2:$AI55="Yes")*(Data!$A$2:$A55&lt;42217))</f>
        <v>#REF!</v>
      </c>
      <c r="K38" s="93" t="e">
        <f>SUMPRODUCT((Data!$C$2:$C55=$A38)*(Data!#REF!=K$2)*(Data!$AI$2:$AI55="Yes")*(Data!$A$2:$A55&lt;42217))</f>
        <v>#REF!</v>
      </c>
      <c r="L38" s="93" t="e">
        <f>SUMPRODUCT((Data!$C$2:$C55=$A38)*(Data!#REF!=L$2)*(Data!$AI$2:$AI55="Yes")*(Data!$A$2:$A55&lt;42217))</f>
        <v>#REF!</v>
      </c>
      <c r="M38" s="93" t="e">
        <f>SUMPRODUCT((Data!$C$2:$C55=$A38)*(Data!#REF!=M$2)*(Data!$AI$2:$AI55="Yes")*(Data!$A$2:$A55&lt;42217))</f>
        <v>#REF!</v>
      </c>
      <c r="N38" s="93" t="e">
        <f>SUMPRODUCT((Data!$C$2:$C55=$A38)*(Data!#REF!=N$2)*(Data!$AI$2:$AI55="Yes")*(Data!$A$2:$A55&lt;42217))</f>
        <v>#REF!</v>
      </c>
      <c r="O38" s="93" t="e">
        <f>SUMPRODUCT((Data!$C$2:$C55=$A38)*(Data!#REF!=O$2)*(Data!$AI$2:$AI55="Yes")*(Data!$A$2:$A55&lt;42217))</f>
        <v>#REF!</v>
      </c>
      <c r="P38" s="94" t="e">
        <f>SUMPRODUCT((Data!$C$2:$C55=$A38)*(Data!#REF!=P$2)*(Data!$AA$2:$AA55="Yes")*(Data!$A$2:$A55&lt;42217))</f>
        <v>#REF!</v>
      </c>
      <c r="Q38" s="94" t="e">
        <f>SUMPRODUCT((Data!$C$2:$C55=$A38)*(Data!#REF!=Q$2)*(Data!$AA$2:$AA55="Yes")*(Data!$A$2:$A55&lt;42217))</f>
        <v>#REF!</v>
      </c>
      <c r="R38" s="94" t="e">
        <f>SUMPRODUCT((Data!$C$2:$C55=$A38)*(Data!#REF!=R$2)*(Data!$AA$2:$AA55="Yes")*(Data!$A$2:$A55&lt;42217))</f>
        <v>#REF!</v>
      </c>
      <c r="S38" s="94" t="e">
        <f>SUMPRODUCT((Data!$C$2:$C55=$A38)*(Data!#REF!=S$2)*(Data!$AA$2:$AA55="Yes")*(Data!$A$2:$A55&lt;42217))</f>
        <v>#REF!</v>
      </c>
      <c r="T38" s="94" t="e">
        <f>SUMPRODUCT((Data!$C$2:$C55=$A38)*(Data!#REF!=T$2)*(Data!$AA$2:$AA55="Yes")*(Data!$A$2:$A55&lt;42217))</f>
        <v>#REF!</v>
      </c>
      <c r="U38" s="94" t="e">
        <f>SUMPRODUCT((Data!$C$2:$C55=$A38)*(Data!#REF!=U$2)*(Data!$AA$2:$AA55="Yes")*(Data!$A$2:$A55&lt;42217))</f>
        <v>#REF!</v>
      </c>
      <c r="V38" s="94" t="e">
        <f>SUMPRODUCT((Data!$C$2:$C55=$A38)*(Data!#REF!=V$2)*(Data!$AA$2:$AA55="Yes")*(Data!$A$2:$A55&lt;42217))</f>
        <v>#REF!</v>
      </c>
      <c r="W38" s="95" t="e">
        <f>SUMPRODUCT((Data!$C$2:$C55=$A38)*(Data!#REF!=W$2)*(Data!$AA$2:$AA55="No")*(Data!$A$2:$A55&lt;42217))</f>
        <v>#REF!</v>
      </c>
      <c r="X38" s="95" t="e">
        <f>SUMPRODUCT((Data!$C$2:$C55=$A38)*(Data!#REF!=X$2)*(Data!$AA$2:$AA55="No")*(Data!$A$2:$A55&lt;42217))</f>
        <v>#REF!</v>
      </c>
      <c r="Y38" s="95" t="e">
        <f>SUMPRODUCT((Data!$C$2:$C55=$A38)*(Data!#REF!=Y$2)*(Data!$AA$2:$AA55="No")*(Data!$A$2:$A55&lt;42217))</f>
        <v>#REF!</v>
      </c>
      <c r="Z38" s="95" t="e">
        <f>SUMPRODUCT((Data!$C$2:$C55=$A38)*(Data!#REF!=Z$2)*(Data!$AA$2:$AA55="No")*(Data!$A$2:$A55&lt;42217))</f>
        <v>#REF!</v>
      </c>
      <c r="AA38" s="95" t="e">
        <f>SUMPRODUCT((Data!$C$2:$C55=$A38)*(Data!#REF!=AA$2)*(Data!$AA$2:$AA55="No")*(Data!$A$2:$A55&lt;42217))</f>
        <v>#REF!</v>
      </c>
      <c r="AB38" s="95" t="e">
        <f>SUMPRODUCT((Data!$C$2:$C55=$A38)*(Data!#REF!=AB$2)*(Data!$AA$2:$AA55="No")*(Data!$A$2:$A55&lt;42217))</f>
        <v>#REF!</v>
      </c>
      <c r="AC38" s="95" t="e">
        <f>SUMPRODUCT((Data!$C$2:$C55=$A38)*(Data!#REF!=AC$2)*(Data!$AA$2:$AA55="No")*(Data!$A$2:$A55&lt;42217))</f>
        <v>#REF!</v>
      </c>
      <c r="AD38" s="96" t="s">
        <v>17</v>
      </c>
      <c r="AE38" s="96" t="s">
        <v>17</v>
      </c>
      <c r="AF38" s="96" t="s">
        <v>17</v>
      </c>
      <c r="AG38" s="96" t="s">
        <v>17</v>
      </c>
      <c r="AH38" s="96" t="s">
        <v>17</v>
      </c>
      <c r="AI38" s="96" t="s">
        <v>17</v>
      </c>
      <c r="AJ38" s="96" t="s">
        <v>17</v>
      </c>
      <c r="AK38" s="97">
        <v>11542645</v>
      </c>
      <c r="AL38" s="97">
        <v>11540070</v>
      </c>
      <c r="AM38" s="97">
        <v>11544757</v>
      </c>
      <c r="AN38" s="97">
        <v>11550901</v>
      </c>
      <c r="AO38" s="97">
        <v>11572005</v>
      </c>
      <c r="AP38" s="97">
        <v>11594163</v>
      </c>
      <c r="AQ38" s="98">
        <f t="shared" si="0"/>
        <v>6763261.75</v>
      </c>
      <c r="AR38" s="99">
        <f t="shared" si="1"/>
        <v>0</v>
      </c>
      <c r="AS38" s="99" t="e">
        <f t="shared" si="2"/>
        <v>#REF!</v>
      </c>
      <c r="AT38" s="99" t="e">
        <f t="shared" si="3"/>
        <v>#REF!</v>
      </c>
      <c r="AU38" s="99" t="e">
        <f t="shared" si="4"/>
        <v>#REF!</v>
      </c>
      <c r="AV38" s="99" t="e">
        <f t="shared" si="5"/>
        <v>#REF!</v>
      </c>
      <c r="AW38" s="99" t="e">
        <f t="shared" si="6"/>
        <v>#REF!</v>
      </c>
      <c r="AX38" s="99">
        <f t="shared" si="7"/>
        <v>0</v>
      </c>
      <c r="AY38" s="99">
        <f t="shared" si="8"/>
        <v>76107802.75</v>
      </c>
      <c r="AZ38" s="99">
        <f t="shared" si="9"/>
        <v>76107802.75</v>
      </c>
      <c r="BA38" s="100" t="e">
        <f t="shared" ref="BA38:BC38" si="45">(AT38/$AZ38)*100000000</f>
        <v>#REF!</v>
      </c>
      <c r="BB38" s="100" t="e">
        <f t="shared" si="45"/>
        <v>#REF!</v>
      </c>
      <c r="BC38" s="100" t="e">
        <f t="shared" si="45"/>
        <v>#REF!</v>
      </c>
    </row>
    <row r="39" spans="1:55" ht="12">
      <c r="A39" s="91" t="s">
        <v>13</v>
      </c>
      <c r="B39" s="92" t="e">
        <f>SUMPRODUCT((Data!$C$2:$C55=$A39)*(Data!#REF!=B$2)*(Data!$A$2:$A55&lt;42217))</f>
        <v>#REF!</v>
      </c>
      <c r="C39" s="92" t="e">
        <f>SUMPRODUCT((Data!$C$2:$C55=$A39)*(Data!#REF!=C$2)*(Data!$A$2:$A55&lt;42217))</f>
        <v>#REF!</v>
      </c>
      <c r="D39" s="92" t="e">
        <f>SUMPRODUCT((Data!$C$2:$C55=$A39)*(Data!#REF!=D$2)*(Data!$A$2:$A55&lt;42217))</f>
        <v>#REF!</v>
      </c>
      <c r="E39" s="92" t="e">
        <f>SUMPRODUCT((Data!$C$2:$C55=$A39)*(Data!#REF!=E$2)*(Data!$A$2:$A55&lt;42217))</f>
        <v>#REF!</v>
      </c>
      <c r="F39" s="92" t="e">
        <f>SUMPRODUCT((Data!$C$2:$C55=$A39)*(Data!#REF!=F$2)*(Data!$A$2:$A55&lt;42217))</f>
        <v>#REF!</v>
      </c>
      <c r="G39" s="92" t="e">
        <f>SUMPRODUCT((Data!$C$2:$C55=$A39)*(Data!#REF!=G$2)*(Data!$A$2:$A55&lt;42217))</f>
        <v>#REF!</v>
      </c>
      <c r="H39" s="92" t="e">
        <f>SUMPRODUCT((Data!$C$2:$C55=$A39)*(Data!#REF!=H$2)*(Data!$A$2:$A55&lt;42217))</f>
        <v>#REF!</v>
      </c>
      <c r="I39" s="93" t="e">
        <f>SUMPRODUCT((Data!$C$2:$C55=$A39)*(Data!#REF!=I$2)*(Data!$AI$2:$AI55="Yes")*(Data!$A$2:$A55&lt;42217))</f>
        <v>#REF!</v>
      </c>
      <c r="J39" s="93" t="e">
        <f>SUMPRODUCT((Data!$C$2:$C55=$A39)*(Data!#REF!=J$2)*(Data!$AI$2:$AI55="Yes")*(Data!$A$2:$A55&lt;42217))</f>
        <v>#REF!</v>
      </c>
      <c r="K39" s="93" t="e">
        <f>SUMPRODUCT((Data!$C$2:$C55=$A39)*(Data!#REF!=K$2)*(Data!$AI$2:$AI55="Yes")*(Data!$A$2:$A55&lt;42217))</f>
        <v>#REF!</v>
      </c>
      <c r="L39" s="93" t="e">
        <f>SUMPRODUCT((Data!$C$2:$C55=$A39)*(Data!#REF!=L$2)*(Data!$AI$2:$AI55="Yes")*(Data!$A$2:$A55&lt;42217))</f>
        <v>#REF!</v>
      </c>
      <c r="M39" s="93" t="e">
        <f>SUMPRODUCT((Data!$C$2:$C55=$A39)*(Data!#REF!=M$2)*(Data!$AI$2:$AI55="Yes")*(Data!$A$2:$A55&lt;42217))</f>
        <v>#REF!</v>
      </c>
      <c r="N39" s="93" t="e">
        <f>SUMPRODUCT((Data!$C$2:$C55=$A39)*(Data!#REF!=N$2)*(Data!$AI$2:$AI55="Yes")*(Data!$A$2:$A55&lt;42217))</f>
        <v>#REF!</v>
      </c>
      <c r="O39" s="93" t="e">
        <f>SUMPRODUCT((Data!$C$2:$C55=$A39)*(Data!#REF!=O$2)*(Data!$AI$2:$AI55="Yes")*(Data!$A$2:$A55&lt;42217))</f>
        <v>#REF!</v>
      </c>
      <c r="P39" s="94" t="e">
        <f>SUMPRODUCT((Data!$C$2:$C55=$A39)*(Data!#REF!=P$2)*(Data!$AA$2:$AA55="Yes")*(Data!$A$2:$A55&lt;42217))</f>
        <v>#REF!</v>
      </c>
      <c r="Q39" s="94" t="e">
        <f>SUMPRODUCT((Data!$C$2:$C55=$A39)*(Data!#REF!=Q$2)*(Data!$AA$2:$AA55="Yes")*(Data!$A$2:$A55&lt;42217))</f>
        <v>#REF!</v>
      </c>
      <c r="R39" s="94" t="e">
        <f>SUMPRODUCT((Data!$C$2:$C55=$A39)*(Data!#REF!=R$2)*(Data!$AA$2:$AA55="Yes")*(Data!$A$2:$A55&lt;42217))</f>
        <v>#REF!</v>
      </c>
      <c r="S39" s="94" t="e">
        <f>SUMPRODUCT((Data!$C$2:$C55=$A39)*(Data!#REF!=S$2)*(Data!$AA$2:$AA55="Yes")*(Data!$A$2:$A55&lt;42217))</f>
        <v>#REF!</v>
      </c>
      <c r="T39" s="94" t="e">
        <f>SUMPRODUCT((Data!$C$2:$C55=$A39)*(Data!#REF!=T$2)*(Data!$AA$2:$AA55="Yes")*(Data!$A$2:$A55&lt;42217))</f>
        <v>#REF!</v>
      </c>
      <c r="U39" s="94" t="e">
        <f>SUMPRODUCT((Data!$C$2:$C55=$A39)*(Data!#REF!=U$2)*(Data!$AA$2:$AA55="Yes")*(Data!$A$2:$A55&lt;42217))</f>
        <v>#REF!</v>
      </c>
      <c r="V39" s="94" t="e">
        <f>SUMPRODUCT((Data!$C$2:$C55=$A39)*(Data!#REF!=V$2)*(Data!$AA$2:$AA55="Yes")*(Data!$A$2:$A55&lt;42217))</f>
        <v>#REF!</v>
      </c>
      <c r="W39" s="95" t="e">
        <f>SUMPRODUCT((Data!$C$2:$C55=$A39)*(Data!#REF!=W$2)*(Data!$AA$2:$AA55="No")*(Data!$A$2:$A55&lt;42217))</f>
        <v>#REF!</v>
      </c>
      <c r="X39" s="95" t="e">
        <f>SUMPRODUCT((Data!$C$2:$C55=$A39)*(Data!#REF!=X$2)*(Data!$AA$2:$AA55="No")*(Data!$A$2:$A55&lt;42217))</f>
        <v>#REF!</v>
      </c>
      <c r="Y39" s="95" t="e">
        <f>SUMPRODUCT((Data!$C$2:$C55=$A39)*(Data!#REF!=Y$2)*(Data!$AA$2:$AA55="No")*(Data!$A$2:$A55&lt;42217))</f>
        <v>#REF!</v>
      </c>
      <c r="Z39" s="95" t="e">
        <f>SUMPRODUCT((Data!$C$2:$C55=$A39)*(Data!#REF!=Z$2)*(Data!$AA$2:$AA55="No")*(Data!$A$2:$A55&lt;42217))</f>
        <v>#REF!</v>
      </c>
      <c r="AA39" s="95" t="e">
        <f>SUMPRODUCT((Data!$C$2:$C55=$A39)*(Data!#REF!=AA$2)*(Data!$AA$2:$AA55="No")*(Data!$A$2:$A55&lt;42217))</f>
        <v>#REF!</v>
      </c>
      <c r="AB39" s="95" t="e">
        <f>SUMPRODUCT((Data!$C$2:$C55=$A39)*(Data!#REF!=AB$2)*(Data!$AA$2:$AA55="No")*(Data!$A$2:$A55&lt;42217))</f>
        <v>#REF!</v>
      </c>
      <c r="AC39" s="95" t="e">
        <f>SUMPRODUCT((Data!$C$2:$C55=$A39)*(Data!#REF!=AC$2)*(Data!$AA$2:$AA55="No")*(Data!$A$2:$A55&lt;42217))</f>
        <v>#REF!</v>
      </c>
      <c r="AD39" s="96" t="s">
        <v>17</v>
      </c>
      <c r="AE39" s="96" t="s">
        <v>17</v>
      </c>
      <c r="AF39" s="96" t="s">
        <v>17</v>
      </c>
      <c r="AG39" s="96" t="s">
        <v>17</v>
      </c>
      <c r="AH39" s="96" t="s">
        <v>17</v>
      </c>
      <c r="AI39" s="96" t="s">
        <v>17</v>
      </c>
      <c r="AJ39" s="96" t="s">
        <v>17</v>
      </c>
      <c r="AK39" s="97">
        <v>3687050</v>
      </c>
      <c r="AL39" s="97">
        <v>3759481</v>
      </c>
      <c r="AM39" s="97">
        <v>3786527</v>
      </c>
      <c r="AN39" s="97">
        <v>3817059</v>
      </c>
      <c r="AO39" s="97">
        <v>3853118</v>
      </c>
      <c r="AP39" s="97">
        <v>3878051</v>
      </c>
      <c r="AQ39" s="98">
        <f t="shared" si="0"/>
        <v>2262196.4166666665</v>
      </c>
      <c r="AR39" s="99">
        <f t="shared" si="1"/>
        <v>0</v>
      </c>
      <c r="AS39" s="99" t="e">
        <f t="shared" si="2"/>
        <v>#REF!</v>
      </c>
      <c r="AT39" s="99" t="e">
        <f t="shared" si="3"/>
        <v>#REF!</v>
      </c>
      <c r="AU39" s="99" t="e">
        <f t="shared" si="4"/>
        <v>#REF!</v>
      </c>
      <c r="AV39" s="99" t="e">
        <f t="shared" si="5"/>
        <v>#REF!</v>
      </c>
      <c r="AW39" s="99" t="e">
        <f t="shared" si="6"/>
        <v>#REF!</v>
      </c>
      <c r="AX39" s="99">
        <f t="shared" si="7"/>
        <v>0</v>
      </c>
      <c r="AY39" s="99">
        <f t="shared" si="8"/>
        <v>25043482.416666668</v>
      </c>
      <c r="AZ39" s="99">
        <f t="shared" si="9"/>
        <v>25043482.416666668</v>
      </c>
      <c r="BA39" s="100" t="e">
        <f t="shared" ref="BA39:BC39" si="46">(AT39/$AZ39)*100000000</f>
        <v>#REF!</v>
      </c>
      <c r="BB39" s="100" t="e">
        <f t="shared" si="46"/>
        <v>#REF!</v>
      </c>
      <c r="BC39" s="100" t="e">
        <f t="shared" si="46"/>
        <v>#REF!</v>
      </c>
    </row>
    <row r="40" spans="1:55" ht="12">
      <c r="A40" s="91" t="s">
        <v>34</v>
      </c>
      <c r="B40" s="92" t="e">
        <f>SUMPRODUCT((Data!$C$2:$C55=$A40)*(Data!#REF!=B$2)*(Data!$A$2:$A55&lt;42217))</f>
        <v>#REF!</v>
      </c>
      <c r="C40" s="92" t="e">
        <f>SUMPRODUCT((Data!$C$2:$C55=$A40)*(Data!#REF!=C$2)*(Data!$A$2:$A55&lt;42217))</f>
        <v>#REF!</v>
      </c>
      <c r="D40" s="92" t="e">
        <f>SUMPRODUCT((Data!$C$2:$C55=$A40)*(Data!#REF!=D$2)*(Data!$A$2:$A55&lt;42217))</f>
        <v>#REF!</v>
      </c>
      <c r="E40" s="92" t="e">
        <f>SUMPRODUCT((Data!$C$2:$C55=$A40)*(Data!#REF!=E$2)*(Data!$A$2:$A55&lt;42217))</f>
        <v>#REF!</v>
      </c>
      <c r="F40" s="92" t="e">
        <f>SUMPRODUCT((Data!$C$2:$C55=$A40)*(Data!#REF!=F$2)*(Data!$A$2:$A55&lt;42217))</f>
        <v>#REF!</v>
      </c>
      <c r="G40" s="92" t="e">
        <f>SUMPRODUCT((Data!$C$2:$C55=$A40)*(Data!#REF!=G$2)*(Data!$A$2:$A55&lt;42217))</f>
        <v>#REF!</v>
      </c>
      <c r="H40" s="92" t="e">
        <f>SUMPRODUCT((Data!$C$2:$C55=$A40)*(Data!#REF!=H$2)*(Data!$A$2:$A55&lt;42217))</f>
        <v>#REF!</v>
      </c>
      <c r="I40" s="93" t="e">
        <f>SUMPRODUCT((Data!$C$2:$C55=$A40)*(Data!#REF!=I$2)*(Data!$AI$2:$AI55="Yes")*(Data!$A$2:$A55&lt;42217))</f>
        <v>#REF!</v>
      </c>
      <c r="J40" s="93" t="e">
        <f>SUMPRODUCT((Data!$C$2:$C55=$A40)*(Data!#REF!=J$2)*(Data!$AI$2:$AI55="Yes")*(Data!$A$2:$A55&lt;42217))</f>
        <v>#REF!</v>
      </c>
      <c r="K40" s="93" t="e">
        <f>SUMPRODUCT((Data!$C$2:$C55=$A40)*(Data!#REF!=K$2)*(Data!$AI$2:$AI55="Yes")*(Data!$A$2:$A55&lt;42217))</f>
        <v>#REF!</v>
      </c>
      <c r="L40" s="93" t="e">
        <f>SUMPRODUCT((Data!$C$2:$C55=$A40)*(Data!#REF!=L$2)*(Data!$AI$2:$AI55="Yes")*(Data!$A$2:$A55&lt;42217))</f>
        <v>#REF!</v>
      </c>
      <c r="M40" s="93" t="e">
        <f>SUMPRODUCT((Data!$C$2:$C55=$A40)*(Data!#REF!=M$2)*(Data!$AI$2:$AI55="Yes")*(Data!$A$2:$A55&lt;42217))</f>
        <v>#REF!</v>
      </c>
      <c r="N40" s="93" t="e">
        <f>SUMPRODUCT((Data!$C$2:$C55=$A40)*(Data!#REF!=N$2)*(Data!$AI$2:$AI55="Yes")*(Data!$A$2:$A55&lt;42217))</f>
        <v>#REF!</v>
      </c>
      <c r="O40" s="93" t="e">
        <f>SUMPRODUCT((Data!$C$2:$C55=$A40)*(Data!#REF!=O$2)*(Data!$AI$2:$AI55="Yes")*(Data!$A$2:$A55&lt;42217))</f>
        <v>#REF!</v>
      </c>
      <c r="P40" s="94" t="e">
        <f>SUMPRODUCT((Data!$C$2:$C55=$A40)*(Data!#REF!=P$2)*(Data!$AA$2:$AA55="Yes")*(Data!$A$2:$A55&lt;42217))</f>
        <v>#REF!</v>
      </c>
      <c r="Q40" s="94" t="e">
        <f>SUMPRODUCT((Data!$C$2:$C55=$A40)*(Data!#REF!=Q$2)*(Data!$AA$2:$AA55="Yes")*(Data!$A$2:$A55&lt;42217))</f>
        <v>#REF!</v>
      </c>
      <c r="R40" s="94" t="e">
        <f>SUMPRODUCT((Data!$C$2:$C55=$A40)*(Data!#REF!=R$2)*(Data!$AA$2:$AA55="Yes")*(Data!$A$2:$A55&lt;42217))</f>
        <v>#REF!</v>
      </c>
      <c r="S40" s="94" t="e">
        <f>SUMPRODUCT((Data!$C$2:$C55=$A40)*(Data!#REF!=S$2)*(Data!$AA$2:$AA55="Yes")*(Data!$A$2:$A55&lt;42217))</f>
        <v>#REF!</v>
      </c>
      <c r="T40" s="94" t="e">
        <f>SUMPRODUCT((Data!$C$2:$C55=$A40)*(Data!#REF!=T$2)*(Data!$AA$2:$AA55="Yes")*(Data!$A$2:$A55&lt;42217))</f>
        <v>#REF!</v>
      </c>
      <c r="U40" s="94" t="e">
        <f>SUMPRODUCT((Data!$C$2:$C55=$A40)*(Data!#REF!=U$2)*(Data!$AA$2:$AA55="Yes")*(Data!$A$2:$A55&lt;42217))</f>
        <v>#REF!</v>
      </c>
      <c r="V40" s="94" t="e">
        <f>SUMPRODUCT((Data!$C$2:$C55=$A40)*(Data!#REF!=V$2)*(Data!$AA$2:$AA55="Yes")*(Data!$A$2:$A55&lt;42217))</f>
        <v>#REF!</v>
      </c>
      <c r="W40" s="95" t="e">
        <f>SUMPRODUCT((Data!$C$2:$C55=$A40)*(Data!#REF!=W$2)*(Data!$AA$2:$AA55="No")*(Data!$A$2:$A55&lt;42217))</f>
        <v>#REF!</v>
      </c>
      <c r="X40" s="95" t="e">
        <f>SUMPRODUCT((Data!$C$2:$C55=$A40)*(Data!#REF!=X$2)*(Data!$AA$2:$AA55="No")*(Data!$A$2:$A55&lt;42217))</f>
        <v>#REF!</v>
      </c>
      <c r="Y40" s="95" t="e">
        <f>SUMPRODUCT((Data!$C$2:$C55=$A40)*(Data!#REF!=Y$2)*(Data!$AA$2:$AA55="No")*(Data!$A$2:$A55&lt;42217))</f>
        <v>#REF!</v>
      </c>
      <c r="Z40" s="95" t="e">
        <f>SUMPRODUCT((Data!$C$2:$C55=$A40)*(Data!#REF!=Z$2)*(Data!$AA$2:$AA55="No")*(Data!$A$2:$A55&lt;42217))</f>
        <v>#REF!</v>
      </c>
      <c r="AA40" s="95" t="e">
        <f>SUMPRODUCT((Data!$C$2:$C55=$A40)*(Data!#REF!=AA$2)*(Data!$AA$2:$AA55="No")*(Data!$A$2:$A55&lt;42217))</f>
        <v>#REF!</v>
      </c>
      <c r="AB40" s="95" t="e">
        <f>SUMPRODUCT((Data!$C$2:$C55=$A40)*(Data!#REF!=AB$2)*(Data!$AA$2:$AA55="No")*(Data!$A$2:$A55&lt;42217))</f>
        <v>#REF!</v>
      </c>
      <c r="AC40" s="95" t="e">
        <f>SUMPRODUCT((Data!$C$2:$C55=$A40)*(Data!#REF!=AC$2)*(Data!$AA$2:$AA55="No")*(Data!$A$2:$A55&lt;42217))</f>
        <v>#REF!</v>
      </c>
      <c r="AD40" s="96" t="s">
        <v>17</v>
      </c>
      <c r="AE40" s="96" t="s">
        <v>17</v>
      </c>
      <c r="AF40" s="96" t="s">
        <v>17</v>
      </c>
      <c r="AG40" s="96" t="s">
        <v>17</v>
      </c>
      <c r="AH40" s="96" t="s">
        <v>17</v>
      </c>
      <c r="AI40" s="96" t="s">
        <v>17</v>
      </c>
      <c r="AJ40" s="96" t="s">
        <v>28</v>
      </c>
      <c r="AK40" s="97">
        <v>3825657</v>
      </c>
      <c r="AL40" s="97">
        <v>3837083</v>
      </c>
      <c r="AM40" s="97">
        <v>3867644</v>
      </c>
      <c r="AN40" s="97">
        <v>3898684</v>
      </c>
      <c r="AO40" s="97">
        <v>3928068</v>
      </c>
      <c r="AP40" s="97">
        <v>3970239</v>
      </c>
      <c r="AQ40" s="98">
        <f t="shared" si="0"/>
        <v>2315972.75</v>
      </c>
      <c r="AR40" s="99" t="e">
        <f t="shared" si="1"/>
        <v>#REF!</v>
      </c>
      <c r="AS40" s="99" t="e">
        <f t="shared" si="2"/>
        <v>#REF!</v>
      </c>
      <c r="AT40" s="99" t="e">
        <f t="shared" si="3"/>
        <v>#REF!</v>
      </c>
      <c r="AU40" s="99" t="e">
        <f t="shared" si="4"/>
        <v>#REF!</v>
      </c>
      <c r="AV40" s="99" t="e">
        <f t="shared" si="5"/>
        <v>#REF!</v>
      </c>
      <c r="AW40" s="99" t="e">
        <f t="shared" si="6"/>
        <v>#REF!</v>
      </c>
      <c r="AX40" s="99">
        <f t="shared" si="7"/>
        <v>2315972.75</v>
      </c>
      <c r="AY40" s="99">
        <f t="shared" si="8"/>
        <v>23327375</v>
      </c>
      <c r="AZ40" s="99">
        <f t="shared" si="9"/>
        <v>25643347.75</v>
      </c>
      <c r="BA40" s="100" t="e">
        <f t="shared" ref="BA40:BC40" si="47">(AT40/$AZ40)*100000000</f>
        <v>#REF!</v>
      </c>
      <c r="BB40" s="100" t="e">
        <f t="shared" si="47"/>
        <v>#REF!</v>
      </c>
      <c r="BC40" s="100" t="e">
        <f t="shared" si="47"/>
        <v>#REF!</v>
      </c>
    </row>
    <row r="41" spans="1:55" ht="12">
      <c r="A41" s="91" t="s">
        <v>156</v>
      </c>
      <c r="B41" s="92" t="e">
        <f>SUMPRODUCT((Data!$C$2:$C55=$A41)*(Data!#REF!=B$2)*(Data!$A$2:$A55&lt;42217))</f>
        <v>#REF!</v>
      </c>
      <c r="C41" s="92" t="e">
        <f>SUMPRODUCT((Data!$C$2:$C55=$A41)*(Data!#REF!=C$2)*(Data!$A$2:$A55&lt;42217))</f>
        <v>#REF!</v>
      </c>
      <c r="D41" s="92" t="e">
        <f>SUMPRODUCT((Data!$C$2:$C55=$A41)*(Data!#REF!=D$2)*(Data!$A$2:$A55&lt;42217))</f>
        <v>#REF!</v>
      </c>
      <c r="E41" s="92" t="e">
        <f>SUMPRODUCT((Data!$C$2:$C55=$A41)*(Data!#REF!=E$2)*(Data!$A$2:$A55&lt;42217))</f>
        <v>#REF!</v>
      </c>
      <c r="F41" s="92" t="e">
        <f>SUMPRODUCT((Data!$C$2:$C55=$A41)*(Data!#REF!=F$2)*(Data!$A$2:$A55&lt;42217))</f>
        <v>#REF!</v>
      </c>
      <c r="G41" s="92" t="e">
        <f>SUMPRODUCT((Data!$C$2:$C55=$A41)*(Data!#REF!=G$2)*(Data!$A$2:$A55&lt;42217))</f>
        <v>#REF!</v>
      </c>
      <c r="H41" s="92" t="e">
        <f>SUMPRODUCT((Data!$C$2:$C55=$A41)*(Data!#REF!=H$2)*(Data!$A$2:$A55&lt;42217))</f>
        <v>#REF!</v>
      </c>
      <c r="I41" s="93" t="e">
        <f>SUMPRODUCT((Data!$C$2:$C55=$A41)*(Data!#REF!=I$2)*(Data!$AI$2:$AI55="Yes")*(Data!$A$2:$A55&lt;42217))</f>
        <v>#REF!</v>
      </c>
      <c r="J41" s="93" t="e">
        <f>SUMPRODUCT((Data!$C$2:$C55=$A41)*(Data!#REF!=J$2)*(Data!$AI$2:$AI55="Yes")*(Data!$A$2:$A55&lt;42217))</f>
        <v>#REF!</v>
      </c>
      <c r="K41" s="93" t="e">
        <f>SUMPRODUCT((Data!$C$2:$C55=$A41)*(Data!#REF!=K$2)*(Data!$AI$2:$AI55="Yes")*(Data!$A$2:$A55&lt;42217))</f>
        <v>#REF!</v>
      </c>
      <c r="L41" s="93" t="e">
        <f>SUMPRODUCT((Data!$C$2:$C55=$A41)*(Data!#REF!=L$2)*(Data!$AI$2:$AI55="Yes")*(Data!$A$2:$A55&lt;42217))</f>
        <v>#REF!</v>
      </c>
      <c r="M41" s="93" t="e">
        <f>SUMPRODUCT((Data!$C$2:$C55=$A41)*(Data!#REF!=M$2)*(Data!$AI$2:$AI55="Yes")*(Data!$A$2:$A55&lt;42217))</f>
        <v>#REF!</v>
      </c>
      <c r="N41" s="93" t="e">
        <f>SUMPRODUCT((Data!$C$2:$C55=$A41)*(Data!#REF!=N$2)*(Data!$AI$2:$AI55="Yes")*(Data!$A$2:$A55&lt;42217))</f>
        <v>#REF!</v>
      </c>
      <c r="O41" s="93" t="e">
        <f>SUMPRODUCT((Data!$C$2:$C55=$A41)*(Data!#REF!=O$2)*(Data!$AI$2:$AI55="Yes")*(Data!$A$2:$A55&lt;42217))</f>
        <v>#REF!</v>
      </c>
      <c r="P41" s="94" t="e">
        <f>SUMPRODUCT((Data!$C$2:$C55=$A41)*(Data!#REF!=P$2)*(Data!$AA$2:$AA55="Yes")*(Data!$A$2:$A55&lt;42217))</f>
        <v>#REF!</v>
      </c>
      <c r="Q41" s="94" t="e">
        <f>SUMPRODUCT((Data!$C$2:$C55=$A41)*(Data!#REF!=Q$2)*(Data!$AA$2:$AA55="Yes")*(Data!$A$2:$A55&lt;42217))</f>
        <v>#REF!</v>
      </c>
      <c r="R41" s="94" t="e">
        <f>SUMPRODUCT((Data!$C$2:$C55=$A41)*(Data!#REF!=R$2)*(Data!$AA$2:$AA55="Yes")*(Data!$A$2:$A55&lt;42217))</f>
        <v>#REF!</v>
      </c>
      <c r="S41" s="94" t="e">
        <f>SUMPRODUCT((Data!$C$2:$C55=$A41)*(Data!#REF!=S$2)*(Data!$AA$2:$AA55="Yes")*(Data!$A$2:$A55&lt;42217))</f>
        <v>#REF!</v>
      </c>
      <c r="T41" s="94" t="e">
        <f>SUMPRODUCT((Data!$C$2:$C55=$A41)*(Data!#REF!=T$2)*(Data!$AA$2:$AA55="Yes")*(Data!$A$2:$A55&lt;42217))</f>
        <v>#REF!</v>
      </c>
      <c r="U41" s="94" t="e">
        <f>SUMPRODUCT((Data!$C$2:$C55=$A41)*(Data!#REF!=U$2)*(Data!$AA$2:$AA55="Yes")*(Data!$A$2:$A55&lt;42217))</f>
        <v>#REF!</v>
      </c>
      <c r="V41" s="94" t="e">
        <f>SUMPRODUCT((Data!$C$2:$C55=$A41)*(Data!#REF!=V$2)*(Data!$AA$2:$AA55="Yes")*(Data!$A$2:$A55&lt;42217))</f>
        <v>#REF!</v>
      </c>
      <c r="W41" s="95" t="e">
        <f>SUMPRODUCT((Data!$C$2:$C55=$A41)*(Data!#REF!=W$2)*(Data!$AA$2:$AA55="No")*(Data!$A$2:$A55&lt;42217))</f>
        <v>#REF!</v>
      </c>
      <c r="X41" s="95" t="e">
        <f>SUMPRODUCT((Data!$C$2:$C55=$A41)*(Data!#REF!=X$2)*(Data!$AA$2:$AA55="No")*(Data!$A$2:$A55&lt;42217))</f>
        <v>#REF!</v>
      </c>
      <c r="Y41" s="95" t="e">
        <f>SUMPRODUCT((Data!$C$2:$C55=$A41)*(Data!#REF!=Y$2)*(Data!$AA$2:$AA55="No")*(Data!$A$2:$A55&lt;42217))</f>
        <v>#REF!</v>
      </c>
      <c r="Z41" s="95" t="e">
        <f>SUMPRODUCT((Data!$C$2:$C55=$A41)*(Data!#REF!=Z$2)*(Data!$AA$2:$AA55="No")*(Data!$A$2:$A55&lt;42217))</f>
        <v>#REF!</v>
      </c>
      <c r="AA41" s="95" t="e">
        <f>SUMPRODUCT((Data!$C$2:$C55=$A41)*(Data!#REF!=AA$2)*(Data!$AA$2:$AA55="No")*(Data!$A$2:$A55&lt;42217))</f>
        <v>#REF!</v>
      </c>
      <c r="AB41" s="95" t="e">
        <f>SUMPRODUCT((Data!$C$2:$C55=$A41)*(Data!#REF!=AB$2)*(Data!$AA$2:$AA55="No")*(Data!$A$2:$A55&lt;42217))</f>
        <v>#REF!</v>
      </c>
      <c r="AC41" s="95" t="e">
        <f>SUMPRODUCT((Data!$C$2:$C55=$A41)*(Data!#REF!=AC$2)*(Data!$AA$2:$AA55="No")*(Data!$A$2:$A55&lt;42217))</f>
        <v>#REF!</v>
      </c>
      <c r="AD41" s="96" t="s">
        <v>28</v>
      </c>
      <c r="AE41" s="96" t="s">
        <v>28</v>
      </c>
      <c r="AF41" s="96" t="s">
        <v>28</v>
      </c>
      <c r="AG41" s="96" t="s">
        <v>28</v>
      </c>
      <c r="AH41" s="96" t="s">
        <v>28</v>
      </c>
      <c r="AI41" s="96" t="s">
        <v>28</v>
      </c>
      <c r="AJ41" s="96" t="s">
        <v>28</v>
      </c>
      <c r="AK41" s="97">
        <v>12604767</v>
      </c>
      <c r="AL41" s="97">
        <v>12711077</v>
      </c>
      <c r="AM41" s="97">
        <v>12743995</v>
      </c>
      <c r="AN41" s="97">
        <v>12770043</v>
      </c>
      <c r="AO41" s="97">
        <v>12781296</v>
      </c>
      <c r="AP41" s="97">
        <v>12787209</v>
      </c>
      <c r="AQ41" s="98">
        <f t="shared" si="0"/>
        <v>7459205.25</v>
      </c>
      <c r="AR41" s="99" t="e">
        <f t="shared" si="1"/>
        <v>#REF!</v>
      </c>
      <c r="AS41" s="99">
        <f t="shared" si="2"/>
        <v>0</v>
      </c>
      <c r="AT41" s="99" t="e">
        <f t="shared" si="3"/>
        <v>#REF!</v>
      </c>
      <c r="AU41" s="99" t="e">
        <f t="shared" si="4"/>
        <v>#REF!</v>
      </c>
      <c r="AV41" s="99" t="e">
        <f t="shared" si="5"/>
        <v>#REF!</v>
      </c>
      <c r="AW41" s="99" t="e">
        <f t="shared" si="6"/>
        <v>#REF!</v>
      </c>
      <c r="AX41" s="99">
        <f t="shared" si="7"/>
        <v>83857592.25</v>
      </c>
      <c r="AY41" s="99">
        <f t="shared" si="8"/>
        <v>0</v>
      </c>
      <c r="AZ41" s="99">
        <f t="shared" si="9"/>
        <v>83857592.25</v>
      </c>
      <c r="BA41" s="100" t="e">
        <f t="shared" ref="BA41:BC41" si="48">(AT41/$AZ41)*100000000</f>
        <v>#REF!</v>
      </c>
      <c r="BB41" s="100" t="e">
        <f t="shared" si="48"/>
        <v>#REF!</v>
      </c>
      <c r="BC41" s="100" t="e">
        <f t="shared" si="48"/>
        <v>#REF!</v>
      </c>
    </row>
    <row r="42" spans="1:55" ht="12">
      <c r="A42" s="91" t="s">
        <v>163</v>
      </c>
      <c r="B42" s="92" t="e">
        <f>SUMPRODUCT((Data!$C$2:$C55=$A42)*(Data!#REF!=B$2)*(Data!$A$2:$A55&lt;42217))</f>
        <v>#REF!</v>
      </c>
      <c r="C42" s="92" t="e">
        <f>SUMPRODUCT((Data!$C$2:$C55=$A42)*(Data!#REF!=C$2)*(Data!$A$2:$A55&lt;42217))</f>
        <v>#REF!</v>
      </c>
      <c r="D42" s="92" t="e">
        <f>SUMPRODUCT((Data!$C$2:$C55=$A42)*(Data!#REF!=D$2)*(Data!$A$2:$A55&lt;42217))</f>
        <v>#REF!</v>
      </c>
      <c r="E42" s="92" t="e">
        <f>SUMPRODUCT((Data!$C$2:$C55=$A42)*(Data!#REF!=E$2)*(Data!$A$2:$A55&lt;42217))</f>
        <v>#REF!</v>
      </c>
      <c r="F42" s="92" t="e">
        <f>SUMPRODUCT((Data!$C$2:$C55=$A42)*(Data!#REF!=F$2)*(Data!$A$2:$A55&lt;42217))</f>
        <v>#REF!</v>
      </c>
      <c r="G42" s="92" t="e">
        <f>SUMPRODUCT((Data!$C$2:$C55=$A42)*(Data!#REF!=G$2)*(Data!$A$2:$A55&lt;42217))</f>
        <v>#REF!</v>
      </c>
      <c r="H42" s="92" t="e">
        <f>SUMPRODUCT((Data!$C$2:$C55=$A42)*(Data!#REF!=H$2)*(Data!$A$2:$A55&lt;42217))</f>
        <v>#REF!</v>
      </c>
      <c r="I42" s="93" t="e">
        <f>SUMPRODUCT((Data!$C$2:$C55=$A42)*(Data!#REF!=I$2)*(Data!$AI$2:$AI55="Yes")*(Data!$A$2:$A55&lt;42217))</f>
        <v>#REF!</v>
      </c>
      <c r="J42" s="93" t="e">
        <f>SUMPRODUCT((Data!$C$2:$C55=$A42)*(Data!#REF!=J$2)*(Data!$AI$2:$AI55="Yes")*(Data!$A$2:$A55&lt;42217))</f>
        <v>#REF!</v>
      </c>
      <c r="K42" s="93" t="e">
        <f>SUMPRODUCT((Data!$C$2:$C55=$A42)*(Data!#REF!=K$2)*(Data!$AI$2:$AI55="Yes")*(Data!$A$2:$A55&lt;42217))</f>
        <v>#REF!</v>
      </c>
      <c r="L42" s="93" t="e">
        <f>SUMPRODUCT((Data!$C$2:$C55=$A42)*(Data!#REF!=L$2)*(Data!$AI$2:$AI55="Yes")*(Data!$A$2:$A55&lt;42217))</f>
        <v>#REF!</v>
      </c>
      <c r="M42" s="93" t="e">
        <f>SUMPRODUCT((Data!$C$2:$C55=$A42)*(Data!#REF!=M$2)*(Data!$AI$2:$AI55="Yes")*(Data!$A$2:$A55&lt;42217))</f>
        <v>#REF!</v>
      </c>
      <c r="N42" s="93" t="e">
        <f>SUMPRODUCT((Data!$C$2:$C55=$A42)*(Data!#REF!=N$2)*(Data!$AI$2:$AI55="Yes")*(Data!$A$2:$A55&lt;42217))</f>
        <v>#REF!</v>
      </c>
      <c r="O42" s="93" t="e">
        <f>SUMPRODUCT((Data!$C$2:$C55=$A42)*(Data!#REF!=O$2)*(Data!$AI$2:$AI55="Yes")*(Data!$A$2:$A55&lt;42217))</f>
        <v>#REF!</v>
      </c>
      <c r="P42" s="94" t="e">
        <f>SUMPRODUCT((Data!$C$2:$C55=$A42)*(Data!#REF!=P$2)*(Data!$AA$2:$AA55="Yes")*(Data!$A$2:$A55&lt;42217))</f>
        <v>#REF!</v>
      </c>
      <c r="Q42" s="94" t="e">
        <f>SUMPRODUCT((Data!$C$2:$C55=$A42)*(Data!#REF!=Q$2)*(Data!$AA$2:$AA55="Yes")*(Data!$A$2:$A55&lt;42217))</f>
        <v>#REF!</v>
      </c>
      <c r="R42" s="94" t="e">
        <f>SUMPRODUCT((Data!$C$2:$C55=$A42)*(Data!#REF!=R$2)*(Data!$AA$2:$AA55="Yes")*(Data!$A$2:$A55&lt;42217))</f>
        <v>#REF!</v>
      </c>
      <c r="S42" s="94" t="e">
        <f>SUMPRODUCT((Data!$C$2:$C55=$A42)*(Data!#REF!=S$2)*(Data!$AA$2:$AA55="Yes")*(Data!$A$2:$A55&lt;42217))</f>
        <v>#REF!</v>
      </c>
      <c r="T42" s="94" t="e">
        <f>SUMPRODUCT((Data!$C$2:$C55=$A42)*(Data!#REF!=T$2)*(Data!$AA$2:$AA55="Yes")*(Data!$A$2:$A55&lt;42217))</f>
        <v>#REF!</v>
      </c>
      <c r="U42" s="94" t="e">
        <f>SUMPRODUCT((Data!$C$2:$C55=$A42)*(Data!#REF!=U$2)*(Data!$AA$2:$AA55="Yes")*(Data!$A$2:$A55&lt;42217))</f>
        <v>#REF!</v>
      </c>
      <c r="V42" s="94" t="e">
        <f>SUMPRODUCT((Data!$C$2:$C55=$A42)*(Data!#REF!=V$2)*(Data!$AA$2:$AA55="Yes")*(Data!$A$2:$A55&lt;42217))</f>
        <v>#REF!</v>
      </c>
      <c r="W42" s="95" t="e">
        <f>SUMPRODUCT((Data!$C$2:$C55=$A42)*(Data!#REF!=W$2)*(Data!$AA$2:$AA55="No")*(Data!$A$2:$A55&lt;42217))</f>
        <v>#REF!</v>
      </c>
      <c r="X42" s="95" t="e">
        <f>SUMPRODUCT((Data!$C$2:$C55=$A42)*(Data!#REF!=X$2)*(Data!$AA$2:$AA55="No")*(Data!$A$2:$A55&lt;42217))</f>
        <v>#REF!</v>
      </c>
      <c r="Y42" s="95" t="e">
        <f>SUMPRODUCT((Data!$C$2:$C55=$A42)*(Data!#REF!=Y$2)*(Data!$AA$2:$AA55="No")*(Data!$A$2:$A55&lt;42217))</f>
        <v>#REF!</v>
      </c>
      <c r="Z42" s="95" t="e">
        <f>SUMPRODUCT((Data!$C$2:$C55=$A42)*(Data!#REF!=Z$2)*(Data!$AA$2:$AA55="No")*(Data!$A$2:$A55&lt;42217))</f>
        <v>#REF!</v>
      </c>
      <c r="AA42" s="95" t="e">
        <f>SUMPRODUCT((Data!$C$2:$C55=$A42)*(Data!#REF!=AA$2)*(Data!$AA$2:$AA55="No")*(Data!$A$2:$A55&lt;42217))</f>
        <v>#REF!</v>
      </c>
      <c r="AB42" s="95" t="e">
        <f>SUMPRODUCT((Data!$C$2:$C55=$A42)*(Data!#REF!=AB$2)*(Data!$AA$2:$AA55="No")*(Data!$A$2:$A55&lt;42217))</f>
        <v>#REF!</v>
      </c>
      <c r="AC42" s="95" t="e">
        <f>SUMPRODUCT((Data!$C$2:$C55=$A42)*(Data!#REF!=AC$2)*(Data!$AA$2:$AA55="No")*(Data!$A$2:$A55&lt;42217))</f>
        <v>#REF!</v>
      </c>
      <c r="AD42" s="96" t="s">
        <v>28</v>
      </c>
      <c r="AE42" s="96" t="s">
        <v>28</v>
      </c>
      <c r="AF42" s="96" t="s">
        <v>28</v>
      </c>
      <c r="AG42" s="96" t="s">
        <v>28</v>
      </c>
      <c r="AH42" s="96" t="s">
        <v>28</v>
      </c>
      <c r="AI42" s="96" t="s">
        <v>28</v>
      </c>
      <c r="AJ42" s="96" t="s">
        <v>28</v>
      </c>
      <c r="AK42" s="97">
        <v>1053209</v>
      </c>
      <c r="AL42" s="97">
        <v>1053078</v>
      </c>
      <c r="AM42" s="97">
        <v>1052020</v>
      </c>
      <c r="AN42" s="97">
        <v>1052637</v>
      </c>
      <c r="AO42" s="97">
        <v>1053354</v>
      </c>
      <c r="AP42" s="97">
        <v>1055173</v>
      </c>
      <c r="AQ42" s="98">
        <f t="shared" si="0"/>
        <v>615517.58333333337</v>
      </c>
      <c r="AR42" s="99" t="e">
        <f t="shared" si="1"/>
        <v>#REF!</v>
      </c>
      <c r="AS42" s="99">
        <f t="shared" si="2"/>
        <v>0</v>
      </c>
      <c r="AT42" s="99" t="e">
        <f t="shared" si="3"/>
        <v>#REF!</v>
      </c>
      <c r="AU42" s="99" t="e">
        <f t="shared" si="4"/>
        <v>#REF!</v>
      </c>
      <c r="AV42" s="99" t="e">
        <f t="shared" si="5"/>
        <v>#REF!</v>
      </c>
      <c r="AW42" s="99" t="e">
        <f t="shared" si="6"/>
        <v>#REF!</v>
      </c>
      <c r="AX42" s="99">
        <f t="shared" si="7"/>
        <v>6934988.583333333</v>
      </c>
      <c r="AY42" s="99">
        <f t="shared" si="8"/>
        <v>0</v>
      </c>
      <c r="AZ42" s="99">
        <f t="shared" si="9"/>
        <v>6934988.583333333</v>
      </c>
      <c r="BA42" s="100" t="e">
        <f t="shared" ref="BA42:BC42" si="49">(AT42/$AZ42)*100000000</f>
        <v>#REF!</v>
      </c>
      <c r="BB42" s="100" t="e">
        <f t="shared" si="49"/>
        <v>#REF!</v>
      </c>
      <c r="BC42" s="100" t="e">
        <f t="shared" si="49"/>
        <v>#REF!</v>
      </c>
    </row>
    <row r="43" spans="1:55" ht="12">
      <c r="A43" s="91" t="s">
        <v>22</v>
      </c>
      <c r="B43" s="92" t="e">
        <f>SUMPRODUCT((Data!$C$2:$C55=$A43)*(Data!#REF!=B$2)*(Data!$A$2:$A55&lt;42217))</f>
        <v>#REF!</v>
      </c>
      <c r="C43" s="92" t="e">
        <f>SUMPRODUCT((Data!$C$2:$C55=$A43)*(Data!#REF!=C$2)*(Data!$A$2:$A55&lt;42217))</f>
        <v>#REF!</v>
      </c>
      <c r="D43" s="92" t="e">
        <f>SUMPRODUCT((Data!$C$2:$C55=$A43)*(Data!#REF!=D$2)*(Data!$A$2:$A55&lt;42217))</f>
        <v>#REF!</v>
      </c>
      <c r="E43" s="92" t="e">
        <f>SUMPRODUCT((Data!$C$2:$C55=$A43)*(Data!#REF!=E$2)*(Data!$A$2:$A55&lt;42217))</f>
        <v>#REF!</v>
      </c>
      <c r="F43" s="92" t="e">
        <f>SUMPRODUCT((Data!$C$2:$C55=$A43)*(Data!#REF!=F$2)*(Data!$A$2:$A55&lt;42217))</f>
        <v>#REF!</v>
      </c>
      <c r="G43" s="92" t="e">
        <f>SUMPRODUCT((Data!$C$2:$C55=$A43)*(Data!#REF!=G$2)*(Data!$A$2:$A55&lt;42217))</f>
        <v>#REF!</v>
      </c>
      <c r="H43" s="92" t="e">
        <f>SUMPRODUCT((Data!$C$2:$C55=$A43)*(Data!#REF!=H$2)*(Data!$A$2:$A55&lt;42217))</f>
        <v>#REF!</v>
      </c>
      <c r="I43" s="93" t="e">
        <f>SUMPRODUCT((Data!$C$2:$C55=$A43)*(Data!#REF!=I$2)*(Data!$AI$2:$AI55="Yes")*(Data!$A$2:$A55&lt;42217))</f>
        <v>#REF!</v>
      </c>
      <c r="J43" s="93" t="e">
        <f>SUMPRODUCT((Data!$C$2:$C55=$A43)*(Data!#REF!=J$2)*(Data!$AI$2:$AI55="Yes")*(Data!$A$2:$A55&lt;42217))</f>
        <v>#REF!</v>
      </c>
      <c r="K43" s="93" t="e">
        <f>SUMPRODUCT((Data!$C$2:$C55=$A43)*(Data!#REF!=K$2)*(Data!$AI$2:$AI55="Yes")*(Data!$A$2:$A55&lt;42217))</f>
        <v>#REF!</v>
      </c>
      <c r="L43" s="93" t="e">
        <f>SUMPRODUCT((Data!$C$2:$C55=$A43)*(Data!#REF!=L$2)*(Data!$AI$2:$AI55="Yes")*(Data!$A$2:$A55&lt;42217))</f>
        <v>#REF!</v>
      </c>
      <c r="M43" s="93" t="e">
        <f>SUMPRODUCT((Data!$C$2:$C55=$A43)*(Data!#REF!=M$2)*(Data!$AI$2:$AI55="Yes")*(Data!$A$2:$A55&lt;42217))</f>
        <v>#REF!</v>
      </c>
      <c r="N43" s="93" t="e">
        <f>SUMPRODUCT((Data!$C$2:$C55=$A43)*(Data!#REF!=N$2)*(Data!$AI$2:$AI55="Yes")*(Data!$A$2:$A55&lt;42217))</f>
        <v>#REF!</v>
      </c>
      <c r="O43" s="93" t="e">
        <f>SUMPRODUCT((Data!$C$2:$C55=$A43)*(Data!#REF!=O$2)*(Data!$AI$2:$AI55="Yes")*(Data!$A$2:$A55&lt;42217))</f>
        <v>#REF!</v>
      </c>
      <c r="P43" s="94" t="e">
        <f>SUMPRODUCT((Data!$C$2:$C55=$A43)*(Data!#REF!=P$2)*(Data!$AA$2:$AA55="Yes")*(Data!$A$2:$A55&lt;42217))</f>
        <v>#REF!</v>
      </c>
      <c r="Q43" s="94" t="e">
        <f>SUMPRODUCT((Data!$C$2:$C55=$A43)*(Data!#REF!=Q$2)*(Data!$AA$2:$AA55="Yes")*(Data!$A$2:$A55&lt;42217))</f>
        <v>#REF!</v>
      </c>
      <c r="R43" s="94" t="e">
        <f>SUMPRODUCT((Data!$C$2:$C55=$A43)*(Data!#REF!=R$2)*(Data!$AA$2:$AA55="Yes")*(Data!$A$2:$A55&lt;42217))</f>
        <v>#REF!</v>
      </c>
      <c r="S43" s="94" t="e">
        <f>SUMPRODUCT((Data!$C$2:$C55=$A43)*(Data!#REF!=S$2)*(Data!$AA$2:$AA55="Yes")*(Data!$A$2:$A55&lt;42217))</f>
        <v>#REF!</v>
      </c>
      <c r="T43" s="94" t="e">
        <f>SUMPRODUCT((Data!$C$2:$C55=$A43)*(Data!#REF!=T$2)*(Data!$AA$2:$AA55="Yes")*(Data!$A$2:$A55&lt;42217))</f>
        <v>#REF!</v>
      </c>
      <c r="U43" s="94" t="e">
        <f>SUMPRODUCT((Data!$C$2:$C55=$A43)*(Data!#REF!=U$2)*(Data!$AA$2:$AA55="Yes")*(Data!$A$2:$A55&lt;42217))</f>
        <v>#REF!</v>
      </c>
      <c r="V43" s="94" t="e">
        <f>SUMPRODUCT((Data!$C$2:$C55=$A43)*(Data!#REF!=V$2)*(Data!$AA$2:$AA55="Yes")*(Data!$A$2:$A55&lt;42217))</f>
        <v>#REF!</v>
      </c>
      <c r="W43" s="95" t="e">
        <f>SUMPRODUCT((Data!$C$2:$C55=$A43)*(Data!#REF!=W$2)*(Data!$AA$2:$AA55="No")*(Data!$A$2:$A55&lt;42217))</f>
        <v>#REF!</v>
      </c>
      <c r="X43" s="95" t="e">
        <f>SUMPRODUCT((Data!$C$2:$C55=$A43)*(Data!#REF!=X$2)*(Data!$AA$2:$AA55="No")*(Data!$A$2:$A55&lt;42217))</f>
        <v>#REF!</v>
      </c>
      <c r="Y43" s="95" t="e">
        <f>SUMPRODUCT((Data!$C$2:$C55=$A43)*(Data!#REF!=Y$2)*(Data!$AA$2:$AA55="No")*(Data!$A$2:$A55&lt;42217))</f>
        <v>#REF!</v>
      </c>
      <c r="Z43" s="95" t="e">
        <f>SUMPRODUCT((Data!$C$2:$C55=$A43)*(Data!#REF!=Z$2)*(Data!$AA$2:$AA55="No")*(Data!$A$2:$A55&lt;42217))</f>
        <v>#REF!</v>
      </c>
      <c r="AA43" s="95" t="e">
        <f>SUMPRODUCT((Data!$C$2:$C55=$A43)*(Data!#REF!=AA$2)*(Data!$AA$2:$AA55="No")*(Data!$A$2:$A55&lt;42217))</f>
        <v>#REF!</v>
      </c>
      <c r="AB43" s="95" t="e">
        <f>SUMPRODUCT((Data!$C$2:$C55=$A43)*(Data!#REF!=AB$2)*(Data!$AA$2:$AA55="No")*(Data!$A$2:$A55&lt;42217))</f>
        <v>#REF!</v>
      </c>
      <c r="AC43" s="95" t="e">
        <f>SUMPRODUCT((Data!$C$2:$C55=$A43)*(Data!#REF!=AC$2)*(Data!$AA$2:$AA55="No")*(Data!$A$2:$A55&lt;42217))</f>
        <v>#REF!</v>
      </c>
      <c r="AD43" s="96" t="s">
        <v>17</v>
      </c>
      <c r="AE43" s="96" t="s">
        <v>17</v>
      </c>
      <c r="AF43" s="96" t="s">
        <v>17</v>
      </c>
      <c r="AG43" s="96" t="s">
        <v>17</v>
      </c>
      <c r="AH43" s="96" t="s">
        <v>17</v>
      </c>
      <c r="AI43" s="96" t="s">
        <v>17</v>
      </c>
      <c r="AJ43" s="96" t="s">
        <v>17</v>
      </c>
      <c r="AK43" s="97">
        <v>4561242</v>
      </c>
      <c r="AL43" s="97">
        <v>4636290</v>
      </c>
      <c r="AM43" s="97">
        <v>4673054</v>
      </c>
      <c r="AN43" s="97">
        <v>4722621</v>
      </c>
      <c r="AO43" s="97">
        <v>4771929</v>
      </c>
      <c r="AP43" s="97">
        <v>4832482</v>
      </c>
      <c r="AQ43" s="98">
        <f t="shared" si="0"/>
        <v>2818947.8333333335</v>
      </c>
      <c r="AR43" s="99">
        <f t="shared" si="1"/>
        <v>0</v>
      </c>
      <c r="AS43" s="99" t="e">
        <f t="shared" si="2"/>
        <v>#REF!</v>
      </c>
      <c r="AT43" s="99" t="e">
        <f t="shared" si="3"/>
        <v>#REF!</v>
      </c>
      <c r="AU43" s="99" t="e">
        <f t="shared" si="4"/>
        <v>#REF!</v>
      </c>
      <c r="AV43" s="99" t="e">
        <f t="shared" si="5"/>
        <v>#REF!</v>
      </c>
      <c r="AW43" s="99" t="e">
        <f t="shared" si="6"/>
        <v>#REF!</v>
      </c>
      <c r="AX43" s="99">
        <f t="shared" si="7"/>
        <v>0</v>
      </c>
      <c r="AY43" s="99">
        <f t="shared" si="8"/>
        <v>31016565.833333332</v>
      </c>
      <c r="AZ43" s="99">
        <f t="shared" si="9"/>
        <v>31016565.833333332</v>
      </c>
      <c r="BA43" s="100" t="e">
        <f t="shared" ref="BA43:BC43" si="50">(AT43/$AZ43)*100000000</f>
        <v>#REF!</v>
      </c>
      <c r="BB43" s="100" t="e">
        <f t="shared" si="50"/>
        <v>#REF!</v>
      </c>
      <c r="BC43" s="100" t="e">
        <f t="shared" si="50"/>
        <v>#REF!</v>
      </c>
    </row>
    <row r="44" spans="1:55" ht="12">
      <c r="A44" s="91" t="s">
        <v>164</v>
      </c>
      <c r="B44" s="92" t="e">
        <f>SUMPRODUCT((Data!$C$2:$C55=$A44)*(Data!#REF!=B$2)*(Data!$A$2:$A55&lt;42217))</f>
        <v>#REF!</v>
      </c>
      <c r="C44" s="92" t="e">
        <f>SUMPRODUCT((Data!$C$2:$C55=$A44)*(Data!#REF!=C$2)*(Data!$A$2:$A55&lt;42217))</f>
        <v>#REF!</v>
      </c>
      <c r="D44" s="92" t="e">
        <f>SUMPRODUCT((Data!$C$2:$C55=$A44)*(Data!#REF!=D$2)*(Data!$A$2:$A55&lt;42217))</f>
        <v>#REF!</v>
      </c>
      <c r="E44" s="92" t="e">
        <f>SUMPRODUCT((Data!$C$2:$C55=$A44)*(Data!#REF!=E$2)*(Data!$A$2:$A55&lt;42217))</f>
        <v>#REF!</v>
      </c>
      <c r="F44" s="92" t="e">
        <f>SUMPRODUCT((Data!$C$2:$C55=$A44)*(Data!#REF!=F$2)*(Data!$A$2:$A55&lt;42217))</f>
        <v>#REF!</v>
      </c>
      <c r="G44" s="92" t="e">
        <f>SUMPRODUCT((Data!$C$2:$C55=$A44)*(Data!#REF!=G$2)*(Data!$A$2:$A55&lt;42217))</f>
        <v>#REF!</v>
      </c>
      <c r="H44" s="92" t="e">
        <f>SUMPRODUCT((Data!$C$2:$C55=$A44)*(Data!#REF!=H$2)*(Data!$A$2:$A55&lt;42217))</f>
        <v>#REF!</v>
      </c>
      <c r="I44" s="93" t="e">
        <f>SUMPRODUCT((Data!$C$2:$C55=$A44)*(Data!#REF!=I$2)*(Data!$AI$2:$AI55="Yes")*(Data!$A$2:$A55&lt;42217))</f>
        <v>#REF!</v>
      </c>
      <c r="J44" s="93" t="e">
        <f>SUMPRODUCT((Data!$C$2:$C55=$A44)*(Data!#REF!=J$2)*(Data!$AI$2:$AI55="Yes")*(Data!$A$2:$A55&lt;42217))</f>
        <v>#REF!</v>
      </c>
      <c r="K44" s="93" t="e">
        <f>SUMPRODUCT((Data!$C$2:$C55=$A44)*(Data!#REF!=K$2)*(Data!$AI$2:$AI55="Yes")*(Data!$A$2:$A55&lt;42217))</f>
        <v>#REF!</v>
      </c>
      <c r="L44" s="93" t="e">
        <f>SUMPRODUCT((Data!$C$2:$C55=$A44)*(Data!#REF!=L$2)*(Data!$AI$2:$AI55="Yes")*(Data!$A$2:$A55&lt;42217))</f>
        <v>#REF!</v>
      </c>
      <c r="M44" s="93" t="e">
        <f>SUMPRODUCT((Data!$C$2:$C55=$A44)*(Data!#REF!=M$2)*(Data!$AI$2:$AI55="Yes")*(Data!$A$2:$A55&lt;42217))</f>
        <v>#REF!</v>
      </c>
      <c r="N44" s="93" t="e">
        <f>SUMPRODUCT((Data!$C$2:$C55=$A44)*(Data!#REF!=N$2)*(Data!$AI$2:$AI55="Yes")*(Data!$A$2:$A55&lt;42217))</f>
        <v>#REF!</v>
      </c>
      <c r="O44" s="93" t="e">
        <f>SUMPRODUCT((Data!$C$2:$C55=$A44)*(Data!#REF!=O$2)*(Data!$AI$2:$AI55="Yes")*(Data!$A$2:$A55&lt;42217))</f>
        <v>#REF!</v>
      </c>
      <c r="P44" s="94" t="e">
        <f>SUMPRODUCT((Data!$C$2:$C55=$A44)*(Data!#REF!=P$2)*(Data!$AA$2:$AA55="Yes")*(Data!$A$2:$A55&lt;42217))</f>
        <v>#REF!</v>
      </c>
      <c r="Q44" s="94" t="e">
        <f>SUMPRODUCT((Data!$C$2:$C55=$A44)*(Data!#REF!=Q$2)*(Data!$AA$2:$AA55="Yes")*(Data!$A$2:$A55&lt;42217))</f>
        <v>#REF!</v>
      </c>
      <c r="R44" s="94" t="e">
        <f>SUMPRODUCT((Data!$C$2:$C55=$A44)*(Data!#REF!=R$2)*(Data!$AA$2:$AA55="Yes")*(Data!$A$2:$A55&lt;42217))</f>
        <v>#REF!</v>
      </c>
      <c r="S44" s="94" t="e">
        <f>SUMPRODUCT((Data!$C$2:$C55=$A44)*(Data!#REF!=S$2)*(Data!$AA$2:$AA55="Yes")*(Data!$A$2:$A55&lt;42217))</f>
        <v>#REF!</v>
      </c>
      <c r="T44" s="94" t="e">
        <f>SUMPRODUCT((Data!$C$2:$C55=$A44)*(Data!#REF!=T$2)*(Data!$AA$2:$AA55="Yes")*(Data!$A$2:$A55&lt;42217))</f>
        <v>#REF!</v>
      </c>
      <c r="U44" s="94" t="e">
        <f>SUMPRODUCT((Data!$C$2:$C55=$A44)*(Data!#REF!=U$2)*(Data!$AA$2:$AA55="Yes")*(Data!$A$2:$A55&lt;42217))</f>
        <v>#REF!</v>
      </c>
      <c r="V44" s="94" t="e">
        <f>SUMPRODUCT((Data!$C$2:$C55=$A44)*(Data!#REF!=V$2)*(Data!$AA$2:$AA55="Yes")*(Data!$A$2:$A55&lt;42217))</f>
        <v>#REF!</v>
      </c>
      <c r="W44" s="95" t="e">
        <f>SUMPRODUCT((Data!$C$2:$C55=$A44)*(Data!#REF!=W$2)*(Data!$AA$2:$AA55="No")*(Data!$A$2:$A55&lt;42217))</f>
        <v>#REF!</v>
      </c>
      <c r="X44" s="95" t="e">
        <f>SUMPRODUCT((Data!$C$2:$C55=$A44)*(Data!#REF!=X$2)*(Data!$AA$2:$AA55="No")*(Data!$A$2:$A55&lt;42217))</f>
        <v>#REF!</v>
      </c>
      <c r="Y44" s="95" t="e">
        <f>SUMPRODUCT((Data!$C$2:$C55=$A44)*(Data!#REF!=Y$2)*(Data!$AA$2:$AA55="No")*(Data!$A$2:$A55&lt;42217))</f>
        <v>#REF!</v>
      </c>
      <c r="Z44" s="95" t="e">
        <f>SUMPRODUCT((Data!$C$2:$C55=$A44)*(Data!#REF!=Z$2)*(Data!$AA$2:$AA55="No")*(Data!$A$2:$A55&lt;42217))</f>
        <v>#REF!</v>
      </c>
      <c r="AA44" s="95" t="e">
        <f>SUMPRODUCT((Data!$C$2:$C55=$A44)*(Data!#REF!=AA$2)*(Data!$AA$2:$AA55="No")*(Data!$A$2:$A55&lt;42217))</f>
        <v>#REF!</v>
      </c>
      <c r="AB44" s="95" t="e">
        <f>SUMPRODUCT((Data!$C$2:$C55=$A44)*(Data!#REF!=AB$2)*(Data!$AA$2:$AA55="No")*(Data!$A$2:$A55&lt;42217))</f>
        <v>#REF!</v>
      </c>
      <c r="AC44" s="95" t="e">
        <f>SUMPRODUCT((Data!$C$2:$C55=$A44)*(Data!#REF!=AC$2)*(Data!$AA$2:$AA55="No")*(Data!$A$2:$A55&lt;42217))</f>
        <v>#REF!</v>
      </c>
      <c r="AD44" s="96" t="s">
        <v>17</v>
      </c>
      <c r="AE44" s="96" t="s">
        <v>17</v>
      </c>
      <c r="AF44" s="96" t="s">
        <v>17</v>
      </c>
      <c r="AG44" s="96" t="s">
        <v>17</v>
      </c>
      <c r="AH44" s="96" t="s">
        <v>17</v>
      </c>
      <c r="AI44" s="96" t="s">
        <v>17</v>
      </c>
      <c r="AJ44" s="96" t="s">
        <v>17</v>
      </c>
      <c r="AK44" s="97">
        <v>812383</v>
      </c>
      <c r="AL44" s="97">
        <v>816192</v>
      </c>
      <c r="AM44" s="97">
        <v>824171</v>
      </c>
      <c r="AN44" s="97">
        <v>834504</v>
      </c>
      <c r="AO44" s="97">
        <v>845510</v>
      </c>
      <c r="AP44" s="97">
        <v>853175</v>
      </c>
      <c r="AQ44" s="98">
        <f t="shared" si="0"/>
        <v>497685.41666666669</v>
      </c>
      <c r="AR44" s="99">
        <f t="shared" si="1"/>
        <v>0</v>
      </c>
      <c r="AS44" s="99" t="e">
        <f t="shared" si="2"/>
        <v>#REF!</v>
      </c>
      <c r="AT44" s="99" t="e">
        <f t="shared" si="3"/>
        <v>#REF!</v>
      </c>
      <c r="AU44" s="99" t="e">
        <f t="shared" si="4"/>
        <v>#REF!</v>
      </c>
      <c r="AV44" s="99" t="e">
        <f t="shared" si="5"/>
        <v>#REF!</v>
      </c>
      <c r="AW44" s="99" t="e">
        <f t="shared" si="6"/>
        <v>#REF!</v>
      </c>
      <c r="AX44" s="99">
        <f t="shared" si="7"/>
        <v>0</v>
      </c>
      <c r="AY44" s="99">
        <f t="shared" si="8"/>
        <v>5483620.416666667</v>
      </c>
      <c r="AZ44" s="99">
        <f t="shared" si="9"/>
        <v>5483620.416666667</v>
      </c>
      <c r="BA44" s="100" t="e">
        <f t="shared" ref="BA44:BC44" si="51">(AT44/$AZ44)*100000000</f>
        <v>#REF!</v>
      </c>
      <c r="BB44" s="100" t="e">
        <f t="shared" si="51"/>
        <v>#REF!</v>
      </c>
      <c r="BC44" s="100" t="e">
        <f t="shared" si="51"/>
        <v>#REF!</v>
      </c>
    </row>
    <row r="45" spans="1:55" ht="12">
      <c r="A45" s="91" t="s">
        <v>12</v>
      </c>
      <c r="B45" s="92" t="e">
        <f>SUMPRODUCT((Data!$C$2:$C55=$A45)*(Data!#REF!=B$2)*(Data!$A$2:$A55&lt;42217))</f>
        <v>#REF!</v>
      </c>
      <c r="C45" s="92" t="e">
        <f>SUMPRODUCT((Data!$C$2:$C55=$A45)*(Data!#REF!=C$2)*(Data!$A$2:$A55&lt;42217))</f>
        <v>#REF!</v>
      </c>
      <c r="D45" s="92" t="e">
        <f>SUMPRODUCT((Data!$C$2:$C55=$A45)*(Data!#REF!=D$2)*(Data!$A$2:$A55&lt;42217))</f>
        <v>#REF!</v>
      </c>
      <c r="E45" s="92" t="e">
        <f>SUMPRODUCT((Data!$C$2:$C55=$A45)*(Data!#REF!=E$2)*(Data!$A$2:$A55&lt;42217))</f>
        <v>#REF!</v>
      </c>
      <c r="F45" s="92" t="e">
        <f>SUMPRODUCT((Data!$C$2:$C55=$A45)*(Data!#REF!=F$2)*(Data!$A$2:$A55&lt;42217))</f>
        <v>#REF!</v>
      </c>
      <c r="G45" s="92" t="e">
        <f>SUMPRODUCT((Data!$C$2:$C55=$A45)*(Data!#REF!=G$2)*(Data!$A$2:$A55&lt;42217))</f>
        <v>#REF!</v>
      </c>
      <c r="H45" s="92" t="e">
        <f>SUMPRODUCT((Data!$C$2:$C55=$A45)*(Data!#REF!=H$2)*(Data!$A$2:$A55&lt;42217))</f>
        <v>#REF!</v>
      </c>
      <c r="I45" s="93" t="e">
        <f>SUMPRODUCT((Data!$C$2:$C55=$A45)*(Data!#REF!=I$2)*(Data!$AI$2:$AI55="Yes")*(Data!$A$2:$A55&lt;42217))</f>
        <v>#REF!</v>
      </c>
      <c r="J45" s="93" t="e">
        <f>SUMPRODUCT((Data!$C$2:$C55=$A45)*(Data!#REF!=J$2)*(Data!$AI$2:$AI55="Yes")*(Data!$A$2:$A55&lt;42217))</f>
        <v>#REF!</v>
      </c>
      <c r="K45" s="93" t="e">
        <f>SUMPRODUCT((Data!$C$2:$C55=$A45)*(Data!#REF!=K$2)*(Data!$AI$2:$AI55="Yes")*(Data!$A$2:$A55&lt;42217))</f>
        <v>#REF!</v>
      </c>
      <c r="L45" s="93" t="e">
        <f>SUMPRODUCT((Data!$C$2:$C55=$A45)*(Data!#REF!=L$2)*(Data!$AI$2:$AI55="Yes")*(Data!$A$2:$A55&lt;42217))</f>
        <v>#REF!</v>
      </c>
      <c r="M45" s="93" t="e">
        <f>SUMPRODUCT((Data!$C$2:$C55=$A45)*(Data!#REF!=M$2)*(Data!$AI$2:$AI55="Yes")*(Data!$A$2:$A55&lt;42217))</f>
        <v>#REF!</v>
      </c>
      <c r="N45" s="93" t="e">
        <f>SUMPRODUCT((Data!$C$2:$C55=$A45)*(Data!#REF!=N$2)*(Data!$AI$2:$AI55="Yes")*(Data!$A$2:$A55&lt;42217))</f>
        <v>#REF!</v>
      </c>
      <c r="O45" s="93" t="e">
        <f>SUMPRODUCT((Data!$C$2:$C55=$A45)*(Data!#REF!=O$2)*(Data!$AI$2:$AI55="Yes")*(Data!$A$2:$A55&lt;42217))</f>
        <v>#REF!</v>
      </c>
      <c r="P45" s="94" t="e">
        <f>SUMPRODUCT((Data!$C$2:$C55=$A45)*(Data!#REF!=P$2)*(Data!$AA$2:$AA55="Yes")*(Data!$A$2:$A55&lt;42217))</f>
        <v>#REF!</v>
      </c>
      <c r="Q45" s="94" t="e">
        <f>SUMPRODUCT((Data!$C$2:$C55=$A45)*(Data!#REF!=Q$2)*(Data!$AA$2:$AA55="Yes")*(Data!$A$2:$A55&lt;42217))</f>
        <v>#REF!</v>
      </c>
      <c r="R45" s="94" t="e">
        <f>SUMPRODUCT((Data!$C$2:$C55=$A45)*(Data!#REF!=R$2)*(Data!$AA$2:$AA55="Yes")*(Data!$A$2:$A55&lt;42217))</f>
        <v>#REF!</v>
      </c>
      <c r="S45" s="94" t="e">
        <f>SUMPRODUCT((Data!$C$2:$C55=$A45)*(Data!#REF!=S$2)*(Data!$AA$2:$AA55="Yes")*(Data!$A$2:$A55&lt;42217))</f>
        <v>#REF!</v>
      </c>
      <c r="T45" s="94" t="e">
        <f>SUMPRODUCT((Data!$C$2:$C55=$A45)*(Data!#REF!=T$2)*(Data!$AA$2:$AA55="Yes")*(Data!$A$2:$A55&lt;42217))</f>
        <v>#REF!</v>
      </c>
      <c r="U45" s="94" t="e">
        <f>SUMPRODUCT((Data!$C$2:$C55=$A45)*(Data!#REF!=U$2)*(Data!$AA$2:$AA55="Yes")*(Data!$A$2:$A55&lt;42217))</f>
        <v>#REF!</v>
      </c>
      <c r="V45" s="94" t="e">
        <f>SUMPRODUCT((Data!$C$2:$C55=$A45)*(Data!#REF!=V$2)*(Data!$AA$2:$AA55="Yes")*(Data!$A$2:$A55&lt;42217))</f>
        <v>#REF!</v>
      </c>
      <c r="W45" s="95" t="e">
        <f>SUMPRODUCT((Data!$C$2:$C55=$A45)*(Data!#REF!=W$2)*(Data!$AA$2:$AA55="No")*(Data!$A$2:$A55&lt;42217))</f>
        <v>#REF!</v>
      </c>
      <c r="X45" s="95" t="e">
        <f>SUMPRODUCT((Data!$C$2:$C55=$A45)*(Data!#REF!=X$2)*(Data!$AA$2:$AA55="No")*(Data!$A$2:$A55&lt;42217))</f>
        <v>#REF!</v>
      </c>
      <c r="Y45" s="95" t="e">
        <f>SUMPRODUCT((Data!$C$2:$C55=$A45)*(Data!#REF!=Y$2)*(Data!$AA$2:$AA55="No")*(Data!$A$2:$A55&lt;42217))</f>
        <v>#REF!</v>
      </c>
      <c r="Z45" s="95" t="e">
        <f>SUMPRODUCT((Data!$C$2:$C55=$A45)*(Data!#REF!=Z$2)*(Data!$AA$2:$AA55="No")*(Data!$A$2:$A55&lt;42217))</f>
        <v>#REF!</v>
      </c>
      <c r="AA45" s="95" t="e">
        <f>SUMPRODUCT((Data!$C$2:$C55=$A45)*(Data!#REF!=AA$2)*(Data!$AA$2:$AA55="No")*(Data!$A$2:$A55&lt;42217))</f>
        <v>#REF!</v>
      </c>
      <c r="AB45" s="95" t="e">
        <f>SUMPRODUCT((Data!$C$2:$C55=$A45)*(Data!#REF!=AB$2)*(Data!$AA$2:$AA55="No")*(Data!$A$2:$A55&lt;42217))</f>
        <v>#REF!</v>
      </c>
      <c r="AC45" s="95" t="e">
        <f>SUMPRODUCT((Data!$C$2:$C55=$A45)*(Data!#REF!=AC$2)*(Data!$AA$2:$AA55="No")*(Data!$A$2:$A55&lt;42217))</f>
        <v>#REF!</v>
      </c>
      <c r="AD45" s="96" t="s">
        <v>17</v>
      </c>
      <c r="AE45" s="96" t="s">
        <v>17</v>
      </c>
      <c r="AF45" s="96" t="s">
        <v>17</v>
      </c>
      <c r="AG45" s="96" t="s">
        <v>17</v>
      </c>
      <c r="AH45" s="96" t="s">
        <v>17</v>
      </c>
      <c r="AI45" s="96" t="s">
        <v>17</v>
      </c>
      <c r="AJ45" s="96" t="s">
        <v>17</v>
      </c>
      <c r="AK45" s="97">
        <v>6296254</v>
      </c>
      <c r="AL45" s="97">
        <v>6356628</v>
      </c>
      <c r="AM45" s="97">
        <v>6398389</v>
      </c>
      <c r="AN45" s="97">
        <v>6455177</v>
      </c>
      <c r="AO45" s="97">
        <v>6497269</v>
      </c>
      <c r="AP45" s="97">
        <v>6549352</v>
      </c>
      <c r="AQ45" s="98">
        <f t="shared" si="0"/>
        <v>3820455.3333333335</v>
      </c>
      <c r="AR45" s="99">
        <f t="shared" si="1"/>
        <v>0</v>
      </c>
      <c r="AS45" s="99" t="e">
        <f t="shared" si="2"/>
        <v>#REF!</v>
      </c>
      <c r="AT45" s="99" t="e">
        <f t="shared" si="3"/>
        <v>#REF!</v>
      </c>
      <c r="AU45" s="99" t="e">
        <f t="shared" si="4"/>
        <v>#REF!</v>
      </c>
      <c r="AV45" s="99" t="e">
        <f t="shared" si="5"/>
        <v>#REF!</v>
      </c>
      <c r="AW45" s="99" t="e">
        <f t="shared" si="6"/>
        <v>#REF!</v>
      </c>
      <c r="AX45" s="99">
        <f t="shared" si="7"/>
        <v>0</v>
      </c>
      <c r="AY45" s="99">
        <f t="shared" si="8"/>
        <v>42373524.333333336</v>
      </c>
      <c r="AZ45" s="99">
        <f t="shared" si="9"/>
        <v>42373524.333333336</v>
      </c>
      <c r="BA45" s="100" t="e">
        <f t="shared" ref="BA45:BC45" si="52">(AT45/$AZ45)*100000000</f>
        <v>#REF!</v>
      </c>
      <c r="BB45" s="100" t="e">
        <f t="shared" si="52"/>
        <v>#REF!</v>
      </c>
      <c r="BC45" s="100" t="e">
        <f t="shared" si="52"/>
        <v>#REF!</v>
      </c>
    </row>
    <row r="46" spans="1:55" ht="12">
      <c r="A46" s="91" t="s">
        <v>24</v>
      </c>
      <c r="B46" s="92" t="e">
        <f>SUMPRODUCT((Data!$C$2:$C55=$A46)*(Data!#REF!=B$2)*(Data!$A$2:$A55&lt;42217))</f>
        <v>#REF!</v>
      </c>
      <c r="C46" s="92" t="e">
        <f>SUMPRODUCT((Data!$C$2:$C55=$A46)*(Data!#REF!=C$2)*(Data!$A$2:$A55&lt;42217))</f>
        <v>#REF!</v>
      </c>
      <c r="D46" s="92" t="e">
        <f>SUMPRODUCT((Data!$C$2:$C55=$A46)*(Data!#REF!=D$2)*(Data!$A$2:$A55&lt;42217))</f>
        <v>#REF!</v>
      </c>
      <c r="E46" s="92" t="e">
        <f>SUMPRODUCT((Data!$C$2:$C55=$A46)*(Data!#REF!=E$2)*(Data!$A$2:$A55&lt;42217))</f>
        <v>#REF!</v>
      </c>
      <c r="F46" s="92" t="e">
        <f>SUMPRODUCT((Data!$C$2:$C55=$A46)*(Data!#REF!=F$2)*(Data!$A$2:$A55&lt;42217))</f>
        <v>#REF!</v>
      </c>
      <c r="G46" s="92" t="e">
        <f>SUMPRODUCT((Data!$C$2:$C55=$A46)*(Data!#REF!=G$2)*(Data!$A$2:$A55&lt;42217))</f>
        <v>#REF!</v>
      </c>
      <c r="H46" s="92" t="e">
        <f>SUMPRODUCT((Data!$C$2:$C55=$A46)*(Data!#REF!=H$2)*(Data!$A$2:$A55&lt;42217))</f>
        <v>#REF!</v>
      </c>
      <c r="I46" s="93" t="e">
        <f>SUMPRODUCT((Data!$C$2:$C55=$A46)*(Data!#REF!=I$2)*(Data!$AI$2:$AI55="Yes")*(Data!$A$2:$A55&lt;42217))</f>
        <v>#REF!</v>
      </c>
      <c r="J46" s="93" t="e">
        <f>SUMPRODUCT((Data!$C$2:$C55=$A46)*(Data!#REF!=J$2)*(Data!$AI$2:$AI55="Yes")*(Data!$A$2:$A55&lt;42217))</f>
        <v>#REF!</v>
      </c>
      <c r="K46" s="93" t="e">
        <f>SUMPRODUCT((Data!$C$2:$C55=$A46)*(Data!#REF!=K$2)*(Data!$AI$2:$AI55="Yes")*(Data!$A$2:$A55&lt;42217))</f>
        <v>#REF!</v>
      </c>
      <c r="L46" s="93" t="e">
        <f>SUMPRODUCT((Data!$C$2:$C55=$A46)*(Data!#REF!=L$2)*(Data!$AI$2:$AI55="Yes")*(Data!$A$2:$A55&lt;42217))</f>
        <v>#REF!</v>
      </c>
      <c r="M46" s="93" t="e">
        <f>SUMPRODUCT((Data!$C$2:$C55=$A46)*(Data!#REF!=M$2)*(Data!$AI$2:$AI55="Yes")*(Data!$A$2:$A55&lt;42217))</f>
        <v>#REF!</v>
      </c>
      <c r="N46" s="93" t="e">
        <f>SUMPRODUCT((Data!$C$2:$C55=$A46)*(Data!#REF!=N$2)*(Data!$AI$2:$AI55="Yes")*(Data!$A$2:$A55&lt;42217))</f>
        <v>#REF!</v>
      </c>
      <c r="O46" s="93" t="e">
        <f>SUMPRODUCT((Data!$C$2:$C55=$A46)*(Data!#REF!=O$2)*(Data!$AI$2:$AI55="Yes")*(Data!$A$2:$A55&lt;42217))</f>
        <v>#REF!</v>
      </c>
      <c r="P46" s="94" t="e">
        <f>SUMPRODUCT((Data!$C$2:$C55=$A46)*(Data!#REF!=P$2)*(Data!$AA$2:$AA55="Yes")*(Data!$A$2:$A55&lt;42217))</f>
        <v>#REF!</v>
      </c>
      <c r="Q46" s="94" t="e">
        <f>SUMPRODUCT((Data!$C$2:$C55=$A46)*(Data!#REF!=Q$2)*(Data!$AA$2:$AA55="Yes")*(Data!$A$2:$A55&lt;42217))</f>
        <v>#REF!</v>
      </c>
      <c r="R46" s="94" t="e">
        <f>SUMPRODUCT((Data!$C$2:$C55=$A46)*(Data!#REF!=R$2)*(Data!$AA$2:$AA55="Yes")*(Data!$A$2:$A55&lt;42217))</f>
        <v>#REF!</v>
      </c>
      <c r="S46" s="94" t="e">
        <f>SUMPRODUCT((Data!$C$2:$C55=$A46)*(Data!#REF!=S$2)*(Data!$AA$2:$AA55="Yes")*(Data!$A$2:$A55&lt;42217))</f>
        <v>#REF!</v>
      </c>
      <c r="T46" s="94" t="e">
        <f>SUMPRODUCT((Data!$C$2:$C55=$A46)*(Data!#REF!=T$2)*(Data!$AA$2:$AA55="Yes")*(Data!$A$2:$A55&lt;42217))</f>
        <v>#REF!</v>
      </c>
      <c r="U46" s="94" t="e">
        <f>SUMPRODUCT((Data!$C$2:$C55=$A46)*(Data!#REF!=U$2)*(Data!$AA$2:$AA55="Yes")*(Data!$A$2:$A55&lt;42217))</f>
        <v>#REF!</v>
      </c>
      <c r="V46" s="94" t="e">
        <f>SUMPRODUCT((Data!$C$2:$C55=$A46)*(Data!#REF!=V$2)*(Data!$AA$2:$AA55="Yes")*(Data!$A$2:$A55&lt;42217))</f>
        <v>#REF!</v>
      </c>
      <c r="W46" s="95" t="e">
        <f>SUMPRODUCT((Data!$C$2:$C55=$A46)*(Data!#REF!=W$2)*(Data!$AA$2:$AA55="No")*(Data!$A$2:$A55&lt;42217))</f>
        <v>#REF!</v>
      </c>
      <c r="X46" s="95" t="e">
        <f>SUMPRODUCT((Data!$C$2:$C55=$A46)*(Data!#REF!=X$2)*(Data!$AA$2:$AA55="No")*(Data!$A$2:$A55&lt;42217))</f>
        <v>#REF!</v>
      </c>
      <c r="Y46" s="95" t="e">
        <f>SUMPRODUCT((Data!$C$2:$C55=$A46)*(Data!#REF!=Y$2)*(Data!$AA$2:$AA55="No")*(Data!$A$2:$A55&lt;42217))</f>
        <v>#REF!</v>
      </c>
      <c r="Z46" s="95" t="e">
        <f>SUMPRODUCT((Data!$C$2:$C55=$A46)*(Data!#REF!=Z$2)*(Data!$AA$2:$AA55="No")*(Data!$A$2:$A55&lt;42217))</f>
        <v>#REF!</v>
      </c>
      <c r="AA46" s="95" t="e">
        <f>SUMPRODUCT((Data!$C$2:$C55=$A46)*(Data!#REF!=AA$2)*(Data!$AA$2:$AA55="No")*(Data!$A$2:$A55&lt;42217))</f>
        <v>#REF!</v>
      </c>
      <c r="AB46" s="95" t="e">
        <f>SUMPRODUCT((Data!$C$2:$C55=$A46)*(Data!#REF!=AB$2)*(Data!$AA$2:$AA55="No")*(Data!$A$2:$A55&lt;42217))</f>
        <v>#REF!</v>
      </c>
      <c r="AC46" s="95" t="e">
        <f>SUMPRODUCT((Data!$C$2:$C55=$A46)*(Data!#REF!=AC$2)*(Data!$AA$2:$AA55="No")*(Data!$A$2:$A55&lt;42217))</f>
        <v>#REF!</v>
      </c>
      <c r="AD46" s="96" t="s">
        <v>17</v>
      </c>
      <c r="AE46" s="96" t="s">
        <v>17</v>
      </c>
      <c r="AF46" s="96" t="s">
        <v>17</v>
      </c>
      <c r="AG46" s="96" t="s">
        <v>17</v>
      </c>
      <c r="AH46" s="96" t="s">
        <v>17</v>
      </c>
      <c r="AI46" s="96" t="s">
        <v>17</v>
      </c>
      <c r="AJ46" s="96" t="s">
        <v>17</v>
      </c>
      <c r="AK46" s="97">
        <v>24782302</v>
      </c>
      <c r="AL46" s="97">
        <v>25245717</v>
      </c>
      <c r="AM46" s="97">
        <v>25657477</v>
      </c>
      <c r="AN46" s="97">
        <v>26094422</v>
      </c>
      <c r="AO46" s="97">
        <v>26505637</v>
      </c>
      <c r="AP46" s="97">
        <v>26956958</v>
      </c>
      <c r="AQ46" s="98">
        <f t="shared" si="0"/>
        <v>15724892.166666666</v>
      </c>
      <c r="AR46" s="99">
        <f t="shared" si="1"/>
        <v>0</v>
      </c>
      <c r="AS46" s="99" t="e">
        <f t="shared" si="2"/>
        <v>#REF!</v>
      </c>
      <c r="AT46" s="99" t="e">
        <f t="shared" si="3"/>
        <v>#REF!</v>
      </c>
      <c r="AU46" s="99" t="e">
        <f t="shared" si="4"/>
        <v>#REF!</v>
      </c>
      <c r="AV46" s="99" t="e">
        <f t="shared" si="5"/>
        <v>#REF!</v>
      </c>
      <c r="AW46" s="99" t="e">
        <f t="shared" si="6"/>
        <v>#REF!</v>
      </c>
      <c r="AX46" s="99">
        <f t="shared" si="7"/>
        <v>0</v>
      </c>
      <c r="AY46" s="99">
        <f t="shared" si="8"/>
        <v>170967405.16666666</v>
      </c>
      <c r="AZ46" s="99">
        <f t="shared" si="9"/>
        <v>170967405.16666666</v>
      </c>
      <c r="BA46" s="100" t="e">
        <f t="shared" ref="BA46:BC46" si="53">(AT46/$AZ46)*100000000</f>
        <v>#REF!</v>
      </c>
      <c r="BB46" s="100" t="e">
        <f t="shared" si="53"/>
        <v>#REF!</v>
      </c>
      <c r="BC46" s="100" t="e">
        <f t="shared" si="53"/>
        <v>#REF!</v>
      </c>
    </row>
    <row r="47" spans="1:55" ht="12">
      <c r="A47" s="91" t="s">
        <v>96</v>
      </c>
      <c r="B47" s="92" t="e">
        <f>SUMPRODUCT((Data!$C$2:$C55=$A47)*(Data!#REF!=B$2)*(Data!$A$2:$A55&lt;42217))</f>
        <v>#REF!</v>
      </c>
      <c r="C47" s="92" t="e">
        <f>SUMPRODUCT((Data!$C$2:$C55=$A47)*(Data!#REF!=C$2)*(Data!$A$2:$A55&lt;42217))</f>
        <v>#REF!</v>
      </c>
      <c r="D47" s="92" t="e">
        <f>SUMPRODUCT((Data!$C$2:$C55=$A47)*(Data!#REF!=D$2)*(Data!$A$2:$A55&lt;42217))</f>
        <v>#REF!</v>
      </c>
      <c r="E47" s="92" t="e">
        <f>SUMPRODUCT((Data!$C$2:$C55=$A47)*(Data!#REF!=E$2)*(Data!$A$2:$A55&lt;42217))</f>
        <v>#REF!</v>
      </c>
      <c r="F47" s="92" t="e">
        <f>SUMPRODUCT((Data!$C$2:$C55=$A47)*(Data!#REF!=F$2)*(Data!$A$2:$A55&lt;42217))</f>
        <v>#REF!</v>
      </c>
      <c r="G47" s="92" t="e">
        <f>SUMPRODUCT((Data!$C$2:$C55=$A47)*(Data!#REF!=G$2)*(Data!$A$2:$A55&lt;42217))</f>
        <v>#REF!</v>
      </c>
      <c r="H47" s="92" t="e">
        <f>SUMPRODUCT((Data!$C$2:$C55=$A47)*(Data!#REF!=H$2)*(Data!$A$2:$A55&lt;42217))</f>
        <v>#REF!</v>
      </c>
      <c r="I47" s="93" t="e">
        <f>SUMPRODUCT((Data!$C$2:$C55=$A47)*(Data!#REF!=I$2)*(Data!$AI$2:$AI55="Yes")*(Data!$A$2:$A55&lt;42217))</f>
        <v>#REF!</v>
      </c>
      <c r="J47" s="93" t="e">
        <f>SUMPRODUCT((Data!$C$2:$C55=$A47)*(Data!#REF!=J$2)*(Data!$AI$2:$AI55="Yes")*(Data!$A$2:$A55&lt;42217))</f>
        <v>#REF!</v>
      </c>
      <c r="K47" s="93" t="e">
        <f>SUMPRODUCT((Data!$C$2:$C55=$A47)*(Data!#REF!=K$2)*(Data!$AI$2:$AI55="Yes")*(Data!$A$2:$A55&lt;42217))</f>
        <v>#REF!</v>
      </c>
      <c r="L47" s="93" t="e">
        <f>SUMPRODUCT((Data!$C$2:$C55=$A47)*(Data!#REF!=L$2)*(Data!$AI$2:$AI55="Yes")*(Data!$A$2:$A55&lt;42217))</f>
        <v>#REF!</v>
      </c>
      <c r="M47" s="93" t="e">
        <f>SUMPRODUCT((Data!$C$2:$C55=$A47)*(Data!#REF!=M$2)*(Data!$AI$2:$AI55="Yes")*(Data!$A$2:$A55&lt;42217))</f>
        <v>#REF!</v>
      </c>
      <c r="N47" s="93" t="e">
        <f>SUMPRODUCT((Data!$C$2:$C55=$A47)*(Data!#REF!=N$2)*(Data!$AI$2:$AI55="Yes")*(Data!$A$2:$A55&lt;42217))</f>
        <v>#REF!</v>
      </c>
      <c r="O47" s="93" t="e">
        <f>SUMPRODUCT((Data!$C$2:$C55=$A47)*(Data!#REF!=O$2)*(Data!$AI$2:$AI55="Yes")*(Data!$A$2:$A55&lt;42217))</f>
        <v>#REF!</v>
      </c>
      <c r="P47" s="94" t="e">
        <f>SUMPRODUCT((Data!$C$2:$C55=$A47)*(Data!#REF!=P$2)*(Data!$AA$2:$AA55="Yes")*(Data!$A$2:$A55&lt;42217))</f>
        <v>#REF!</v>
      </c>
      <c r="Q47" s="94" t="e">
        <f>SUMPRODUCT((Data!$C$2:$C55=$A47)*(Data!#REF!=Q$2)*(Data!$AA$2:$AA55="Yes")*(Data!$A$2:$A55&lt;42217))</f>
        <v>#REF!</v>
      </c>
      <c r="R47" s="94" t="e">
        <f>SUMPRODUCT((Data!$C$2:$C55=$A47)*(Data!#REF!=R$2)*(Data!$AA$2:$AA55="Yes")*(Data!$A$2:$A55&lt;42217))</f>
        <v>#REF!</v>
      </c>
      <c r="S47" s="94" t="e">
        <f>SUMPRODUCT((Data!$C$2:$C55=$A47)*(Data!#REF!=S$2)*(Data!$AA$2:$AA55="Yes")*(Data!$A$2:$A55&lt;42217))</f>
        <v>#REF!</v>
      </c>
      <c r="T47" s="94" t="e">
        <f>SUMPRODUCT((Data!$C$2:$C55=$A47)*(Data!#REF!=T$2)*(Data!$AA$2:$AA55="Yes")*(Data!$A$2:$A55&lt;42217))</f>
        <v>#REF!</v>
      </c>
      <c r="U47" s="94" t="e">
        <f>SUMPRODUCT((Data!$C$2:$C55=$A47)*(Data!#REF!=U$2)*(Data!$AA$2:$AA55="Yes")*(Data!$A$2:$A55&lt;42217))</f>
        <v>#REF!</v>
      </c>
      <c r="V47" s="94" t="e">
        <f>SUMPRODUCT((Data!$C$2:$C55=$A47)*(Data!#REF!=V$2)*(Data!$AA$2:$AA55="Yes")*(Data!$A$2:$A55&lt;42217))</f>
        <v>#REF!</v>
      </c>
      <c r="W47" s="95" t="e">
        <f>SUMPRODUCT((Data!$C$2:$C55=$A47)*(Data!#REF!=W$2)*(Data!$AA$2:$AA55="No")*(Data!$A$2:$A55&lt;42217))</f>
        <v>#REF!</v>
      </c>
      <c r="X47" s="95" t="e">
        <f>SUMPRODUCT((Data!$C$2:$C55=$A47)*(Data!#REF!=X$2)*(Data!$AA$2:$AA55="No")*(Data!$A$2:$A55&lt;42217))</f>
        <v>#REF!</v>
      </c>
      <c r="Y47" s="95" t="e">
        <f>SUMPRODUCT((Data!$C$2:$C55=$A47)*(Data!#REF!=Y$2)*(Data!$AA$2:$AA55="No")*(Data!$A$2:$A55&lt;42217))</f>
        <v>#REF!</v>
      </c>
      <c r="Z47" s="95" t="e">
        <f>SUMPRODUCT((Data!$C$2:$C55=$A47)*(Data!#REF!=Z$2)*(Data!$AA$2:$AA55="No")*(Data!$A$2:$A55&lt;42217))</f>
        <v>#REF!</v>
      </c>
      <c r="AA47" s="95" t="e">
        <f>SUMPRODUCT((Data!$C$2:$C55=$A47)*(Data!#REF!=AA$2)*(Data!$AA$2:$AA55="No")*(Data!$A$2:$A55&lt;42217))</f>
        <v>#REF!</v>
      </c>
      <c r="AB47" s="95" t="e">
        <f>SUMPRODUCT((Data!$C$2:$C55=$A47)*(Data!#REF!=AB$2)*(Data!$AA$2:$AA55="No")*(Data!$A$2:$A55&lt;42217))</f>
        <v>#REF!</v>
      </c>
      <c r="AC47" s="95" t="e">
        <f>SUMPRODUCT((Data!$C$2:$C55=$A47)*(Data!#REF!=AC$2)*(Data!$AA$2:$AA55="No")*(Data!$A$2:$A55&lt;42217))</f>
        <v>#REF!</v>
      </c>
      <c r="AD47" s="96" t="s">
        <v>17</v>
      </c>
      <c r="AE47" s="96" t="s">
        <v>17</v>
      </c>
      <c r="AF47" s="96" t="s">
        <v>17</v>
      </c>
      <c r="AG47" s="96" t="s">
        <v>17</v>
      </c>
      <c r="AH47" s="96" t="s">
        <v>17</v>
      </c>
      <c r="AI47" s="96" t="s">
        <v>17</v>
      </c>
      <c r="AJ47" s="96" t="s">
        <v>17</v>
      </c>
      <c r="AK47" s="97">
        <v>2784572</v>
      </c>
      <c r="AL47" s="97">
        <v>2774346</v>
      </c>
      <c r="AM47" s="97">
        <v>2815324</v>
      </c>
      <c r="AN47" s="97">
        <v>2855194</v>
      </c>
      <c r="AO47" s="97">
        <v>2902787</v>
      </c>
      <c r="AP47" s="97">
        <v>2942902</v>
      </c>
      <c r="AQ47" s="98">
        <f t="shared" si="0"/>
        <v>1716692.8333333333</v>
      </c>
      <c r="AR47" s="99">
        <f t="shared" si="1"/>
        <v>0</v>
      </c>
      <c r="AS47" s="99" t="e">
        <f t="shared" si="2"/>
        <v>#REF!</v>
      </c>
      <c r="AT47" s="99" t="e">
        <f t="shared" si="3"/>
        <v>#REF!</v>
      </c>
      <c r="AU47" s="99" t="e">
        <f t="shared" si="4"/>
        <v>#REF!</v>
      </c>
      <c r="AV47" s="99" t="e">
        <f t="shared" si="5"/>
        <v>#REF!</v>
      </c>
      <c r="AW47" s="99" t="e">
        <f t="shared" si="6"/>
        <v>#REF!</v>
      </c>
      <c r="AX47" s="99">
        <f t="shared" si="7"/>
        <v>0</v>
      </c>
      <c r="AY47" s="99">
        <f t="shared" si="8"/>
        <v>18791817.833333332</v>
      </c>
      <c r="AZ47" s="99">
        <f t="shared" si="9"/>
        <v>18791817.833333332</v>
      </c>
      <c r="BA47" s="100" t="e">
        <f t="shared" ref="BA47:BC47" si="54">(AT47/$AZ47)*100000000</f>
        <v>#REF!</v>
      </c>
      <c r="BB47" s="100" t="e">
        <f t="shared" si="54"/>
        <v>#REF!</v>
      </c>
      <c r="BC47" s="100" t="e">
        <f t="shared" si="54"/>
        <v>#REF!</v>
      </c>
    </row>
    <row r="48" spans="1:55" ht="12">
      <c r="A48" s="91" t="s">
        <v>165</v>
      </c>
      <c r="B48" s="92" t="e">
        <f>SUMPRODUCT((Data!$C$2:$C55=$A48)*(Data!#REF!=B$2)*(Data!$A$2:$A55&lt;42217))</f>
        <v>#REF!</v>
      </c>
      <c r="C48" s="92" t="e">
        <f>SUMPRODUCT((Data!$C$2:$C55=$A48)*(Data!#REF!=C$2)*(Data!$A$2:$A55&lt;42217))</f>
        <v>#REF!</v>
      </c>
      <c r="D48" s="92" t="e">
        <f>SUMPRODUCT((Data!$C$2:$C55=$A48)*(Data!#REF!=D$2)*(Data!$A$2:$A55&lt;42217))</f>
        <v>#REF!</v>
      </c>
      <c r="E48" s="92" t="e">
        <f>SUMPRODUCT((Data!$C$2:$C55=$A48)*(Data!#REF!=E$2)*(Data!$A$2:$A55&lt;42217))</f>
        <v>#REF!</v>
      </c>
      <c r="F48" s="92" t="e">
        <f>SUMPRODUCT((Data!$C$2:$C55=$A48)*(Data!#REF!=F$2)*(Data!$A$2:$A55&lt;42217))</f>
        <v>#REF!</v>
      </c>
      <c r="G48" s="92" t="e">
        <f>SUMPRODUCT((Data!$C$2:$C55=$A48)*(Data!#REF!=G$2)*(Data!$A$2:$A55&lt;42217))</f>
        <v>#REF!</v>
      </c>
      <c r="H48" s="92" t="e">
        <f>SUMPRODUCT((Data!$C$2:$C55=$A48)*(Data!#REF!=H$2)*(Data!$A$2:$A55&lt;42217))</f>
        <v>#REF!</v>
      </c>
      <c r="I48" s="93" t="e">
        <f>SUMPRODUCT((Data!$C$2:$C55=$A48)*(Data!#REF!=I$2)*(Data!$AI$2:$AI55="Yes")*(Data!$A$2:$A55&lt;42217))</f>
        <v>#REF!</v>
      </c>
      <c r="J48" s="93" t="e">
        <f>SUMPRODUCT((Data!$C$2:$C55=$A48)*(Data!#REF!=J$2)*(Data!$AI$2:$AI55="Yes")*(Data!$A$2:$A55&lt;42217))</f>
        <v>#REF!</v>
      </c>
      <c r="K48" s="93" t="e">
        <f>SUMPRODUCT((Data!$C$2:$C55=$A48)*(Data!#REF!=K$2)*(Data!$AI$2:$AI55="Yes")*(Data!$A$2:$A55&lt;42217))</f>
        <v>#REF!</v>
      </c>
      <c r="L48" s="93" t="e">
        <f>SUMPRODUCT((Data!$C$2:$C55=$A48)*(Data!#REF!=L$2)*(Data!$AI$2:$AI55="Yes")*(Data!$A$2:$A55&lt;42217))</f>
        <v>#REF!</v>
      </c>
      <c r="M48" s="93" t="e">
        <f>SUMPRODUCT((Data!$C$2:$C55=$A48)*(Data!#REF!=M$2)*(Data!$AI$2:$AI55="Yes")*(Data!$A$2:$A55&lt;42217))</f>
        <v>#REF!</v>
      </c>
      <c r="N48" s="93" t="e">
        <f>SUMPRODUCT((Data!$C$2:$C55=$A48)*(Data!#REF!=N$2)*(Data!$AI$2:$AI55="Yes")*(Data!$A$2:$A55&lt;42217))</f>
        <v>#REF!</v>
      </c>
      <c r="O48" s="93" t="e">
        <f>SUMPRODUCT((Data!$C$2:$C55=$A48)*(Data!#REF!=O$2)*(Data!$AI$2:$AI55="Yes")*(Data!$A$2:$A55&lt;42217))</f>
        <v>#REF!</v>
      </c>
      <c r="P48" s="94" t="e">
        <f>SUMPRODUCT((Data!$C$2:$C55=$A48)*(Data!#REF!=P$2)*(Data!$AA$2:$AA55="Yes")*(Data!$A$2:$A55&lt;42217))</f>
        <v>#REF!</v>
      </c>
      <c r="Q48" s="94" t="e">
        <f>SUMPRODUCT((Data!$C$2:$C55=$A48)*(Data!#REF!=Q$2)*(Data!$AA$2:$AA55="Yes")*(Data!$A$2:$A55&lt;42217))</f>
        <v>#REF!</v>
      </c>
      <c r="R48" s="94" t="e">
        <f>SUMPRODUCT((Data!$C$2:$C55=$A48)*(Data!#REF!=R$2)*(Data!$AA$2:$AA55="Yes")*(Data!$A$2:$A55&lt;42217))</f>
        <v>#REF!</v>
      </c>
      <c r="S48" s="94" t="e">
        <f>SUMPRODUCT((Data!$C$2:$C55=$A48)*(Data!#REF!=S$2)*(Data!$AA$2:$AA55="Yes")*(Data!$A$2:$A55&lt;42217))</f>
        <v>#REF!</v>
      </c>
      <c r="T48" s="94" t="e">
        <f>SUMPRODUCT((Data!$C$2:$C55=$A48)*(Data!#REF!=T$2)*(Data!$AA$2:$AA55="Yes")*(Data!$A$2:$A55&lt;42217))</f>
        <v>#REF!</v>
      </c>
      <c r="U48" s="94" t="e">
        <f>SUMPRODUCT((Data!$C$2:$C55=$A48)*(Data!#REF!=U$2)*(Data!$AA$2:$AA55="Yes")*(Data!$A$2:$A55&lt;42217))</f>
        <v>#REF!</v>
      </c>
      <c r="V48" s="94" t="e">
        <f>SUMPRODUCT((Data!$C$2:$C55=$A48)*(Data!#REF!=V$2)*(Data!$AA$2:$AA55="Yes")*(Data!$A$2:$A55&lt;42217))</f>
        <v>#REF!</v>
      </c>
      <c r="W48" s="95" t="e">
        <f>SUMPRODUCT((Data!$C$2:$C55=$A48)*(Data!#REF!=W$2)*(Data!$AA$2:$AA55="No")*(Data!$A$2:$A55&lt;42217))</f>
        <v>#REF!</v>
      </c>
      <c r="X48" s="95" t="e">
        <f>SUMPRODUCT((Data!$C$2:$C55=$A48)*(Data!#REF!=X$2)*(Data!$AA$2:$AA55="No")*(Data!$A$2:$A55&lt;42217))</f>
        <v>#REF!</v>
      </c>
      <c r="Y48" s="95" t="e">
        <f>SUMPRODUCT((Data!$C$2:$C55=$A48)*(Data!#REF!=Y$2)*(Data!$AA$2:$AA55="No")*(Data!$A$2:$A55&lt;42217))</f>
        <v>#REF!</v>
      </c>
      <c r="Z48" s="95" t="e">
        <f>SUMPRODUCT((Data!$C$2:$C55=$A48)*(Data!#REF!=Z$2)*(Data!$AA$2:$AA55="No")*(Data!$A$2:$A55&lt;42217))</f>
        <v>#REF!</v>
      </c>
      <c r="AA48" s="95" t="e">
        <f>SUMPRODUCT((Data!$C$2:$C55=$A48)*(Data!#REF!=AA$2)*(Data!$AA$2:$AA55="No")*(Data!$A$2:$A55&lt;42217))</f>
        <v>#REF!</v>
      </c>
      <c r="AB48" s="95" t="e">
        <f>SUMPRODUCT((Data!$C$2:$C55=$A48)*(Data!#REF!=AB$2)*(Data!$AA$2:$AA55="No")*(Data!$A$2:$A55&lt;42217))</f>
        <v>#REF!</v>
      </c>
      <c r="AC48" s="95" t="e">
        <f>SUMPRODUCT((Data!$C$2:$C55=$A48)*(Data!#REF!=AC$2)*(Data!$AA$2:$AA55="No")*(Data!$A$2:$A55&lt;42217))</f>
        <v>#REF!</v>
      </c>
      <c r="AD48" s="96" t="s">
        <v>17</v>
      </c>
      <c r="AE48" s="96" t="s">
        <v>17</v>
      </c>
      <c r="AF48" s="96" t="s">
        <v>17</v>
      </c>
      <c r="AG48" s="96" t="s">
        <v>17</v>
      </c>
      <c r="AH48" s="96" t="s">
        <v>17</v>
      </c>
      <c r="AI48" s="96" t="s">
        <v>17</v>
      </c>
      <c r="AJ48" s="96" t="s">
        <v>17</v>
      </c>
      <c r="AK48" s="97">
        <v>621760</v>
      </c>
      <c r="AL48" s="97">
        <v>625792</v>
      </c>
      <c r="AM48" s="97">
        <v>626450</v>
      </c>
      <c r="AN48" s="97">
        <v>626138</v>
      </c>
      <c r="AO48" s="97">
        <v>626855</v>
      </c>
      <c r="AP48" s="97">
        <v>626562</v>
      </c>
      <c r="AQ48" s="98">
        <f t="shared" si="0"/>
        <v>365494.5</v>
      </c>
      <c r="AR48" s="99">
        <f t="shared" si="1"/>
        <v>0</v>
      </c>
      <c r="AS48" s="99" t="e">
        <f t="shared" si="2"/>
        <v>#REF!</v>
      </c>
      <c r="AT48" s="99" t="e">
        <f t="shared" si="3"/>
        <v>#REF!</v>
      </c>
      <c r="AU48" s="99" t="e">
        <f t="shared" si="4"/>
        <v>#REF!</v>
      </c>
      <c r="AV48" s="99" t="e">
        <f t="shared" si="5"/>
        <v>#REF!</v>
      </c>
      <c r="AW48" s="99" t="e">
        <f t="shared" si="6"/>
        <v>#REF!</v>
      </c>
      <c r="AX48" s="99">
        <f t="shared" si="7"/>
        <v>0</v>
      </c>
      <c r="AY48" s="99">
        <f t="shared" si="8"/>
        <v>4119051.5</v>
      </c>
      <c r="AZ48" s="99">
        <f t="shared" si="9"/>
        <v>4119051.5</v>
      </c>
      <c r="BA48" s="100" t="e">
        <f t="shared" ref="BA48:BC48" si="55">(AT48/$AZ48)*100000000</f>
        <v>#REF!</v>
      </c>
      <c r="BB48" s="100" t="e">
        <f t="shared" si="55"/>
        <v>#REF!</v>
      </c>
      <c r="BC48" s="100" t="e">
        <f t="shared" si="55"/>
        <v>#REF!</v>
      </c>
    </row>
    <row r="49" spans="1:55" ht="12">
      <c r="A49" s="91" t="s">
        <v>84</v>
      </c>
      <c r="B49" s="92" t="e">
        <f>SUMPRODUCT((Data!$C$2:$C55=$A49)*(Data!#REF!=B$2)*(Data!$A$2:$A55&lt;42217))</f>
        <v>#REF!</v>
      </c>
      <c r="C49" s="92" t="e">
        <f>SUMPRODUCT((Data!$C$2:$C55=$A49)*(Data!#REF!=C$2)*(Data!$A$2:$A55&lt;42217))</f>
        <v>#REF!</v>
      </c>
      <c r="D49" s="92" t="e">
        <f>SUMPRODUCT((Data!$C$2:$C55=$A49)*(Data!#REF!=D$2)*(Data!$A$2:$A55&lt;42217))</f>
        <v>#REF!</v>
      </c>
      <c r="E49" s="92" t="e">
        <f>SUMPRODUCT((Data!$C$2:$C55=$A49)*(Data!#REF!=E$2)*(Data!$A$2:$A55&lt;42217))</f>
        <v>#REF!</v>
      </c>
      <c r="F49" s="92" t="e">
        <f>SUMPRODUCT((Data!$C$2:$C55=$A49)*(Data!#REF!=F$2)*(Data!$A$2:$A55&lt;42217))</f>
        <v>#REF!</v>
      </c>
      <c r="G49" s="92" t="e">
        <f>SUMPRODUCT((Data!$C$2:$C55=$A49)*(Data!#REF!=G$2)*(Data!$A$2:$A55&lt;42217))</f>
        <v>#REF!</v>
      </c>
      <c r="H49" s="92" t="e">
        <f>SUMPRODUCT((Data!$C$2:$C55=$A49)*(Data!#REF!=H$2)*(Data!$A$2:$A55&lt;42217))</f>
        <v>#REF!</v>
      </c>
      <c r="I49" s="93" t="e">
        <f>SUMPRODUCT((Data!$C$2:$C55=$A49)*(Data!#REF!=I$2)*(Data!$AI$2:$AI55="Yes")*(Data!$A$2:$A55&lt;42217))</f>
        <v>#REF!</v>
      </c>
      <c r="J49" s="93" t="e">
        <f>SUMPRODUCT((Data!$C$2:$C55=$A49)*(Data!#REF!=J$2)*(Data!$AI$2:$AI55="Yes")*(Data!$A$2:$A55&lt;42217))</f>
        <v>#REF!</v>
      </c>
      <c r="K49" s="93" t="e">
        <f>SUMPRODUCT((Data!$C$2:$C55=$A49)*(Data!#REF!=K$2)*(Data!$AI$2:$AI55="Yes")*(Data!$A$2:$A55&lt;42217))</f>
        <v>#REF!</v>
      </c>
      <c r="L49" s="93" t="e">
        <f>SUMPRODUCT((Data!$C$2:$C55=$A49)*(Data!#REF!=L$2)*(Data!$AI$2:$AI55="Yes")*(Data!$A$2:$A55&lt;42217))</f>
        <v>#REF!</v>
      </c>
      <c r="M49" s="93" t="e">
        <f>SUMPRODUCT((Data!$C$2:$C55=$A49)*(Data!#REF!=M$2)*(Data!$AI$2:$AI55="Yes")*(Data!$A$2:$A55&lt;42217))</f>
        <v>#REF!</v>
      </c>
      <c r="N49" s="93" t="e">
        <f>SUMPRODUCT((Data!$C$2:$C55=$A49)*(Data!#REF!=N$2)*(Data!$AI$2:$AI55="Yes")*(Data!$A$2:$A55&lt;42217))</f>
        <v>#REF!</v>
      </c>
      <c r="O49" s="93" t="e">
        <f>SUMPRODUCT((Data!$C$2:$C55=$A49)*(Data!#REF!=O$2)*(Data!$AI$2:$AI55="Yes")*(Data!$A$2:$A55&lt;42217))</f>
        <v>#REF!</v>
      </c>
      <c r="P49" s="94" t="e">
        <f>SUMPRODUCT((Data!$C$2:$C55=$A49)*(Data!#REF!=P$2)*(Data!$AA$2:$AA55="Yes")*(Data!$A$2:$A55&lt;42217))</f>
        <v>#REF!</v>
      </c>
      <c r="Q49" s="94" t="e">
        <f>SUMPRODUCT((Data!$C$2:$C55=$A49)*(Data!#REF!=Q$2)*(Data!$AA$2:$AA55="Yes")*(Data!$A$2:$A55&lt;42217))</f>
        <v>#REF!</v>
      </c>
      <c r="R49" s="94" t="e">
        <f>SUMPRODUCT((Data!$C$2:$C55=$A49)*(Data!#REF!=R$2)*(Data!$AA$2:$AA55="Yes")*(Data!$A$2:$A55&lt;42217))</f>
        <v>#REF!</v>
      </c>
      <c r="S49" s="94" t="e">
        <f>SUMPRODUCT((Data!$C$2:$C55=$A49)*(Data!#REF!=S$2)*(Data!$AA$2:$AA55="Yes")*(Data!$A$2:$A55&lt;42217))</f>
        <v>#REF!</v>
      </c>
      <c r="T49" s="94" t="e">
        <f>SUMPRODUCT((Data!$C$2:$C55=$A49)*(Data!#REF!=T$2)*(Data!$AA$2:$AA55="Yes")*(Data!$A$2:$A55&lt;42217))</f>
        <v>#REF!</v>
      </c>
      <c r="U49" s="94" t="e">
        <f>SUMPRODUCT((Data!$C$2:$C55=$A49)*(Data!#REF!=U$2)*(Data!$AA$2:$AA55="Yes")*(Data!$A$2:$A55&lt;42217))</f>
        <v>#REF!</v>
      </c>
      <c r="V49" s="94" t="e">
        <f>SUMPRODUCT((Data!$C$2:$C55=$A49)*(Data!#REF!=V$2)*(Data!$AA$2:$AA55="Yes")*(Data!$A$2:$A55&lt;42217))</f>
        <v>#REF!</v>
      </c>
      <c r="W49" s="95" t="e">
        <f>SUMPRODUCT((Data!$C$2:$C55=$A49)*(Data!#REF!=W$2)*(Data!$AA$2:$AA55="No")*(Data!$A$2:$A55&lt;42217))</f>
        <v>#REF!</v>
      </c>
      <c r="X49" s="95" t="e">
        <f>SUMPRODUCT((Data!$C$2:$C55=$A49)*(Data!#REF!=X$2)*(Data!$AA$2:$AA55="No")*(Data!$A$2:$A55&lt;42217))</f>
        <v>#REF!</v>
      </c>
      <c r="Y49" s="95" t="e">
        <f>SUMPRODUCT((Data!$C$2:$C55=$A49)*(Data!#REF!=Y$2)*(Data!$AA$2:$AA55="No")*(Data!$A$2:$A55&lt;42217))</f>
        <v>#REF!</v>
      </c>
      <c r="Z49" s="95" t="e">
        <f>SUMPRODUCT((Data!$C$2:$C55=$A49)*(Data!#REF!=Z$2)*(Data!$AA$2:$AA55="No")*(Data!$A$2:$A55&lt;42217))</f>
        <v>#REF!</v>
      </c>
      <c r="AA49" s="95" t="e">
        <f>SUMPRODUCT((Data!$C$2:$C55=$A49)*(Data!#REF!=AA$2)*(Data!$AA$2:$AA55="No")*(Data!$A$2:$A55&lt;42217))</f>
        <v>#REF!</v>
      </c>
      <c r="AB49" s="95" t="e">
        <f>SUMPRODUCT((Data!$C$2:$C55=$A49)*(Data!#REF!=AB$2)*(Data!$AA$2:$AA55="No")*(Data!$A$2:$A55&lt;42217))</f>
        <v>#REF!</v>
      </c>
      <c r="AC49" s="95" t="e">
        <f>SUMPRODUCT((Data!$C$2:$C55=$A49)*(Data!#REF!=AC$2)*(Data!$AA$2:$AA55="No")*(Data!$A$2:$A55&lt;42217))</f>
        <v>#REF!</v>
      </c>
      <c r="AD49" s="96" t="s">
        <v>17</v>
      </c>
      <c r="AE49" s="96" t="s">
        <v>17</v>
      </c>
      <c r="AF49" s="96" t="s">
        <v>17</v>
      </c>
      <c r="AG49" s="96" t="s">
        <v>17</v>
      </c>
      <c r="AH49" s="96" t="s">
        <v>17</v>
      </c>
      <c r="AI49" s="96" t="s">
        <v>17</v>
      </c>
      <c r="AJ49" s="96" t="s">
        <v>17</v>
      </c>
      <c r="AK49" s="97">
        <v>7882590</v>
      </c>
      <c r="AL49" s="97">
        <v>8025376</v>
      </c>
      <c r="AM49" s="97">
        <v>8110188</v>
      </c>
      <c r="AN49" s="97">
        <v>8193422</v>
      </c>
      <c r="AO49" s="97">
        <v>8270345</v>
      </c>
      <c r="AP49" s="97">
        <v>8326289</v>
      </c>
      <c r="AQ49" s="98">
        <f t="shared" si="0"/>
        <v>4857001.916666667</v>
      </c>
      <c r="AR49" s="99">
        <f t="shared" si="1"/>
        <v>0</v>
      </c>
      <c r="AS49" s="99" t="e">
        <f t="shared" si="2"/>
        <v>#REF!</v>
      </c>
      <c r="AT49" s="99" t="e">
        <f t="shared" si="3"/>
        <v>#REF!</v>
      </c>
      <c r="AU49" s="99" t="e">
        <f t="shared" si="4"/>
        <v>#REF!</v>
      </c>
      <c r="AV49" s="99" t="e">
        <f t="shared" si="5"/>
        <v>#REF!</v>
      </c>
      <c r="AW49" s="99" t="e">
        <f t="shared" si="6"/>
        <v>#REF!</v>
      </c>
      <c r="AX49" s="99">
        <f t="shared" si="7"/>
        <v>0</v>
      </c>
      <c r="AY49" s="99">
        <f t="shared" si="8"/>
        <v>53665211.916666664</v>
      </c>
      <c r="AZ49" s="99">
        <f t="shared" si="9"/>
        <v>53665211.916666664</v>
      </c>
      <c r="BA49" s="100" t="e">
        <f t="shared" ref="BA49:BC49" si="56">(AT49/$AZ49)*100000000</f>
        <v>#REF!</v>
      </c>
      <c r="BB49" s="100" t="e">
        <f t="shared" si="56"/>
        <v>#REF!</v>
      </c>
      <c r="BC49" s="100" t="e">
        <f t="shared" si="56"/>
        <v>#REF!</v>
      </c>
    </row>
    <row r="50" spans="1:55" ht="12">
      <c r="A50" s="91" t="s">
        <v>33</v>
      </c>
      <c r="B50" s="92" t="e">
        <f>SUMPRODUCT((Data!$C$2:$C55=$A50)*(Data!#REF!=B$2)*(Data!$A$2:$A55&lt;42217))</f>
        <v>#REF!</v>
      </c>
      <c r="C50" s="92" t="e">
        <f>SUMPRODUCT((Data!$C$2:$C55=$A50)*(Data!#REF!=C$2)*(Data!$A$2:$A55&lt;42217))</f>
        <v>#REF!</v>
      </c>
      <c r="D50" s="92" t="e">
        <f>SUMPRODUCT((Data!$C$2:$C55=$A50)*(Data!#REF!=D$2)*(Data!$A$2:$A55&lt;42217))</f>
        <v>#REF!</v>
      </c>
      <c r="E50" s="92" t="e">
        <f>SUMPRODUCT((Data!$C$2:$C55=$A50)*(Data!#REF!=E$2)*(Data!$A$2:$A55&lt;42217))</f>
        <v>#REF!</v>
      </c>
      <c r="F50" s="92" t="e">
        <f>SUMPRODUCT((Data!$C$2:$C55=$A50)*(Data!#REF!=F$2)*(Data!$A$2:$A55&lt;42217))</f>
        <v>#REF!</v>
      </c>
      <c r="G50" s="92" t="e">
        <f>SUMPRODUCT((Data!$C$2:$C55=$A50)*(Data!#REF!=G$2)*(Data!$A$2:$A55&lt;42217))</f>
        <v>#REF!</v>
      </c>
      <c r="H50" s="92" t="e">
        <f>SUMPRODUCT((Data!$C$2:$C55=$A50)*(Data!#REF!=H$2)*(Data!$A$2:$A55&lt;42217))</f>
        <v>#REF!</v>
      </c>
      <c r="I50" s="93" t="e">
        <f>SUMPRODUCT((Data!$C$2:$C55=$A50)*(Data!#REF!=I$2)*(Data!$AI$2:$AI55="Yes")*(Data!$A$2:$A55&lt;42217))</f>
        <v>#REF!</v>
      </c>
      <c r="J50" s="93" t="e">
        <f>SUMPRODUCT((Data!$C$2:$C55=$A50)*(Data!#REF!=J$2)*(Data!$AI$2:$AI55="Yes")*(Data!$A$2:$A55&lt;42217))</f>
        <v>#REF!</v>
      </c>
      <c r="K50" s="93" t="e">
        <f>SUMPRODUCT((Data!$C$2:$C55=$A50)*(Data!#REF!=K$2)*(Data!$AI$2:$AI55="Yes")*(Data!$A$2:$A55&lt;42217))</f>
        <v>#REF!</v>
      </c>
      <c r="L50" s="93" t="e">
        <f>SUMPRODUCT((Data!$C$2:$C55=$A50)*(Data!#REF!=L$2)*(Data!$AI$2:$AI55="Yes")*(Data!$A$2:$A55&lt;42217))</f>
        <v>#REF!</v>
      </c>
      <c r="M50" s="93" t="e">
        <f>SUMPRODUCT((Data!$C$2:$C55=$A50)*(Data!#REF!=M$2)*(Data!$AI$2:$AI55="Yes")*(Data!$A$2:$A55&lt;42217))</f>
        <v>#REF!</v>
      </c>
      <c r="N50" s="93" t="e">
        <f>SUMPRODUCT((Data!$C$2:$C55=$A50)*(Data!#REF!=N$2)*(Data!$AI$2:$AI55="Yes")*(Data!$A$2:$A55&lt;42217))</f>
        <v>#REF!</v>
      </c>
      <c r="O50" s="93" t="e">
        <f>SUMPRODUCT((Data!$C$2:$C55=$A50)*(Data!#REF!=O$2)*(Data!$AI$2:$AI55="Yes")*(Data!$A$2:$A55&lt;42217))</f>
        <v>#REF!</v>
      </c>
      <c r="P50" s="94" t="e">
        <f>SUMPRODUCT((Data!$C$2:$C55=$A50)*(Data!#REF!=P$2)*(Data!$AA$2:$AA55="Yes")*(Data!$A$2:$A55&lt;42217))</f>
        <v>#REF!</v>
      </c>
      <c r="Q50" s="94" t="e">
        <f>SUMPRODUCT((Data!$C$2:$C55=$A50)*(Data!#REF!=Q$2)*(Data!$AA$2:$AA55="Yes")*(Data!$A$2:$A55&lt;42217))</f>
        <v>#REF!</v>
      </c>
      <c r="R50" s="94" t="e">
        <f>SUMPRODUCT((Data!$C$2:$C55=$A50)*(Data!#REF!=R$2)*(Data!$AA$2:$AA55="Yes")*(Data!$A$2:$A55&lt;42217))</f>
        <v>#REF!</v>
      </c>
      <c r="S50" s="94" t="e">
        <f>SUMPRODUCT((Data!$C$2:$C55=$A50)*(Data!#REF!=S$2)*(Data!$AA$2:$AA55="Yes")*(Data!$A$2:$A55&lt;42217))</f>
        <v>#REF!</v>
      </c>
      <c r="T50" s="94" t="e">
        <f>SUMPRODUCT((Data!$C$2:$C55=$A50)*(Data!#REF!=T$2)*(Data!$AA$2:$AA55="Yes")*(Data!$A$2:$A55&lt;42217))</f>
        <v>#REF!</v>
      </c>
      <c r="U50" s="94" t="e">
        <f>SUMPRODUCT((Data!$C$2:$C55=$A50)*(Data!#REF!=U$2)*(Data!$AA$2:$AA55="Yes")*(Data!$A$2:$A55&lt;42217))</f>
        <v>#REF!</v>
      </c>
      <c r="V50" s="94" t="e">
        <f>SUMPRODUCT((Data!$C$2:$C55=$A50)*(Data!#REF!=V$2)*(Data!$AA$2:$AA55="Yes")*(Data!$A$2:$A55&lt;42217))</f>
        <v>#REF!</v>
      </c>
      <c r="W50" s="95" t="e">
        <f>SUMPRODUCT((Data!$C$2:$C55=$A50)*(Data!#REF!=W$2)*(Data!$AA$2:$AA55="No")*(Data!$A$2:$A55&lt;42217))</f>
        <v>#REF!</v>
      </c>
      <c r="X50" s="95" t="e">
        <f>SUMPRODUCT((Data!$C$2:$C55=$A50)*(Data!#REF!=X$2)*(Data!$AA$2:$AA55="No")*(Data!$A$2:$A55&lt;42217))</f>
        <v>#REF!</v>
      </c>
      <c r="Y50" s="95" t="e">
        <f>SUMPRODUCT((Data!$C$2:$C55=$A50)*(Data!#REF!=Y$2)*(Data!$AA$2:$AA55="No")*(Data!$A$2:$A55&lt;42217))</f>
        <v>#REF!</v>
      </c>
      <c r="Z50" s="95" t="e">
        <f>SUMPRODUCT((Data!$C$2:$C55=$A50)*(Data!#REF!=Z$2)*(Data!$AA$2:$AA55="No")*(Data!$A$2:$A55&lt;42217))</f>
        <v>#REF!</v>
      </c>
      <c r="AA50" s="95" t="e">
        <f>SUMPRODUCT((Data!$C$2:$C55=$A50)*(Data!#REF!=AA$2)*(Data!$AA$2:$AA55="No")*(Data!$A$2:$A55&lt;42217))</f>
        <v>#REF!</v>
      </c>
      <c r="AB50" s="95" t="e">
        <f>SUMPRODUCT((Data!$C$2:$C55=$A50)*(Data!#REF!=AB$2)*(Data!$AA$2:$AA55="No")*(Data!$A$2:$A55&lt;42217))</f>
        <v>#REF!</v>
      </c>
      <c r="AC50" s="95" t="e">
        <f>SUMPRODUCT((Data!$C$2:$C55=$A50)*(Data!#REF!=AC$2)*(Data!$AA$2:$AA55="No")*(Data!$A$2:$A55&lt;42217))</f>
        <v>#REF!</v>
      </c>
      <c r="AD50" s="96" t="s">
        <v>17</v>
      </c>
      <c r="AE50" s="96" t="s">
        <v>17</v>
      </c>
      <c r="AF50" s="96" t="s">
        <v>17</v>
      </c>
      <c r="AG50" s="96" t="s">
        <v>17</v>
      </c>
      <c r="AH50" s="96" t="s">
        <v>17</v>
      </c>
      <c r="AI50" s="96" t="s">
        <v>17</v>
      </c>
      <c r="AJ50" s="96" t="s">
        <v>28</v>
      </c>
      <c r="AK50" s="97">
        <v>6664195</v>
      </c>
      <c r="AL50" s="97">
        <v>6741911</v>
      </c>
      <c r="AM50" s="97">
        <v>6822112</v>
      </c>
      <c r="AN50" s="97">
        <v>6896325</v>
      </c>
      <c r="AO50" s="97">
        <v>6973742</v>
      </c>
      <c r="AP50" s="97">
        <v>7061530</v>
      </c>
      <c r="AQ50" s="98">
        <f t="shared" si="0"/>
        <v>4119225.8333333335</v>
      </c>
      <c r="AR50" s="99" t="e">
        <f t="shared" si="1"/>
        <v>#REF!</v>
      </c>
      <c r="AS50" s="99" t="e">
        <f t="shared" si="2"/>
        <v>#REF!</v>
      </c>
      <c r="AT50" s="99" t="e">
        <f t="shared" si="3"/>
        <v>#REF!</v>
      </c>
      <c r="AU50" s="99" t="e">
        <f t="shared" si="4"/>
        <v>#REF!</v>
      </c>
      <c r="AV50" s="99" t="e">
        <f t="shared" si="5"/>
        <v>#REF!</v>
      </c>
      <c r="AW50" s="99" t="e">
        <f t="shared" si="6"/>
        <v>#REF!</v>
      </c>
      <c r="AX50" s="99">
        <f t="shared" si="7"/>
        <v>4119225.8333333335</v>
      </c>
      <c r="AY50" s="99">
        <f t="shared" si="8"/>
        <v>41159815</v>
      </c>
      <c r="AZ50" s="99">
        <f t="shared" si="9"/>
        <v>45279040.833333336</v>
      </c>
      <c r="BA50" s="100" t="e">
        <f t="shared" ref="BA50:BC50" si="57">(AT50/$AZ50)*100000000</f>
        <v>#REF!</v>
      </c>
      <c r="BB50" s="100" t="e">
        <f t="shared" si="57"/>
        <v>#REF!</v>
      </c>
      <c r="BC50" s="100" t="e">
        <f t="shared" si="57"/>
        <v>#REF!</v>
      </c>
    </row>
    <row r="51" spans="1:55" ht="12">
      <c r="A51" s="91" t="s">
        <v>31</v>
      </c>
      <c r="B51" s="92" t="e">
        <f>SUMPRODUCT((Data!$C$2:$C55=$A51)*(Data!#REF!=B$2)*(Data!$A$2:$A55&lt;42217))</f>
        <v>#REF!</v>
      </c>
      <c r="C51" s="92" t="e">
        <f>SUMPRODUCT((Data!$C$2:$C55=$A51)*(Data!#REF!=C$2)*(Data!$A$2:$A55&lt;42217))</f>
        <v>#REF!</v>
      </c>
      <c r="D51" s="92" t="e">
        <f>SUMPRODUCT((Data!$C$2:$C55=$A51)*(Data!#REF!=D$2)*(Data!$A$2:$A55&lt;42217))</f>
        <v>#REF!</v>
      </c>
      <c r="E51" s="92" t="e">
        <f>SUMPRODUCT((Data!$C$2:$C55=$A51)*(Data!#REF!=E$2)*(Data!$A$2:$A55&lt;42217))</f>
        <v>#REF!</v>
      </c>
      <c r="F51" s="92" t="e">
        <f>SUMPRODUCT((Data!$C$2:$C55=$A51)*(Data!#REF!=F$2)*(Data!$A$2:$A55&lt;42217))</f>
        <v>#REF!</v>
      </c>
      <c r="G51" s="92" t="e">
        <f>SUMPRODUCT((Data!$C$2:$C55=$A51)*(Data!#REF!=G$2)*(Data!$A$2:$A55&lt;42217))</f>
        <v>#REF!</v>
      </c>
      <c r="H51" s="92" t="e">
        <f>SUMPRODUCT((Data!$C$2:$C55=$A51)*(Data!#REF!=H$2)*(Data!$A$2:$A55&lt;42217))</f>
        <v>#REF!</v>
      </c>
      <c r="I51" s="93" t="e">
        <f>SUMPRODUCT((Data!$C$2:$C55=$A51)*(Data!#REF!=I$2)*(Data!$AI$2:$AI55="Yes")*(Data!$A$2:$A55&lt;42217))</f>
        <v>#REF!</v>
      </c>
      <c r="J51" s="93" t="e">
        <f>SUMPRODUCT((Data!$C$2:$C55=$A51)*(Data!#REF!=J$2)*(Data!$AI$2:$AI55="Yes")*(Data!$A$2:$A55&lt;42217))</f>
        <v>#REF!</v>
      </c>
      <c r="K51" s="93" t="e">
        <f>SUMPRODUCT((Data!$C$2:$C55=$A51)*(Data!#REF!=K$2)*(Data!$AI$2:$AI55="Yes")*(Data!$A$2:$A55&lt;42217))</f>
        <v>#REF!</v>
      </c>
      <c r="L51" s="93" t="e">
        <f>SUMPRODUCT((Data!$C$2:$C55=$A51)*(Data!#REF!=L$2)*(Data!$AI$2:$AI55="Yes")*(Data!$A$2:$A55&lt;42217))</f>
        <v>#REF!</v>
      </c>
      <c r="M51" s="93" t="e">
        <f>SUMPRODUCT((Data!$C$2:$C55=$A51)*(Data!#REF!=M$2)*(Data!$AI$2:$AI55="Yes")*(Data!$A$2:$A55&lt;42217))</f>
        <v>#REF!</v>
      </c>
      <c r="N51" s="93" t="e">
        <f>SUMPRODUCT((Data!$C$2:$C55=$A51)*(Data!#REF!=N$2)*(Data!$AI$2:$AI55="Yes")*(Data!$A$2:$A55&lt;42217))</f>
        <v>#REF!</v>
      </c>
      <c r="O51" s="93" t="e">
        <f>SUMPRODUCT((Data!$C$2:$C55=$A51)*(Data!#REF!=O$2)*(Data!$AI$2:$AI55="Yes")*(Data!$A$2:$A55&lt;42217))</f>
        <v>#REF!</v>
      </c>
      <c r="P51" s="94" t="e">
        <f>SUMPRODUCT((Data!$C$2:$C55=$A51)*(Data!#REF!=P$2)*(Data!$AA$2:$AA55="Yes")*(Data!$A$2:$A55&lt;42217))</f>
        <v>#REF!</v>
      </c>
      <c r="Q51" s="94" t="e">
        <f>SUMPRODUCT((Data!$C$2:$C55=$A51)*(Data!#REF!=Q$2)*(Data!$AA$2:$AA55="Yes")*(Data!$A$2:$A55&lt;42217))</f>
        <v>#REF!</v>
      </c>
      <c r="R51" s="94" t="e">
        <f>SUMPRODUCT((Data!$C$2:$C55=$A51)*(Data!#REF!=R$2)*(Data!$AA$2:$AA55="Yes")*(Data!$A$2:$A55&lt;42217))</f>
        <v>#REF!</v>
      </c>
      <c r="S51" s="94" t="e">
        <f>SUMPRODUCT((Data!$C$2:$C55=$A51)*(Data!#REF!=S$2)*(Data!$AA$2:$AA55="Yes")*(Data!$A$2:$A55&lt;42217))</f>
        <v>#REF!</v>
      </c>
      <c r="T51" s="94" t="e">
        <f>SUMPRODUCT((Data!$C$2:$C55=$A51)*(Data!#REF!=T$2)*(Data!$AA$2:$AA55="Yes")*(Data!$A$2:$A55&lt;42217))</f>
        <v>#REF!</v>
      </c>
      <c r="U51" s="94" t="e">
        <f>SUMPRODUCT((Data!$C$2:$C55=$A51)*(Data!#REF!=U$2)*(Data!$AA$2:$AA55="Yes")*(Data!$A$2:$A55&lt;42217))</f>
        <v>#REF!</v>
      </c>
      <c r="V51" s="94" t="e">
        <f>SUMPRODUCT((Data!$C$2:$C55=$A51)*(Data!#REF!=V$2)*(Data!$AA$2:$AA55="Yes")*(Data!$A$2:$A55&lt;42217))</f>
        <v>#REF!</v>
      </c>
      <c r="W51" s="95" t="e">
        <f>SUMPRODUCT((Data!$C$2:$C55=$A51)*(Data!#REF!=W$2)*(Data!$AA$2:$AA55="No")*(Data!$A$2:$A55&lt;42217))</f>
        <v>#REF!</v>
      </c>
      <c r="X51" s="95" t="e">
        <f>SUMPRODUCT((Data!$C$2:$C55=$A51)*(Data!#REF!=X$2)*(Data!$AA$2:$AA55="No")*(Data!$A$2:$A55&lt;42217))</f>
        <v>#REF!</v>
      </c>
      <c r="Y51" s="95" t="e">
        <f>SUMPRODUCT((Data!$C$2:$C55=$A51)*(Data!#REF!=Y$2)*(Data!$AA$2:$AA55="No")*(Data!$A$2:$A55&lt;42217))</f>
        <v>#REF!</v>
      </c>
      <c r="Z51" s="95" t="e">
        <f>SUMPRODUCT((Data!$C$2:$C55=$A51)*(Data!#REF!=Z$2)*(Data!$AA$2:$AA55="No")*(Data!$A$2:$A55&lt;42217))</f>
        <v>#REF!</v>
      </c>
      <c r="AA51" s="95" t="e">
        <f>SUMPRODUCT((Data!$C$2:$C55=$A51)*(Data!#REF!=AA$2)*(Data!$AA$2:$AA55="No")*(Data!$A$2:$A55&lt;42217))</f>
        <v>#REF!</v>
      </c>
      <c r="AB51" s="95" t="e">
        <f>SUMPRODUCT((Data!$C$2:$C55=$A51)*(Data!#REF!=AB$2)*(Data!$AA$2:$AA55="No")*(Data!$A$2:$A55&lt;42217))</f>
        <v>#REF!</v>
      </c>
      <c r="AC51" s="95" t="e">
        <f>SUMPRODUCT((Data!$C$2:$C55=$A51)*(Data!#REF!=AC$2)*(Data!$AA$2:$AA55="No")*(Data!$A$2:$A55&lt;42217))</f>
        <v>#REF!</v>
      </c>
      <c r="AD51" s="96" t="s">
        <v>17</v>
      </c>
      <c r="AE51" s="96" t="s">
        <v>17</v>
      </c>
      <c r="AF51" s="96" t="s">
        <v>17</v>
      </c>
      <c r="AG51" s="96" t="s">
        <v>17</v>
      </c>
      <c r="AH51" s="96" t="s">
        <v>17</v>
      </c>
      <c r="AI51" s="96" t="s">
        <v>17</v>
      </c>
      <c r="AJ51" s="96" t="s">
        <v>17</v>
      </c>
      <c r="AK51" s="97">
        <v>1819777</v>
      </c>
      <c r="AL51" s="97">
        <v>1854176</v>
      </c>
      <c r="AM51" s="97">
        <v>1854982</v>
      </c>
      <c r="AN51" s="97">
        <v>1856313</v>
      </c>
      <c r="AO51" s="97">
        <v>1853595</v>
      </c>
      <c r="AP51" s="97">
        <v>1850326</v>
      </c>
      <c r="AQ51" s="98">
        <f t="shared" si="0"/>
        <v>1079356.8333333333</v>
      </c>
      <c r="AR51" s="99">
        <f t="shared" si="1"/>
        <v>0</v>
      </c>
      <c r="AS51" s="99" t="e">
        <f t="shared" si="2"/>
        <v>#REF!</v>
      </c>
      <c r="AT51" s="99" t="e">
        <f t="shared" si="3"/>
        <v>#REF!</v>
      </c>
      <c r="AU51" s="99" t="e">
        <f t="shared" si="4"/>
        <v>#REF!</v>
      </c>
      <c r="AV51" s="99" t="e">
        <f t="shared" si="5"/>
        <v>#REF!</v>
      </c>
      <c r="AW51" s="99" t="e">
        <f t="shared" si="6"/>
        <v>#REF!</v>
      </c>
      <c r="AX51" s="99">
        <f t="shared" si="7"/>
        <v>0</v>
      </c>
      <c r="AY51" s="99">
        <f t="shared" si="8"/>
        <v>12168525.833333334</v>
      </c>
      <c r="AZ51" s="99">
        <f t="shared" si="9"/>
        <v>12168525.833333334</v>
      </c>
      <c r="BA51" s="100" t="e">
        <f t="shared" ref="BA51:BC51" si="58">(AT51/$AZ51)*100000000</f>
        <v>#REF!</v>
      </c>
      <c r="BB51" s="100" t="e">
        <f t="shared" si="58"/>
        <v>#REF!</v>
      </c>
      <c r="BC51" s="100" t="e">
        <f t="shared" si="58"/>
        <v>#REF!</v>
      </c>
    </row>
    <row r="52" spans="1:55" ht="12">
      <c r="A52" s="91" t="s">
        <v>11</v>
      </c>
      <c r="B52" s="92" t="e">
        <f>SUMPRODUCT((Data!$C$2:$C55=$A52)*(Data!#REF!=B$2)*(Data!$A$2:$A55&lt;42217))</f>
        <v>#REF!</v>
      </c>
      <c r="C52" s="92" t="e">
        <f>SUMPRODUCT((Data!$C$2:$C55=$A52)*(Data!#REF!=C$2)*(Data!$A$2:$A55&lt;42217))</f>
        <v>#REF!</v>
      </c>
      <c r="D52" s="92" t="e">
        <f>SUMPRODUCT((Data!$C$2:$C55=$A52)*(Data!#REF!=D$2)*(Data!$A$2:$A55&lt;42217))</f>
        <v>#REF!</v>
      </c>
      <c r="E52" s="92" t="e">
        <f>SUMPRODUCT((Data!$C$2:$C55=$A52)*(Data!#REF!=E$2)*(Data!$A$2:$A55&lt;42217))</f>
        <v>#REF!</v>
      </c>
      <c r="F52" s="92" t="e">
        <f>SUMPRODUCT((Data!$C$2:$C55=$A52)*(Data!#REF!=F$2)*(Data!$A$2:$A55&lt;42217))</f>
        <v>#REF!</v>
      </c>
      <c r="G52" s="92" t="e">
        <f>SUMPRODUCT((Data!$C$2:$C55=$A52)*(Data!#REF!=G$2)*(Data!$A$2:$A55&lt;42217))</f>
        <v>#REF!</v>
      </c>
      <c r="H52" s="92" t="e">
        <f>SUMPRODUCT((Data!$C$2:$C55=$A52)*(Data!#REF!=H$2)*(Data!$A$2:$A55&lt;42217))</f>
        <v>#REF!</v>
      </c>
      <c r="I52" s="93" t="e">
        <f>SUMPRODUCT((Data!$C$2:$C55=$A52)*(Data!#REF!=I$2)*(Data!$AI$2:$AI55="Yes")*(Data!$A$2:$A55&lt;42217))</f>
        <v>#REF!</v>
      </c>
      <c r="J52" s="93" t="e">
        <f>SUMPRODUCT((Data!$C$2:$C55=$A52)*(Data!#REF!=J$2)*(Data!$AI$2:$AI55="Yes")*(Data!$A$2:$A55&lt;42217))</f>
        <v>#REF!</v>
      </c>
      <c r="K52" s="93" t="e">
        <f>SUMPRODUCT((Data!$C$2:$C55=$A52)*(Data!#REF!=K$2)*(Data!$AI$2:$AI55="Yes")*(Data!$A$2:$A55&lt;42217))</f>
        <v>#REF!</v>
      </c>
      <c r="L52" s="93" t="e">
        <f>SUMPRODUCT((Data!$C$2:$C55=$A52)*(Data!#REF!=L$2)*(Data!$AI$2:$AI55="Yes")*(Data!$A$2:$A55&lt;42217))</f>
        <v>#REF!</v>
      </c>
      <c r="M52" s="93" t="e">
        <f>SUMPRODUCT((Data!$C$2:$C55=$A52)*(Data!#REF!=M$2)*(Data!$AI$2:$AI55="Yes")*(Data!$A$2:$A55&lt;42217))</f>
        <v>#REF!</v>
      </c>
      <c r="N52" s="93" t="e">
        <f>SUMPRODUCT((Data!$C$2:$C55=$A52)*(Data!#REF!=N$2)*(Data!$AI$2:$AI55="Yes")*(Data!$A$2:$A55&lt;42217))</f>
        <v>#REF!</v>
      </c>
      <c r="O52" s="93" t="e">
        <f>SUMPRODUCT((Data!$C$2:$C55=$A52)*(Data!#REF!=O$2)*(Data!$AI$2:$AI55="Yes")*(Data!$A$2:$A55&lt;42217))</f>
        <v>#REF!</v>
      </c>
      <c r="P52" s="94" t="e">
        <f>SUMPRODUCT((Data!$C$2:$C55=$A52)*(Data!#REF!=P$2)*(Data!$AA$2:$AA55="Yes")*(Data!$A$2:$A55&lt;42217))</f>
        <v>#REF!</v>
      </c>
      <c r="Q52" s="94" t="e">
        <f>SUMPRODUCT((Data!$C$2:$C55=$A52)*(Data!#REF!=Q$2)*(Data!$AA$2:$AA55="Yes")*(Data!$A$2:$A55&lt;42217))</f>
        <v>#REF!</v>
      </c>
      <c r="R52" s="94" t="e">
        <f>SUMPRODUCT((Data!$C$2:$C55=$A52)*(Data!#REF!=R$2)*(Data!$AA$2:$AA55="Yes")*(Data!$A$2:$A55&lt;42217))</f>
        <v>#REF!</v>
      </c>
      <c r="S52" s="94" t="e">
        <f>SUMPRODUCT((Data!$C$2:$C55=$A52)*(Data!#REF!=S$2)*(Data!$AA$2:$AA55="Yes")*(Data!$A$2:$A55&lt;42217))</f>
        <v>#REF!</v>
      </c>
      <c r="T52" s="94" t="e">
        <f>SUMPRODUCT((Data!$C$2:$C55=$A52)*(Data!#REF!=T$2)*(Data!$AA$2:$AA55="Yes")*(Data!$A$2:$A55&lt;42217))</f>
        <v>#REF!</v>
      </c>
      <c r="U52" s="94" t="e">
        <f>SUMPRODUCT((Data!$C$2:$C55=$A52)*(Data!#REF!=U$2)*(Data!$AA$2:$AA55="Yes")*(Data!$A$2:$A55&lt;42217))</f>
        <v>#REF!</v>
      </c>
      <c r="V52" s="94" t="e">
        <f>SUMPRODUCT((Data!$C$2:$C55=$A52)*(Data!#REF!=V$2)*(Data!$AA$2:$AA55="Yes")*(Data!$A$2:$A55&lt;42217))</f>
        <v>#REF!</v>
      </c>
      <c r="W52" s="95" t="e">
        <f>SUMPRODUCT((Data!$C$2:$C55=$A52)*(Data!#REF!=W$2)*(Data!$AA$2:$AA55="No")*(Data!$A$2:$A55&lt;42217))</f>
        <v>#REF!</v>
      </c>
      <c r="X52" s="95" t="e">
        <f>SUMPRODUCT((Data!$C$2:$C55=$A52)*(Data!#REF!=X$2)*(Data!$AA$2:$AA55="No")*(Data!$A$2:$A55&lt;42217))</f>
        <v>#REF!</v>
      </c>
      <c r="Y52" s="95" t="e">
        <f>SUMPRODUCT((Data!$C$2:$C55=$A52)*(Data!#REF!=Y$2)*(Data!$AA$2:$AA55="No")*(Data!$A$2:$A55&lt;42217))</f>
        <v>#REF!</v>
      </c>
      <c r="Z52" s="95" t="e">
        <f>SUMPRODUCT((Data!$C$2:$C55=$A52)*(Data!#REF!=Z$2)*(Data!$AA$2:$AA55="No")*(Data!$A$2:$A55&lt;42217))</f>
        <v>#REF!</v>
      </c>
      <c r="AA52" s="95" t="e">
        <f>SUMPRODUCT((Data!$C$2:$C55=$A52)*(Data!#REF!=AA$2)*(Data!$AA$2:$AA55="No")*(Data!$A$2:$A55&lt;42217))</f>
        <v>#REF!</v>
      </c>
      <c r="AB52" s="95" t="e">
        <f>SUMPRODUCT((Data!$C$2:$C55=$A52)*(Data!#REF!=AB$2)*(Data!$AA$2:$AA55="No")*(Data!$A$2:$A55&lt;42217))</f>
        <v>#REF!</v>
      </c>
      <c r="AC52" s="95" t="e">
        <f>SUMPRODUCT((Data!$C$2:$C55=$A52)*(Data!#REF!=AC$2)*(Data!$AA$2:$AA55="No")*(Data!$A$2:$A55&lt;42217))</f>
        <v>#REF!</v>
      </c>
      <c r="AD52" s="96" t="s">
        <v>17</v>
      </c>
      <c r="AE52" s="96" t="s">
        <v>17</v>
      </c>
      <c r="AF52" s="96" t="s">
        <v>17</v>
      </c>
      <c r="AG52" s="96" t="s">
        <v>17</v>
      </c>
      <c r="AH52" s="96" t="s">
        <v>17</v>
      </c>
      <c r="AI52" s="96" t="s">
        <v>17</v>
      </c>
      <c r="AJ52" s="96" t="s">
        <v>17</v>
      </c>
      <c r="AK52" s="97">
        <v>5654774</v>
      </c>
      <c r="AL52" s="97">
        <v>5689268</v>
      </c>
      <c r="AM52" s="97">
        <v>5708785</v>
      </c>
      <c r="AN52" s="97">
        <v>5724888</v>
      </c>
      <c r="AO52" s="97">
        <v>5742953</v>
      </c>
      <c r="AP52" s="97">
        <v>5757564</v>
      </c>
      <c r="AQ52" s="98">
        <f t="shared" si="0"/>
        <v>3358579</v>
      </c>
      <c r="AR52" s="99">
        <f t="shared" si="1"/>
        <v>0</v>
      </c>
      <c r="AS52" s="99" t="e">
        <f t="shared" si="2"/>
        <v>#REF!</v>
      </c>
      <c r="AT52" s="99" t="e">
        <f t="shared" si="3"/>
        <v>#REF!</v>
      </c>
      <c r="AU52" s="99" t="e">
        <f t="shared" si="4"/>
        <v>#REF!</v>
      </c>
      <c r="AV52" s="99" t="e">
        <f t="shared" si="5"/>
        <v>#REF!</v>
      </c>
      <c r="AW52" s="99" t="e">
        <f t="shared" si="6"/>
        <v>#REF!</v>
      </c>
      <c r="AX52" s="99">
        <f t="shared" si="7"/>
        <v>0</v>
      </c>
      <c r="AY52" s="99">
        <f t="shared" si="8"/>
        <v>37636811</v>
      </c>
      <c r="AZ52" s="99">
        <f t="shared" si="9"/>
        <v>37636811</v>
      </c>
      <c r="BA52" s="100" t="e">
        <f t="shared" ref="BA52:BC52" si="59">(AT52/$AZ52)*100000000</f>
        <v>#REF!</v>
      </c>
      <c r="BB52" s="100" t="e">
        <f t="shared" si="59"/>
        <v>#REF!</v>
      </c>
      <c r="BC52" s="100" t="e">
        <f t="shared" si="59"/>
        <v>#REF!</v>
      </c>
    </row>
    <row r="53" spans="1:55" ht="12">
      <c r="A53" s="91" t="s">
        <v>93</v>
      </c>
      <c r="B53" s="92" t="e">
        <f>SUMPRODUCT((Data!$C$2:$C55=$A53)*(Data!#REF!=B$2)*(Data!$A$2:$A55&lt;42217))</f>
        <v>#REF!</v>
      </c>
      <c r="C53" s="92" t="e">
        <f>SUMPRODUCT((Data!$C$2:$C55=$A53)*(Data!#REF!=C$2)*(Data!$A$2:$A55&lt;42217))</f>
        <v>#REF!</v>
      </c>
      <c r="D53" s="92" t="e">
        <f>SUMPRODUCT((Data!$C$2:$C55=$A53)*(Data!#REF!=D$2)*(Data!$A$2:$A55&lt;42217))</f>
        <v>#REF!</v>
      </c>
      <c r="E53" s="92" t="e">
        <f>SUMPRODUCT((Data!$C$2:$C55=$A53)*(Data!#REF!=E$2)*(Data!$A$2:$A55&lt;42217))</f>
        <v>#REF!</v>
      </c>
      <c r="F53" s="92" t="e">
        <f>SUMPRODUCT((Data!$C$2:$C55=$A53)*(Data!#REF!=F$2)*(Data!$A$2:$A55&lt;42217))</f>
        <v>#REF!</v>
      </c>
      <c r="G53" s="92" t="e">
        <f>SUMPRODUCT((Data!$C$2:$C55=$A53)*(Data!#REF!=G$2)*(Data!$A$2:$A55&lt;42217))</f>
        <v>#REF!</v>
      </c>
      <c r="H53" s="92" t="e">
        <f>SUMPRODUCT((Data!$C$2:$C55=$A53)*(Data!#REF!=H$2)*(Data!$A$2:$A55&lt;42217))</f>
        <v>#REF!</v>
      </c>
      <c r="I53" s="93" t="e">
        <f>SUMPRODUCT((Data!$C$2:$C55=$A53)*(Data!#REF!=I$2)*(Data!$AI$2:$AI55="Yes")*(Data!$A$2:$A55&lt;42217))</f>
        <v>#REF!</v>
      </c>
      <c r="J53" s="93" t="e">
        <f>SUMPRODUCT((Data!$C$2:$C55=$A53)*(Data!#REF!=J$2)*(Data!$AI$2:$AI55="Yes")*(Data!$A$2:$A55&lt;42217))</f>
        <v>#REF!</v>
      </c>
      <c r="K53" s="93" t="e">
        <f>SUMPRODUCT((Data!$C$2:$C55=$A53)*(Data!#REF!=K$2)*(Data!$AI$2:$AI55="Yes")*(Data!$A$2:$A55&lt;42217))</f>
        <v>#REF!</v>
      </c>
      <c r="L53" s="93" t="e">
        <f>SUMPRODUCT((Data!$C$2:$C55=$A53)*(Data!#REF!=L$2)*(Data!$AI$2:$AI55="Yes")*(Data!$A$2:$A55&lt;42217))</f>
        <v>#REF!</v>
      </c>
      <c r="M53" s="93" t="e">
        <f>SUMPRODUCT((Data!$C$2:$C55=$A53)*(Data!#REF!=M$2)*(Data!$AI$2:$AI55="Yes")*(Data!$A$2:$A55&lt;42217))</f>
        <v>#REF!</v>
      </c>
      <c r="N53" s="93" t="e">
        <f>SUMPRODUCT((Data!$C$2:$C55=$A53)*(Data!#REF!=N$2)*(Data!$AI$2:$AI55="Yes")*(Data!$A$2:$A55&lt;42217))</f>
        <v>#REF!</v>
      </c>
      <c r="O53" s="93" t="e">
        <f>SUMPRODUCT((Data!$C$2:$C55=$A53)*(Data!#REF!=O$2)*(Data!$AI$2:$AI55="Yes")*(Data!$A$2:$A55&lt;42217))</f>
        <v>#REF!</v>
      </c>
      <c r="P53" s="94" t="e">
        <f>SUMPRODUCT((Data!$C$2:$C55=$A53)*(Data!#REF!=P$2)*(Data!$AA$2:$AA55="Yes")*(Data!$A$2:$A55&lt;42217))</f>
        <v>#REF!</v>
      </c>
      <c r="Q53" s="94" t="e">
        <f>SUMPRODUCT((Data!$C$2:$C55=$A53)*(Data!#REF!=Q$2)*(Data!$AA$2:$AA55="Yes")*(Data!$A$2:$A55&lt;42217))</f>
        <v>#REF!</v>
      </c>
      <c r="R53" s="94" t="e">
        <f>SUMPRODUCT((Data!$C$2:$C55=$A53)*(Data!#REF!=R$2)*(Data!$AA$2:$AA55="Yes")*(Data!$A$2:$A55&lt;42217))</f>
        <v>#REF!</v>
      </c>
      <c r="S53" s="94" t="e">
        <f>SUMPRODUCT((Data!$C$2:$C55=$A53)*(Data!#REF!=S$2)*(Data!$AA$2:$AA55="Yes")*(Data!$A$2:$A55&lt;42217))</f>
        <v>#REF!</v>
      </c>
      <c r="T53" s="94" t="e">
        <f>SUMPRODUCT((Data!$C$2:$C55=$A53)*(Data!#REF!=T$2)*(Data!$AA$2:$AA55="Yes")*(Data!$A$2:$A55&lt;42217))</f>
        <v>#REF!</v>
      </c>
      <c r="U53" s="94" t="e">
        <f>SUMPRODUCT((Data!$C$2:$C55=$A53)*(Data!#REF!=U$2)*(Data!$AA$2:$AA55="Yes")*(Data!$A$2:$A55&lt;42217))</f>
        <v>#REF!</v>
      </c>
      <c r="V53" s="94" t="e">
        <f>SUMPRODUCT((Data!$C$2:$C55=$A53)*(Data!#REF!=V$2)*(Data!$AA$2:$AA55="Yes")*(Data!$A$2:$A55&lt;42217))</f>
        <v>#REF!</v>
      </c>
      <c r="W53" s="95" t="e">
        <f>SUMPRODUCT((Data!$C$2:$C55=$A53)*(Data!#REF!=W$2)*(Data!$AA$2:$AA55="No")*(Data!$A$2:$A55&lt;42217))</f>
        <v>#REF!</v>
      </c>
      <c r="X53" s="95" t="e">
        <f>SUMPRODUCT((Data!$C$2:$C55=$A53)*(Data!#REF!=X$2)*(Data!$AA$2:$AA55="No")*(Data!$A$2:$A55&lt;42217))</f>
        <v>#REF!</v>
      </c>
      <c r="Y53" s="95" t="e">
        <f>SUMPRODUCT((Data!$C$2:$C55=$A53)*(Data!#REF!=Y$2)*(Data!$AA$2:$AA55="No")*(Data!$A$2:$A55&lt;42217))</f>
        <v>#REF!</v>
      </c>
      <c r="Z53" s="95" t="e">
        <f>SUMPRODUCT((Data!$C$2:$C55=$A53)*(Data!#REF!=Z$2)*(Data!$AA$2:$AA55="No")*(Data!$A$2:$A55&lt;42217))</f>
        <v>#REF!</v>
      </c>
      <c r="AA53" s="95" t="e">
        <f>SUMPRODUCT((Data!$C$2:$C55=$A53)*(Data!#REF!=AA$2)*(Data!$AA$2:$AA55="No")*(Data!$A$2:$A55&lt;42217))</f>
        <v>#REF!</v>
      </c>
      <c r="AB53" s="95" t="e">
        <f>SUMPRODUCT((Data!$C$2:$C55=$A53)*(Data!#REF!=AB$2)*(Data!$AA$2:$AA55="No")*(Data!$A$2:$A55&lt;42217))</f>
        <v>#REF!</v>
      </c>
      <c r="AC53" s="95" t="e">
        <f>SUMPRODUCT((Data!$C$2:$C55=$A53)*(Data!#REF!=AC$2)*(Data!$AA$2:$AA55="No")*(Data!$A$2:$A55&lt;42217))</f>
        <v>#REF!</v>
      </c>
      <c r="AD53" s="96" t="s">
        <v>17</v>
      </c>
      <c r="AE53" s="96" t="s">
        <v>17</v>
      </c>
      <c r="AF53" s="96" t="s">
        <v>17</v>
      </c>
      <c r="AG53" s="96" t="s">
        <v>17</v>
      </c>
      <c r="AH53" s="96" t="s">
        <v>17</v>
      </c>
      <c r="AI53" s="96" t="s">
        <v>17</v>
      </c>
      <c r="AJ53" s="96" t="s">
        <v>17</v>
      </c>
      <c r="AK53" s="97">
        <v>544270</v>
      </c>
      <c r="AL53" s="97">
        <v>564358</v>
      </c>
      <c r="AM53" s="97">
        <v>567631</v>
      </c>
      <c r="AN53" s="97">
        <v>576893</v>
      </c>
      <c r="AO53" s="97">
        <v>583223</v>
      </c>
      <c r="AP53" s="97">
        <v>584153</v>
      </c>
      <c r="AQ53" s="98">
        <f t="shared" si="0"/>
        <v>340755.91666666669</v>
      </c>
      <c r="AR53" s="99">
        <f t="shared" si="1"/>
        <v>0</v>
      </c>
      <c r="AS53" s="99" t="e">
        <f t="shared" si="2"/>
        <v>#REF!</v>
      </c>
      <c r="AT53" s="99" t="e">
        <f t="shared" si="3"/>
        <v>#REF!</v>
      </c>
      <c r="AU53" s="99" t="e">
        <f t="shared" si="4"/>
        <v>#REF!</v>
      </c>
      <c r="AV53" s="99" t="e">
        <f t="shared" si="5"/>
        <v>#REF!</v>
      </c>
      <c r="AW53" s="99" t="e">
        <f t="shared" si="6"/>
        <v>#REF!</v>
      </c>
      <c r="AX53" s="99">
        <f t="shared" si="7"/>
        <v>0</v>
      </c>
      <c r="AY53" s="99">
        <f t="shared" si="8"/>
        <v>3761283.9166666665</v>
      </c>
      <c r="AZ53" s="99">
        <f t="shared" si="9"/>
        <v>3761283.9166666665</v>
      </c>
      <c r="BA53" s="100" t="e">
        <f t="shared" ref="BA53:BC53" si="60">(AT53/$AZ53)*100000000</f>
        <v>#REF!</v>
      </c>
      <c r="BB53" s="100" t="e">
        <f t="shared" si="60"/>
        <v>#REF!</v>
      </c>
      <c r="BC53" s="100" t="e">
        <f t="shared" si="60"/>
        <v>#REF!</v>
      </c>
    </row>
    <row r="54" spans="1:55" ht="12">
      <c r="A54" s="129" t="s">
        <v>101</v>
      </c>
      <c r="B54" s="130" t="e">
        <f t="shared" ref="B54:AC54" si="61">SUM(B3:B53)</f>
        <v>#REF!</v>
      </c>
      <c r="C54" s="130" t="e">
        <f t="shared" si="61"/>
        <v>#REF!</v>
      </c>
      <c r="D54" s="130" t="e">
        <f t="shared" si="61"/>
        <v>#REF!</v>
      </c>
      <c r="E54" s="130" t="e">
        <f t="shared" si="61"/>
        <v>#REF!</v>
      </c>
      <c r="F54" s="130" t="e">
        <f t="shared" si="61"/>
        <v>#REF!</v>
      </c>
      <c r="G54" s="130" t="e">
        <f t="shared" si="61"/>
        <v>#REF!</v>
      </c>
      <c r="H54" s="130" t="e">
        <f t="shared" si="61"/>
        <v>#REF!</v>
      </c>
      <c r="I54" s="130" t="e">
        <f t="shared" si="61"/>
        <v>#REF!</v>
      </c>
      <c r="J54" s="130" t="e">
        <f t="shared" si="61"/>
        <v>#REF!</v>
      </c>
      <c r="K54" s="130" t="e">
        <f t="shared" si="61"/>
        <v>#REF!</v>
      </c>
      <c r="L54" s="130" t="e">
        <f t="shared" si="61"/>
        <v>#REF!</v>
      </c>
      <c r="M54" s="130" t="e">
        <f t="shared" si="61"/>
        <v>#REF!</v>
      </c>
      <c r="N54" s="130" t="e">
        <f t="shared" si="61"/>
        <v>#REF!</v>
      </c>
      <c r="O54" s="130" t="e">
        <f t="shared" si="61"/>
        <v>#REF!</v>
      </c>
      <c r="P54" s="130" t="e">
        <f t="shared" si="61"/>
        <v>#REF!</v>
      </c>
      <c r="Q54" s="130" t="e">
        <f t="shared" si="61"/>
        <v>#REF!</v>
      </c>
      <c r="R54" s="130" t="e">
        <f t="shared" si="61"/>
        <v>#REF!</v>
      </c>
      <c r="S54" s="130" t="e">
        <f t="shared" si="61"/>
        <v>#REF!</v>
      </c>
      <c r="T54" s="130" t="e">
        <f t="shared" si="61"/>
        <v>#REF!</v>
      </c>
      <c r="U54" s="130" t="e">
        <f t="shared" si="61"/>
        <v>#REF!</v>
      </c>
      <c r="V54" s="130" t="e">
        <f t="shared" si="61"/>
        <v>#REF!</v>
      </c>
      <c r="W54" s="130" t="e">
        <f t="shared" si="61"/>
        <v>#REF!</v>
      </c>
      <c r="X54" s="130" t="e">
        <f t="shared" si="61"/>
        <v>#REF!</v>
      </c>
      <c r="Y54" s="130" t="e">
        <f t="shared" si="61"/>
        <v>#REF!</v>
      </c>
      <c r="Z54" s="130" t="e">
        <f t="shared" si="61"/>
        <v>#REF!</v>
      </c>
      <c r="AA54" s="130" t="e">
        <f t="shared" si="61"/>
        <v>#REF!</v>
      </c>
      <c r="AB54" s="130" t="e">
        <f t="shared" si="61"/>
        <v>#REF!</v>
      </c>
      <c r="AC54" s="130" t="e">
        <f t="shared" si="61"/>
        <v>#REF!</v>
      </c>
      <c r="AD54" s="131">
        <f t="shared" ref="AD54:AJ54" si="62">COUNTIF(AD3:AD53,"Yes")</f>
        <v>16</v>
      </c>
      <c r="AE54" s="131">
        <f t="shared" si="62"/>
        <v>16</v>
      </c>
      <c r="AF54" s="131">
        <f t="shared" si="62"/>
        <v>16</v>
      </c>
      <c r="AG54" s="131">
        <f t="shared" si="62"/>
        <v>16</v>
      </c>
      <c r="AH54" s="131">
        <f t="shared" si="62"/>
        <v>17</v>
      </c>
      <c r="AI54" s="131">
        <f t="shared" si="62"/>
        <v>17</v>
      </c>
      <c r="AJ54" s="131">
        <f t="shared" si="62"/>
        <v>19</v>
      </c>
      <c r="AK54" s="132">
        <f t="shared" ref="AK54:AQ54" si="63">SUM(AK3:AK53)</f>
        <v>307006550</v>
      </c>
      <c r="AL54" s="132">
        <f t="shared" si="63"/>
        <v>309347057</v>
      </c>
      <c r="AM54" s="132">
        <f t="shared" si="63"/>
        <v>311721632</v>
      </c>
      <c r="AN54" s="132">
        <f t="shared" si="63"/>
        <v>314112078</v>
      </c>
      <c r="AO54" s="132">
        <f t="shared" si="63"/>
        <v>316497531</v>
      </c>
      <c r="AP54" s="132">
        <f t="shared" si="63"/>
        <v>318857056</v>
      </c>
      <c r="AQ54" s="133">
        <f t="shared" si="63"/>
        <v>185999949.33333334</v>
      </c>
      <c r="AR54" s="134"/>
      <c r="AS54" s="134"/>
      <c r="AT54" s="132" t="e">
        <f t="shared" ref="AT54:AT56" si="64">SUM(B54:H54)</f>
        <v>#REF!</v>
      </c>
      <c r="AU54" s="132" t="e">
        <f t="shared" ref="AU54:AU56" si="65">SUM(I54:O54)</f>
        <v>#REF!</v>
      </c>
      <c r="AV54" s="132" t="e">
        <f t="shared" si="5"/>
        <v>#REF!</v>
      </c>
      <c r="AW54" s="132" t="e">
        <f t="shared" si="6"/>
        <v>#REF!</v>
      </c>
      <c r="AX54" s="132">
        <f t="shared" ref="AX54:AY54" si="66">SUM(AX3:AX53)</f>
        <v>919788176.24999988</v>
      </c>
      <c r="AY54" s="132">
        <f t="shared" si="66"/>
        <v>1143753677.0833333</v>
      </c>
      <c r="AZ54" s="132">
        <f>SUM(AZ55:AZ56)</f>
        <v>2063541853</v>
      </c>
      <c r="BA54" s="135" t="e">
        <f t="shared" ref="BA54:BC54" si="67">AT54/$AZ54*100000000</f>
        <v>#REF!</v>
      </c>
      <c r="BB54" s="135" t="e">
        <f t="shared" si="67"/>
        <v>#REF!</v>
      </c>
      <c r="BC54" s="135" t="e">
        <f t="shared" si="67"/>
        <v>#REF!</v>
      </c>
    </row>
    <row r="55" spans="1:55" ht="12">
      <c r="A55" s="136" t="s">
        <v>248</v>
      </c>
      <c r="B55" s="137" t="e">
        <f t="shared" ref="B55:H55" si="68">SUMIF(AD3:AD53,"Yes",B3:B53)</f>
        <v>#REF!</v>
      </c>
      <c r="C55" s="137" t="e">
        <f t="shared" si="68"/>
        <v>#REF!</v>
      </c>
      <c r="D55" s="137" t="e">
        <f t="shared" si="68"/>
        <v>#REF!</v>
      </c>
      <c r="E55" s="137" t="e">
        <f t="shared" si="68"/>
        <v>#REF!</v>
      </c>
      <c r="F55" s="137" t="e">
        <f t="shared" si="68"/>
        <v>#REF!</v>
      </c>
      <c r="G55" s="137" t="e">
        <f t="shared" si="68"/>
        <v>#REF!</v>
      </c>
      <c r="H55" s="137" t="e">
        <f t="shared" si="68"/>
        <v>#REF!</v>
      </c>
      <c r="I55" s="137" t="e">
        <f t="shared" ref="I55:O55" si="69">SUMIF(AD3:AD53,"Yes",I3:I53)</f>
        <v>#REF!</v>
      </c>
      <c r="J55" s="137" t="e">
        <f t="shared" si="69"/>
        <v>#REF!</v>
      </c>
      <c r="K55" s="137" t="e">
        <f t="shared" si="69"/>
        <v>#REF!</v>
      </c>
      <c r="L55" s="137" t="e">
        <f t="shared" si="69"/>
        <v>#REF!</v>
      </c>
      <c r="M55" s="137" t="e">
        <f t="shared" si="69"/>
        <v>#REF!</v>
      </c>
      <c r="N55" s="137" t="e">
        <f t="shared" si="69"/>
        <v>#REF!</v>
      </c>
      <c r="O55" s="137" t="e">
        <f t="shared" si="69"/>
        <v>#REF!</v>
      </c>
      <c r="P55" s="137" t="e">
        <f t="shared" ref="P55:V55" si="70">SUMIF(AD3:AD53,"Yes",P3:P53)</f>
        <v>#REF!</v>
      </c>
      <c r="Q55" s="137" t="e">
        <f t="shared" si="70"/>
        <v>#REF!</v>
      </c>
      <c r="R55" s="137" t="e">
        <f t="shared" si="70"/>
        <v>#REF!</v>
      </c>
      <c r="S55" s="137" t="e">
        <f t="shared" si="70"/>
        <v>#REF!</v>
      </c>
      <c r="T55" s="137" t="e">
        <f t="shared" si="70"/>
        <v>#REF!</v>
      </c>
      <c r="U55" s="137" t="e">
        <f t="shared" si="70"/>
        <v>#REF!</v>
      </c>
      <c r="V55" s="137" t="e">
        <f t="shared" si="70"/>
        <v>#REF!</v>
      </c>
      <c r="W55" s="137" t="e">
        <f t="shared" ref="W55:AC55" si="71">SUMIF(AD3:AD53,"Yes",W3:W53)</f>
        <v>#REF!</v>
      </c>
      <c r="X55" s="137" t="e">
        <f t="shared" si="71"/>
        <v>#REF!</v>
      </c>
      <c r="Y55" s="137" t="e">
        <f t="shared" si="71"/>
        <v>#REF!</v>
      </c>
      <c r="Z55" s="137" t="e">
        <f t="shared" si="71"/>
        <v>#REF!</v>
      </c>
      <c r="AA55" s="137" t="e">
        <f t="shared" si="71"/>
        <v>#REF!</v>
      </c>
      <c r="AB55" s="137" t="e">
        <f t="shared" si="71"/>
        <v>#REF!</v>
      </c>
      <c r="AC55" s="137" t="e">
        <f t="shared" si="71"/>
        <v>#REF!</v>
      </c>
      <c r="AD55" s="138">
        <f t="shared" ref="AD55:AJ55" si="72">COUNTIF(AD3:AD53,"Yes")</f>
        <v>16</v>
      </c>
      <c r="AE55" s="138">
        <f t="shared" si="72"/>
        <v>16</v>
      </c>
      <c r="AF55" s="138">
        <f t="shared" si="72"/>
        <v>16</v>
      </c>
      <c r="AG55" s="138">
        <f t="shared" si="72"/>
        <v>16</v>
      </c>
      <c r="AH55" s="138">
        <f t="shared" si="72"/>
        <v>17</v>
      </c>
      <c r="AI55" s="138">
        <f t="shared" si="72"/>
        <v>17</v>
      </c>
      <c r="AJ55" s="138">
        <f t="shared" si="72"/>
        <v>19</v>
      </c>
      <c r="AK55" s="139">
        <f t="shared" ref="AK55:AQ55" si="73">SUMIF(AD3:AD53,"Yes",AK3:AK53)</f>
        <v>134525637</v>
      </c>
      <c r="AL55" s="139">
        <f t="shared" si="73"/>
        <v>135261266</v>
      </c>
      <c r="AM55" s="139">
        <f t="shared" si="73"/>
        <v>136108521</v>
      </c>
      <c r="AN55" s="139">
        <f t="shared" si="73"/>
        <v>136893444</v>
      </c>
      <c r="AO55" s="139">
        <f t="shared" si="73"/>
        <v>142974573</v>
      </c>
      <c r="AP55" s="139">
        <f t="shared" si="73"/>
        <v>143740760</v>
      </c>
      <c r="AQ55" s="140">
        <f t="shared" si="73"/>
        <v>90283975.249999985</v>
      </c>
      <c r="AR55" s="141"/>
      <c r="AS55" s="141"/>
      <c r="AT55" s="142" t="e">
        <f t="shared" si="64"/>
        <v>#REF!</v>
      </c>
      <c r="AU55" s="142" t="e">
        <f t="shared" si="65"/>
        <v>#REF!</v>
      </c>
      <c r="AV55" s="142" t="e">
        <f t="shared" si="5"/>
        <v>#REF!</v>
      </c>
      <c r="AW55" s="142" t="e">
        <f t="shared" si="6"/>
        <v>#REF!</v>
      </c>
      <c r="AX55" s="143"/>
      <c r="AY55" s="143"/>
      <c r="AZ55" s="144">
        <v>915399532</v>
      </c>
      <c r="BA55" s="145" t="e">
        <f t="shared" ref="BA55:BC55" si="74">AT55/$AZ55*100000000</f>
        <v>#REF!</v>
      </c>
      <c r="BB55" s="145" t="e">
        <f t="shared" si="74"/>
        <v>#REF!</v>
      </c>
      <c r="BC55" s="145" t="e">
        <f t="shared" si="74"/>
        <v>#REF!</v>
      </c>
    </row>
    <row r="56" spans="1:55" ht="12">
      <c r="A56" s="136" t="s">
        <v>249</v>
      </c>
      <c r="B56" s="137" t="e">
        <f t="shared" ref="B56:H56" si="75">SUMIF(AD3:AD53,"No",B3:B53)</f>
        <v>#REF!</v>
      </c>
      <c r="C56" s="137" t="e">
        <f t="shared" si="75"/>
        <v>#REF!</v>
      </c>
      <c r="D56" s="137" t="e">
        <f t="shared" si="75"/>
        <v>#REF!</v>
      </c>
      <c r="E56" s="137" t="e">
        <f t="shared" si="75"/>
        <v>#REF!</v>
      </c>
      <c r="F56" s="137" t="e">
        <f t="shared" si="75"/>
        <v>#REF!</v>
      </c>
      <c r="G56" s="137" t="e">
        <f t="shared" si="75"/>
        <v>#REF!</v>
      </c>
      <c r="H56" s="137" t="e">
        <f t="shared" si="75"/>
        <v>#REF!</v>
      </c>
      <c r="I56" s="137" t="e">
        <f t="shared" ref="I56:O56" si="76">SUMIF(AD3:AD53,"No",I3:I53)</f>
        <v>#REF!</v>
      </c>
      <c r="J56" s="137" t="e">
        <f t="shared" si="76"/>
        <v>#REF!</v>
      </c>
      <c r="K56" s="137" t="e">
        <f t="shared" si="76"/>
        <v>#REF!</v>
      </c>
      <c r="L56" s="137" t="e">
        <f t="shared" si="76"/>
        <v>#REF!</v>
      </c>
      <c r="M56" s="137" t="e">
        <f t="shared" si="76"/>
        <v>#REF!</v>
      </c>
      <c r="N56" s="137" t="e">
        <f t="shared" si="76"/>
        <v>#REF!</v>
      </c>
      <c r="O56" s="137" t="e">
        <f t="shared" si="76"/>
        <v>#REF!</v>
      </c>
      <c r="P56" s="137" t="e">
        <f t="shared" ref="P56:V56" si="77">SUMIF(AD3:AD53,"No",P3:P53)</f>
        <v>#REF!</v>
      </c>
      <c r="Q56" s="137" t="e">
        <f t="shared" si="77"/>
        <v>#REF!</v>
      </c>
      <c r="R56" s="137" t="e">
        <f t="shared" si="77"/>
        <v>#REF!</v>
      </c>
      <c r="S56" s="137" t="e">
        <f t="shared" si="77"/>
        <v>#REF!</v>
      </c>
      <c r="T56" s="137" t="e">
        <f t="shared" si="77"/>
        <v>#REF!</v>
      </c>
      <c r="U56" s="137" t="e">
        <f t="shared" si="77"/>
        <v>#REF!</v>
      </c>
      <c r="V56" s="137" t="e">
        <f t="shared" si="77"/>
        <v>#REF!</v>
      </c>
      <c r="W56" s="137" t="e">
        <f t="shared" ref="W56:AC56" si="78">SUMIF(AD3:AD53,"No",W3:W53)</f>
        <v>#REF!</v>
      </c>
      <c r="X56" s="137" t="e">
        <f t="shared" si="78"/>
        <v>#REF!</v>
      </c>
      <c r="Y56" s="137" t="e">
        <f t="shared" si="78"/>
        <v>#REF!</v>
      </c>
      <c r="Z56" s="137" t="e">
        <f t="shared" si="78"/>
        <v>#REF!</v>
      </c>
      <c r="AA56" s="137" t="e">
        <f t="shared" si="78"/>
        <v>#REF!</v>
      </c>
      <c r="AB56" s="137" t="e">
        <f t="shared" si="78"/>
        <v>#REF!</v>
      </c>
      <c r="AC56" s="137" t="e">
        <f t="shared" si="78"/>
        <v>#REF!</v>
      </c>
      <c r="AD56" s="138">
        <f t="shared" ref="AD56:AJ56" si="79">COUNTIF(AD3:AD53,"No")</f>
        <v>35</v>
      </c>
      <c r="AE56" s="138">
        <f t="shared" si="79"/>
        <v>35</v>
      </c>
      <c r="AF56" s="138">
        <f t="shared" si="79"/>
        <v>35</v>
      </c>
      <c r="AG56" s="138">
        <f t="shared" si="79"/>
        <v>35</v>
      </c>
      <c r="AH56" s="138">
        <f t="shared" si="79"/>
        <v>34</v>
      </c>
      <c r="AI56" s="138">
        <f t="shared" si="79"/>
        <v>34</v>
      </c>
      <c r="AJ56" s="138">
        <f t="shared" si="79"/>
        <v>32</v>
      </c>
      <c r="AK56" s="139">
        <f t="shared" ref="AK56:AQ56" si="80">SUMIF(AD3:AD53,"No",AK3:AK53)</f>
        <v>172480913</v>
      </c>
      <c r="AL56" s="139">
        <f t="shared" si="80"/>
        <v>174085791</v>
      </c>
      <c r="AM56" s="139">
        <f t="shared" si="80"/>
        <v>175613111</v>
      </c>
      <c r="AN56" s="139">
        <f t="shared" si="80"/>
        <v>177218634</v>
      </c>
      <c r="AO56" s="139">
        <f t="shared" si="80"/>
        <v>173522958</v>
      </c>
      <c r="AP56" s="139">
        <f t="shared" si="80"/>
        <v>175116296</v>
      </c>
      <c r="AQ56" s="140">
        <f t="shared" si="80"/>
        <v>95715974.083333343</v>
      </c>
      <c r="AR56" s="141"/>
      <c r="AS56" s="141"/>
      <c r="AT56" s="142" t="e">
        <f t="shared" si="64"/>
        <v>#REF!</v>
      </c>
      <c r="AU56" s="142" t="e">
        <f t="shared" si="65"/>
        <v>#REF!</v>
      </c>
      <c r="AV56" s="142" t="e">
        <f t="shared" si="5"/>
        <v>#REF!</v>
      </c>
      <c r="AW56" s="142" t="e">
        <f t="shared" si="6"/>
        <v>#REF!</v>
      </c>
      <c r="AX56" s="143"/>
      <c r="AY56" s="143"/>
      <c r="AZ56" s="144">
        <v>1148142321</v>
      </c>
      <c r="BA56" s="145" t="e">
        <f t="shared" ref="BA56:BC56" si="81">AT56/$AZ56*100000000</f>
        <v>#REF!</v>
      </c>
      <c r="BB56" s="145" t="e">
        <f t="shared" si="81"/>
        <v>#REF!</v>
      </c>
      <c r="BC56" s="145" t="e">
        <f t="shared" si="81"/>
        <v>#REF!</v>
      </c>
    </row>
    <row r="57" spans="1:55" ht="12">
      <c r="A57" s="136" t="s">
        <v>250</v>
      </c>
      <c r="B57" s="137"/>
      <c r="C57" s="137"/>
      <c r="D57" s="137"/>
      <c r="E57" s="137"/>
      <c r="F57" s="137"/>
      <c r="G57" s="137"/>
      <c r="H57" s="137"/>
      <c r="I57" s="137"/>
      <c r="J57" s="137"/>
      <c r="K57" s="137"/>
      <c r="L57" s="137"/>
      <c r="M57" s="137"/>
      <c r="N57" s="137"/>
      <c r="O57" s="137"/>
      <c r="P57" s="137"/>
      <c r="Q57" s="137"/>
      <c r="R57" s="137"/>
      <c r="S57" s="137"/>
      <c r="T57" s="137"/>
      <c r="U57" s="137"/>
      <c r="V57" s="137"/>
      <c r="W57" s="137"/>
      <c r="X57" s="137"/>
      <c r="Y57" s="137"/>
      <c r="Z57" s="137"/>
      <c r="AA57" s="137"/>
      <c r="AB57" s="137"/>
      <c r="AC57" s="137"/>
      <c r="AD57" s="138"/>
      <c r="AE57" s="138"/>
      <c r="AF57" s="138"/>
      <c r="AG57" s="138"/>
      <c r="AH57" s="138"/>
      <c r="AI57" s="138"/>
      <c r="AJ57" s="138"/>
      <c r="AK57" s="139"/>
      <c r="AL57" s="139"/>
      <c r="AM57" s="139"/>
      <c r="AN57" s="139"/>
      <c r="AO57" s="139"/>
      <c r="AP57" s="139"/>
      <c r="AQ57" s="140"/>
      <c r="AR57" s="141"/>
      <c r="AS57" s="141"/>
      <c r="AT57" s="142"/>
      <c r="AU57" s="142"/>
      <c r="AV57" s="142"/>
      <c r="AW57" s="142"/>
      <c r="AX57" s="143"/>
      <c r="AY57" s="143"/>
      <c r="AZ57" s="144"/>
      <c r="BA57" s="146" t="e">
        <f t="shared" ref="BA57:BC57" si="82">(BA55-BA56)/BA56</f>
        <v>#REF!</v>
      </c>
      <c r="BB57" s="146" t="e">
        <f t="shared" si="82"/>
        <v>#REF!</v>
      </c>
      <c r="BC57" s="146" t="e">
        <f t="shared" si="82"/>
        <v>#REF!</v>
      </c>
    </row>
  </sheetData>
  <mergeCells count="18">
    <mergeCell ref="AS1:AS2"/>
    <mergeCell ref="AT1:AT2"/>
    <mergeCell ref="BA1:BA2"/>
    <mergeCell ref="BB1:BB2"/>
    <mergeCell ref="BC1:BC2"/>
    <mergeCell ref="AZ1:AZ2"/>
    <mergeCell ref="AY1:AY2"/>
    <mergeCell ref="AX1:AX2"/>
    <mergeCell ref="AV1:AV2"/>
    <mergeCell ref="AW1:AW2"/>
    <mergeCell ref="AU1:AU2"/>
    <mergeCell ref="I1:O1"/>
    <mergeCell ref="B1:H1"/>
    <mergeCell ref="AR1:AR2"/>
    <mergeCell ref="P1:V1"/>
    <mergeCell ref="W1:AC1"/>
    <mergeCell ref="AK1:AQ1"/>
    <mergeCell ref="AD1:AJ1"/>
  </mergeCells>
  <conditionalFormatting sqref="B3:H53">
    <cfRule type="expression" dxfId="0" priority="1">
      <formula>$AD3&lt;&gt;AD3</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sheetPr>
  <dimension ref="A1:E63"/>
  <sheetViews>
    <sheetView showGridLines="0" workbookViewId="0"/>
  </sheetViews>
  <sheetFormatPr baseColWidth="10" defaultColWidth="14.5" defaultRowHeight="15.75" customHeight="1" x14ac:dyDescent="0"/>
  <cols>
    <col min="2" max="2" width="18.6640625" customWidth="1"/>
    <col min="3" max="3" width="16.33203125" customWidth="1"/>
    <col min="4" max="4" width="21.33203125" customWidth="1"/>
    <col min="5" max="5" width="12.33203125" customWidth="1"/>
  </cols>
  <sheetData>
    <row r="1" spans="1:5" ht="12">
      <c r="A1" s="184" t="s">
        <v>185</v>
      </c>
      <c r="B1" s="169"/>
      <c r="C1" s="169"/>
      <c r="D1" s="169"/>
      <c r="E1" s="169"/>
    </row>
    <row r="2" spans="1:5" ht="34.5" customHeight="1">
      <c r="A2" s="102"/>
      <c r="B2" s="103" t="s">
        <v>186</v>
      </c>
      <c r="C2" s="104" t="s">
        <v>167</v>
      </c>
      <c r="D2" s="103" t="s">
        <v>187</v>
      </c>
      <c r="E2" s="105" t="s">
        <v>188</v>
      </c>
    </row>
    <row r="3" spans="1:5" ht="12">
      <c r="A3" s="106" t="s">
        <v>86</v>
      </c>
      <c r="B3" s="107" t="s">
        <v>189</v>
      </c>
      <c r="C3" s="108" t="e">
        <f>VLOOKUP($A3,'R-State Law (July 2015)'!$A$3:$AY$53,45, "")</f>
        <v>#VALUE!</v>
      </c>
      <c r="D3" s="108" t="e">
        <f>VLOOKUP($A3,'R-State Law (July 2015)'!$A$3:$AY$53,51, "")</f>
        <v>#VALUE!</v>
      </c>
      <c r="E3" s="109" t="e">
        <f t="shared" ref="E3:E38" si="0">SUM(C3)/D3*100000000</f>
        <v>#VALUE!</v>
      </c>
    </row>
    <row r="4" spans="1:5" ht="12">
      <c r="A4" s="106" t="s">
        <v>157</v>
      </c>
      <c r="B4" s="107" t="s">
        <v>189</v>
      </c>
      <c r="C4" s="108" t="e">
        <f>VLOOKUP($A4,'R-State Law (July 2015)'!$A$3:$AY$53,45, "")</f>
        <v>#VALUE!</v>
      </c>
      <c r="D4" s="108" t="e">
        <f>VLOOKUP($A4,'R-State Law (July 2015)'!$A$3:$AY$53,51, "")</f>
        <v>#VALUE!</v>
      </c>
      <c r="E4" s="109" t="e">
        <f t="shared" si="0"/>
        <v>#VALUE!</v>
      </c>
    </row>
    <row r="5" spans="1:5" ht="12">
      <c r="A5" s="106" t="s">
        <v>87</v>
      </c>
      <c r="B5" s="107" t="s">
        <v>189</v>
      </c>
      <c r="C5" s="108" t="e">
        <f>VLOOKUP($A5,'R-State Law (July 2015)'!$A$3:$AY$53,45, "")</f>
        <v>#VALUE!</v>
      </c>
      <c r="D5" s="108" t="e">
        <f>VLOOKUP($A5,'R-State Law (July 2015)'!$A$3:$AY$53,51, "")</f>
        <v>#VALUE!</v>
      </c>
      <c r="E5" s="109" t="e">
        <f t="shared" si="0"/>
        <v>#VALUE!</v>
      </c>
    </row>
    <row r="6" spans="1:5" ht="12">
      <c r="A6" s="106" t="s">
        <v>83</v>
      </c>
      <c r="B6" s="107" t="s">
        <v>189</v>
      </c>
      <c r="C6" s="108" t="e">
        <f>VLOOKUP($A6,'R-State Law (July 2015)'!$A$3:$AY$53,45, "")</f>
        <v>#VALUE!</v>
      </c>
      <c r="D6" s="108" t="e">
        <f>VLOOKUP($A6,'R-State Law (July 2015)'!$A$3:$AY$53,51, "")</f>
        <v>#VALUE!</v>
      </c>
      <c r="E6" s="109" t="e">
        <f t="shared" si="0"/>
        <v>#VALUE!</v>
      </c>
    </row>
    <row r="7" spans="1:5" ht="12">
      <c r="A7" s="106" t="s">
        <v>190</v>
      </c>
      <c r="B7" s="107" t="s">
        <v>191</v>
      </c>
      <c r="C7" s="108" t="e">
        <f>VLOOKUP($A7,'R-State Law (July 2015)'!$A$3:$AY$53,45, "")</f>
        <v>#VALUE!</v>
      </c>
      <c r="D7" s="108" t="e">
        <f>VLOOKUP($A7,'R-State Law (July 2015)'!$A$3:$AY$53,51, "")</f>
        <v>#VALUE!</v>
      </c>
      <c r="E7" s="109" t="e">
        <f t="shared" si="0"/>
        <v>#VALUE!</v>
      </c>
    </row>
    <row r="8" spans="1:5" ht="12">
      <c r="A8" s="106" t="s">
        <v>100</v>
      </c>
      <c r="B8" s="107" t="s">
        <v>189</v>
      </c>
      <c r="C8" s="108" t="e">
        <f>VLOOKUP($A8,'R-State Law (July 2015)'!$A$3:$AY$53,45, "")</f>
        <v>#VALUE!</v>
      </c>
      <c r="D8" s="108" t="e">
        <f>VLOOKUP($A8,'R-State Law (July 2015)'!$A$3:$AY$53,51, "")</f>
        <v>#VALUE!</v>
      </c>
      <c r="E8" s="109" t="e">
        <f t="shared" si="0"/>
        <v>#VALUE!</v>
      </c>
    </row>
    <row r="9" spans="1:5" ht="12">
      <c r="A9" s="106" t="s">
        <v>78</v>
      </c>
      <c r="B9" s="107" t="s">
        <v>189</v>
      </c>
      <c r="C9" s="108" t="e">
        <f>VLOOKUP($A9,'R-State Law (July 2015)'!$A$3:$AY$53,45, "")</f>
        <v>#VALUE!</v>
      </c>
      <c r="D9" s="108" t="e">
        <f>VLOOKUP($A9,'R-State Law (July 2015)'!$A$3:$AY$53,51, "")</f>
        <v>#VALUE!</v>
      </c>
      <c r="E9" s="109" t="e">
        <f t="shared" si="0"/>
        <v>#VALUE!</v>
      </c>
    </row>
    <row r="10" spans="1:5" ht="12">
      <c r="A10" s="106" t="s">
        <v>92</v>
      </c>
      <c r="B10" s="107" t="s">
        <v>189</v>
      </c>
      <c r="C10" s="108" t="e">
        <f>VLOOKUP($A10,'R-State Law (July 2015)'!$A$3:$AY$53,45, "")</f>
        <v>#VALUE!</v>
      </c>
      <c r="D10" s="108" t="e">
        <f>VLOOKUP($A10,'R-State Law (July 2015)'!$A$3:$AY$53,51, "")</f>
        <v>#VALUE!</v>
      </c>
      <c r="E10" s="109" t="e">
        <f t="shared" si="0"/>
        <v>#VALUE!</v>
      </c>
    </row>
    <row r="11" spans="1:5" ht="12">
      <c r="A11" s="106" t="s">
        <v>7</v>
      </c>
      <c r="B11" s="107" t="s">
        <v>189</v>
      </c>
      <c r="C11" s="108" t="e">
        <f>VLOOKUP($A11,'R-State Law (July 2015)'!$A$3:$AY$53,45, "")</f>
        <v>#VALUE!</v>
      </c>
      <c r="D11" s="108" t="e">
        <f>VLOOKUP($A11,'R-State Law (July 2015)'!$A$3:$AY$53,51, "")</f>
        <v>#VALUE!</v>
      </c>
      <c r="E11" s="109" t="e">
        <f t="shared" si="0"/>
        <v>#VALUE!</v>
      </c>
    </row>
    <row r="12" spans="1:5" ht="12">
      <c r="A12" s="106" t="s">
        <v>72</v>
      </c>
      <c r="B12" s="107" t="s">
        <v>189</v>
      </c>
      <c r="C12" s="108" t="e">
        <f>VLOOKUP($A12,'R-State Law (July 2015)'!$A$3:$AY$53,45, "")</f>
        <v>#VALUE!</v>
      </c>
      <c r="D12" s="108" t="e">
        <f>VLOOKUP($A12,'R-State Law (July 2015)'!$A$3:$AY$53,51, "")</f>
        <v>#VALUE!</v>
      </c>
      <c r="E12" s="109" t="e">
        <f t="shared" si="0"/>
        <v>#VALUE!</v>
      </c>
    </row>
    <row r="13" spans="1:5" ht="12">
      <c r="A13" s="106" t="s">
        <v>26</v>
      </c>
      <c r="B13" s="107" t="s">
        <v>189</v>
      </c>
      <c r="C13" s="108" t="e">
        <f>VLOOKUP($A13,'R-State Law (July 2015)'!$A$3:$AY$53,45, "")</f>
        <v>#VALUE!</v>
      </c>
      <c r="D13" s="108" t="e">
        <f>VLOOKUP($A13,'R-State Law (July 2015)'!$A$3:$AY$53,51, "")</f>
        <v>#VALUE!</v>
      </c>
      <c r="E13" s="109" t="e">
        <f t="shared" si="0"/>
        <v>#VALUE!</v>
      </c>
    </row>
    <row r="14" spans="1:5" ht="12">
      <c r="A14" s="106" t="s">
        <v>38</v>
      </c>
      <c r="B14" s="107" t="s">
        <v>189</v>
      </c>
      <c r="C14" s="108" t="e">
        <f>VLOOKUP($A14,'R-State Law (July 2015)'!$A$3:$AY$53,45, "")</f>
        <v>#VALUE!</v>
      </c>
      <c r="D14" s="108" t="e">
        <f>VLOOKUP($A14,'R-State Law (July 2015)'!$A$3:$AY$53,51, "")</f>
        <v>#VALUE!</v>
      </c>
      <c r="E14" s="109" t="e">
        <f t="shared" si="0"/>
        <v>#VALUE!</v>
      </c>
    </row>
    <row r="15" spans="1:5" ht="12">
      <c r="A15" s="106" t="s">
        <v>153</v>
      </c>
      <c r="B15" s="107" t="s">
        <v>189</v>
      </c>
      <c r="C15" s="108" t="e">
        <f>VLOOKUP($A15,'R-State Law (July 2015)'!$A$3:$AY$53,45, "")</f>
        <v>#VALUE!</v>
      </c>
      <c r="D15" s="108" t="e">
        <f>VLOOKUP($A15,'R-State Law (July 2015)'!$A$3:$AY$53,51, "")</f>
        <v>#VALUE!</v>
      </c>
      <c r="E15" s="109" t="e">
        <f t="shared" si="0"/>
        <v>#VALUE!</v>
      </c>
    </row>
    <row r="16" spans="1:5" ht="12">
      <c r="A16" s="106" t="s">
        <v>95</v>
      </c>
      <c r="B16" s="107" t="s">
        <v>189</v>
      </c>
      <c r="C16" s="108" t="e">
        <f>VLOOKUP($A16,'R-State Law (July 2015)'!$A$3:$AY$53,45, "")</f>
        <v>#VALUE!</v>
      </c>
      <c r="D16" s="108" t="e">
        <f>VLOOKUP($A16,'R-State Law (July 2015)'!$A$3:$AY$53,51, "")</f>
        <v>#VALUE!</v>
      </c>
      <c r="E16" s="109" t="e">
        <f t="shared" si="0"/>
        <v>#VALUE!</v>
      </c>
    </row>
    <row r="17" spans="1:5" ht="12">
      <c r="A17" s="106" t="s">
        <v>27</v>
      </c>
      <c r="B17" s="107" t="s">
        <v>189</v>
      </c>
      <c r="C17" s="108" t="e">
        <f>VLOOKUP($A17,'R-State Law (July 2015)'!$A$3:$AY$53,45, "")</f>
        <v>#VALUE!</v>
      </c>
      <c r="D17" s="108" t="e">
        <f>VLOOKUP($A17,'R-State Law (July 2015)'!$A$3:$AY$53,51, "")</f>
        <v>#VALUE!</v>
      </c>
      <c r="E17" s="109" t="e">
        <f t="shared" si="0"/>
        <v>#VALUE!</v>
      </c>
    </row>
    <row r="18" spans="1:5" ht="12">
      <c r="A18" s="106" t="s">
        <v>9</v>
      </c>
      <c r="B18" s="107" t="s">
        <v>189</v>
      </c>
      <c r="C18" s="108" t="e">
        <f>VLOOKUP($A18,'R-State Law (July 2015)'!$A$3:$AY$53,45, "")</f>
        <v>#VALUE!</v>
      </c>
      <c r="D18" s="108" t="e">
        <f>VLOOKUP($A18,'R-State Law (July 2015)'!$A$3:$AY$53,51, "")</f>
        <v>#VALUE!</v>
      </c>
      <c r="E18" s="109" t="e">
        <f t="shared" si="0"/>
        <v>#VALUE!</v>
      </c>
    </row>
    <row r="19" spans="1:5" ht="12">
      <c r="A19" s="106" t="s">
        <v>154</v>
      </c>
      <c r="B19" s="107" t="s">
        <v>189</v>
      </c>
      <c r="C19" s="108" t="e">
        <f>VLOOKUP($A19,'R-State Law (July 2015)'!$A$3:$AY$53,45, "")</f>
        <v>#VALUE!</v>
      </c>
      <c r="D19" s="108" t="e">
        <f>VLOOKUP($A19,'R-State Law (July 2015)'!$A$3:$AY$53,51, "")</f>
        <v>#VALUE!</v>
      </c>
      <c r="E19" s="109" t="e">
        <f t="shared" si="0"/>
        <v>#VALUE!</v>
      </c>
    </row>
    <row r="20" spans="1:5" ht="12">
      <c r="A20" s="106" t="s">
        <v>94</v>
      </c>
      <c r="B20" s="107" t="s">
        <v>189</v>
      </c>
      <c r="C20" s="108" t="e">
        <f>VLOOKUP($A20,'R-State Law (July 2015)'!$A$3:$AY$53,45, "")</f>
        <v>#VALUE!</v>
      </c>
      <c r="D20" s="108" t="e">
        <f>VLOOKUP($A20,'R-State Law (July 2015)'!$A$3:$AY$53,51, "")</f>
        <v>#VALUE!</v>
      </c>
      <c r="E20" s="109" t="e">
        <f t="shared" si="0"/>
        <v>#VALUE!</v>
      </c>
    </row>
    <row r="21" spans="1:5" ht="12">
      <c r="A21" s="106" t="s">
        <v>162</v>
      </c>
      <c r="B21" s="107" t="s">
        <v>189</v>
      </c>
      <c r="C21" s="108" t="e">
        <f>VLOOKUP($A21,'R-State Law (July 2015)'!$A$3:$AY$53,45, "")</f>
        <v>#VALUE!</v>
      </c>
      <c r="D21" s="108" t="e">
        <f>VLOOKUP($A21,'R-State Law (July 2015)'!$A$3:$AY$53,51, "")</f>
        <v>#VALUE!</v>
      </c>
      <c r="E21" s="109" t="e">
        <f t="shared" si="0"/>
        <v>#VALUE!</v>
      </c>
    </row>
    <row r="22" spans="1:5" ht="12">
      <c r="A22" s="106" t="s">
        <v>155</v>
      </c>
      <c r="B22" s="107" t="s">
        <v>189</v>
      </c>
      <c r="C22" s="108" t="e">
        <f>VLOOKUP($A22,'R-State Law (July 2015)'!$A$3:$AY$53,45, "")</f>
        <v>#VALUE!</v>
      </c>
      <c r="D22" s="108" t="e">
        <f>VLOOKUP($A22,'R-State Law (July 2015)'!$A$3:$AY$53,51, "")</f>
        <v>#VALUE!</v>
      </c>
      <c r="E22" s="109" t="e">
        <f t="shared" si="0"/>
        <v>#VALUE!</v>
      </c>
    </row>
    <row r="23" spans="1:5" ht="12">
      <c r="A23" s="106" t="s">
        <v>113</v>
      </c>
      <c r="B23" s="107" t="s">
        <v>189</v>
      </c>
      <c r="C23" s="108" t="e">
        <f>VLOOKUP($A23,'R-State Law (July 2015)'!$A$3:$AY$53,45, "")</f>
        <v>#VALUE!</v>
      </c>
      <c r="D23" s="108" t="e">
        <f>VLOOKUP($A23,'R-State Law (July 2015)'!$A$3:$AY$53,51, "")</f>
        <v>#VALUE!</v>
      </c>
      <c r="E23" s="109" t="e">
        <f t="shared" si="0"/>
        <v>#VALUE!</v>
      </c>
    </row>
    <row r="24" spans="1:5" ht="12">
      <c r="A24" s="106" t="s">
        <v>36</v>
      </c>
      <c r="B24" s="107" t="s">
        <v>189</v>
      </c>
      <c r="C24" s="108" t="e">
        <f>VLOOKUP($A24,'R-State Law (July 2015)'!$A$3:$AY$53,45, "")</f>
        <v>#VALUE!</v>
      </c>
      <c r="D24" s="108" t="e">
        <f>VLOOKUP($A24,'R-State Law (July 2015)'!$A$3:$AY$53,51, "")</f>
        <v>#VALUE!</v>
      </c>
      <c r="E24" s="109" t="e">
        <f t="shared" si="0"/>
        <v>#VALUE!</v>
      </c>
    </row>
    <row r="25" spans="1:5" ht="12">
      <c r="A25" s="106" t="s">
        <v>13</v>
      </c>
      <c r="B25" s="107" t="s">
        <v>189</v>
      </c>
      <c r="C25" s="108" t="e">
        <f>VLOOKUP($A25,'R-State Law (July 2015)'!$A$3:$AY$53,45, "")</f>
        <v>#VALUE!</v>
      </c>
      <c r="D25" s="108" t="e">
        <f>VLOOKUP($A25,'R-State Law (July 2015)'!$A$3:$AY$53,51, "")</f>
        <v>#VALUE!</v>
      </c>
      <c r="E25" s="109" t="e">
        <f t="shared" si="0"/>
        <v>#VALUE!</v>
      </c>
    </row>
    <row r="26" spans="1:5" ht="12">
      <c r="A26" s="106" t="s">
        <v>192</v>
      </c>
      <c r="B26" s="107" t="s">
        <v>193</v>
      </c>
      <c r="C26" s="108" t="e">
        <f>VLOOKUP($A26,'R-State Law (July 2015)'!$A$3:$AY$53,45, "")</f>
        <v>#VALUE!</v>
      </c>
      <c r="D26" s="108" t="e">
        <f>VLOOKUP($A26,'R-State Law (July 2015)'!$A$3:$AY$53,51, "")</f>
        <v>#VALUE!</v>
      </c>
      <c r="E26" s="109" t="e">
        <f t="shared" si="0"/>
        <v>#VALUE!</v>
      </c>
    </row>
    <row r="27" spans="1:5" ht="12">
      <c r="A27" s="106" t="s">
        <v>22</v>
      </c>
      <c r="B27" s="107" t="s">
        <v>189</v>
      </c>
      <c r="C27" s="108" t="e">
        <f>VLOOKUP($A27,'R-State Law (July 2015)'!$A$3:$AY$53,45, "")</f>
        <v>#VALUE!</v>
      </c>
      <c r="D27" s="108" t="e">
        <f>VLOOKUP($A27,'R-State Law (July 2015)'!$A$3:$AY$53,51, "")</f>
        <v>#VALUE!</v>
      </c>
      <c r="E27" s="109" t="e">
        <f t="shared" si="0"/>
        <v>#VALUE!</v>
      </c>
    </row>
    <row r="28" spans="1:5" ht="12">
      <c r="A28" s="106" t="s">
        <v>164</v>
      </c>
      <c r="B28" s="107" t="s">
        <v>189</v>
      </c>
      <c r="C28" s="108" t="e">
        <f>VLOOKUP($A28,'R-State Law (July 2015)'!$A$3:$AY$53,45, "")</f>
        <v>#VALUE!</v>
      </c>
      <c r="D28" s="108" t="e">
        <f>VLOOKUP($A28,'R-State Law (July 2015)'!$A$3:$AY$53,51, "")</f>
        <v>#VALUE!</v>
      </c>
      <c r="E28" s="109" t="e">
        <f t="shared" si="0"/>
        <v>#VALUE!</v>
      </c>
    </row>
    <row r="29" spans="1:5" ht="12">
      <c r="A29" s="106" t="s">
        <v>12</v>
      </c>
      <c r="B29" s="107" t="s">
        <v>189</v>
      </c>
      <c r="C29" s="108" t="e">
        <f>VLOOKUP($A29,'R-State Law (July 2015)'!$A$3:$AY$53,45, "")</f>
        <v>#VALUE!</v>
      </c>
      <c r="D29" s="108" t="e">
        <f>VLOOKUP($A29,'R-State Law (July 2015)'!$A$3:$AY$53,51, "")</f>
        <v>#VALUE!</v>
      </c>
      <c r="E29" s="109" t="e">
        <f t="shared" si="0"/>
        <v>#VALUE!</v>
      </c>
    </row>
    <row r="30" spans="1:5" ht="12">
      <c r="A30" s="106" t="s">
        <v>24</v>
      </c>
      <c r="B30" s="107" t="s">
        <v>189</v>
      </c>
      <c r="C30" s="108" t="e">
        <f>VLOOKUP($A30,'R-State Law (July 2015)'!$A$3:$AY$53,45, "")</f>
        <v>#VALUE!</v>
      </c>
      <c r="D30" s="108" t="e">
        <f>VLOOKUP($A30,'R-State Law (July 2015)'!$A$3:$AY$53,51, "")</f>
        <v>#VALUE!</v>
      </c>
      <c r="E30" s="109" t="e">
        <f t="shared" si="0"/>
        <v>#VALUE!</v>
      </c>
    </row>
    <row r="31" spans="1:5" ht="12">
      <c r="A31" s="106" t="s">
        <v>96</v>
      </c>
      <c r="B31" s="107" t="s">
        <v>189</v>
      </c>
      <c r="C31" s="108" t="e">
        <f>VLOOKUP($A31,'R-State Law (July 2015)'!$A$3:$AY$53,45, "")</f>
        <v>#VALUE!</v>
      </c>
      <c r="D31" s="108" t="e">
        <f>VLOOKUP($A31,'R-State Law (July 2015)'!$A$3:$AY$53,51, "")</f>
        <v>#VALUE!</v>
      </c>
      <c r="E31" s="109" t="e">
        <f t="shared" si="0"/>
        <v>#VALUE!</v>
      </c>
    </row>
    <row r="32" spans="1:5" ht="12">
      <c r="A32" s="106" t="s">
        <v>165</v>
      </c>
      <c r="B32" s="107" t="s">
        <v>189</v>
      </c>
      <c r="C32" s="108" t="e">
        <f>VLOOKUP($A32,'R-State Law (July 2015)'!$A$3:$AY$53,45, "")</f>
        <v>#VALUE!</v>
      </c>
      <c r="D32" s="108" t="e">
        <f>VLOOKUP($A32,'R-State Law (July 2015)'!$A$3:$AY$53,51, "")</f>
        <v>#VALUE!</v>
      </c>
      <c r="E32" s="109" t="e">
        <f t="shared" si="0"/>
        <v>#VALUE!</v>
      </c>
    </row>
    <row r="33" spans="1:5" ht="12">
      <c r="A33" s="106" t="s">
        <v>84</v>
      </c>
      <c r="B33" s="107" t="s">
        <v>189</v>
      </c>
      <c r="C33" s="108" t="e">
        <f>VLOOKUP($A33,'R-State Law (July 2015)'!$A$3:$AY$53,45, "")</f>
        <v>#VALUE!</v>
      </c>
      <c r="D33" s="108" t="e">
        <f>VLOOKUP($A33,'R-State Law (July 2015)'!$A$3:$AY$53,51, "")</f>
        <v>#VALUE!</v>
      </c>
      <c r="E33" s="109" t="e">
        <f t="shared" si="0"/>
        <v>#VALUE!</v>
      </c>
    </row>
    <row r="34" spans="1:5" ht="12">
      <c r="A34" s="106" t="s">
        <v>194</v>
      </c>
      <c r="B34" s="107" t="s">
        <v>193</v>
      </c>
      <c r="C34" s="108" t="e">
        <f>VLOOKUP($A34,'R-State Law (July 2015)'!$A$3:$AY$53,45, "")</f>
        <v>#VALUE!</v>
      </c>
      <c r="D34" s="108" t="e">
        <f>VLOOKUP($A34,'R-State Law (July 2015)'!$A$3:$AY$53,51, "")</f>
        <v>#VALUE!</v>
      </c>
      <c r="E34" s="109" t="e">
        <f t="shared" si="0"/>
        <v>#VALUE!</v>
      </c>
    </row>
    <row r="35" spans="1:5" ht="12">
      <c r="A35" s="106" t="s">
        <v>31</v>
      </c>
      <c r="B35" s="107" t="s">
        <v>189</v>
      </c>
      <c r="C35" s="108" t="e">
        <f>VLOOKUP($A35,'R-State Law (July 2015)'!$A$3:$AY$53,45, "")</f>
        <v>#VALUE!</v>
      </c>
      <c r="D35" s="108" t="e">
        <f>VLOOKUP($A35,'R-State Law (July 2015)'!$A$3:$AY$53,51, "")</f>
        <v>#VALUE!</v>
      </c>
      <c r="E35" s="109" t="e">
        <f t="shared" si="0"/>
        <v>#VALUE!</v>
      </c>
    </row>
    <row r="36" spans="1:5" ht="12">
      <c r="A36" s="106" t="s">
        <v>11</v>
      </c>
      <c r="B36" s="107" t="s">
        <v>189</v>
      </c>
      <c r="C36" s="108" t="e">
        <f>VLOOKUP($A36,'R-State Law (July 2015)'!$A$3:$AY$53,45, "")</f>
        <v>#VALUE!</v>
      </c>
      <c r="D36" s="108" t="e">
        <f>VLOOKUP($A36,'R-State Law (July 2015)'!$A$3:$AY$53,51, "")</f>
        <v>#VALUE!</v>
      </c>
      <c r="E36" s="109" t="e">
        <f t="shared" si="0"/>
        <v>#VALUE!</v>
      </c>
    </row>
    <row r="37" spans="1:5" ht="12">
      <c r="A37" s="106" t="s">
        <v>93</v>
      </c>
      <c r="B37" s="107" t="s">
        <v>189</v>
      </c>
      <c r="C37" s="108" t="e">
        <f>VLOOKUP($A37,'R-State Law (July 2015)'!$A$3:$AY$53,45, "")</f>
        <v>#VALUE!</v>
      </c>
      <c r="D37" s="108" t="e">
        <f>VLOOKUP($A37,'R-State Law (July 2015)'!$A$3:$AY$53,51, "")</f>
        <v>#VALUE!</v>
      </c>
      <c r="E37" s="109" t="e">
        <f t="shared" si="0"/>
        <v>#VALUE!</v>
      </c>
    </row>
    <row r="38" spans="1:5" ht="12">
      <c r="A38" s="110" t="s">
        <v>101</v>
      </c>
      <c r="B38" s="102"/>
      <c r="C38" s="111" t="e">
        <f t="shared" ref="C38:D38" si="1">SUM(C3:C37)</f>
        <v>#VALUE!</v>
      </c>
      <c r="D38" s="111" t="e">
        <f t="shared" si="1"/>
        <v>#VALUE!</v>
      </c>
      <c r="E38" s="112" t="e">
        <f t="shared" si="0"/>
        <v>#VALUE!</v>
      </c>
    </row>
    <row r="39" spans="1:5" ht="12">
      <c r="A39" s="182" t="s">
        <v>195</v>
      </c>
      <c r="B39" s="169"/>
      <c r="C39" s="169"/>
      <c r="D39" s="169"/>
      <c r="E39" s="169"/>
    </row>
    <row r="40" spans="1:5" ht="12">
      <c r="A40" s="113"/>
      <c r="B40" s="113"/>
      <c r="C40" s="113"/>
      <c r="D40" s="113"/>
      <c r="E40" s="113"/>
    </row>
    <row r="41" spans="1:5" ht="12">
      <c r="A41" s="183" t="s">
        <v>196</v>
      </c>
      <c r="B41" s="169"/>
      <c r="C41" s="169"/>
      <c r="D41" s="169"/>
      <c r="E41" s="169"/>
    </row>
    <row r="42" spans="1:5" ht="32.25" customHeight="1">
      <c r="A42" s="114"/>
      <c r="B42" s="103" t="s">
        <v>197</v>
      </c>
      <c r="C42" s="104" t="s">
        <v>167</v>
      </c>
      <c r="D42" s="103" t="s">
        <v>198</v>
      </c>
      <c r="E42" s="105" t="s">
        <v>188</v>
      </c>
    </row>
    <row r="43" spans="1:5" ht="12">
      <c r="A43" s="106" t="s">
        <v>10</v>
      </c>
      <c r="B43" s="107" t="s">
        <v>189</v>
      </c>
      <c r="C43" s="108" t="e">
        <f>VLOOKUP($A43,'R-State Law (July 2015)'!$A$3:$AY$53,44, "")</f>
        <v>#VALUE!</v>
      </c>
      <c r="D43" s="108" t="e">
        <f>VLOOKUP($A43,'R-State Law (July 2015)'!$A$3:$AY$53,50, "")</f>
        <v>#VALUE!</v>
      </c>
      <c r="E43" s="109" t="e">
        <f t="shared" ref="E43:E62" si="2">SUM(C43)/D43*100000000</f>
        <v>#VALUE!</v>
      </c>
    </row>
    <row r="44" spans="1:5" ht="12">
      <c r="A44" s="106" t="s">
        <v>190</v>
      </c>
      <c r="B44" s="107" t="s">
        <v>199</v>
      </c>
      <c r="C44" s="108" t="e">
        <f>VLOOKUP($A44,'R-State Law (July 2015)'!$A$3:$AY$53,44, "")</f>
        <v>#VALUE!</v>
      </c>
      <c r="D44" s="108" t="e">
        <f>VLOOKUP($A44,'R-State Law (July 2015)'!$A$3:$AY$53,50, "")</f>
        <v>#VALUE!</v>
      </c>
      <c r="E44" s="109" t="e">
        <f t="shared" si="2"/>
        <v>#VALUE!</v>
      </c>
    </row>
    <row r="45" spans="1:5" ht="12">
      <c r="A45" s="106" t="s">
        <v>88</v>
      </c>
      <c r="B45" s="107" t="s">
        <v>189</v>
      </c>
      <c r="C45" s="108" t="e">
        <f>VLOOKUP($A45,'R-State Law (July 2015)'!$A$3:$AY$53,44, "")</f>
        <v>#VALUE!</v>
      </c>
      <c r="D45" s="108" t="e">
        <f>VLOOKUP($A45,'R-State Law (July 2015)'!$A$3:$AY$53,50, "")</f>
        <v>#VALUE!</v>
      </c>
      <c r="E45" s="109" t="e">
        <f t="shared" si="2"/>
        <v>#VALUE!</v>
      </c>
    </row>
    <row r="46" spans="1:5" ht="12">
      <c r="A46" s="106" t="s">
        <v>85</v>
      </c>
      <c r="B46" s="107" t="s">
        <v>189</v>
      </c>
      <c r="C46" s="108" t="e">
        <f>VLOOKUP($A46,'R-State Law (July 2015)'!$A$3:$AY$53,44, "")</f>
        <v>#VALUE!</v>
      </c>
      <c r="D46" s="108" t="e">
        <f>VLOOKUP($A46,'R-State Law (July 2015)'!$A$3:$AY$53,50, "")</f>
        <v>#VALUE!</v>
      </c>
      <c r="E46" s="109" t="e">
        <f t="shared" si="2"/>
        <v>#VALUE!</v>
      </c>
    </row>
    <row r="47" spans="1:5" ht="12">
      <c r="A47" s="106" t="s">
        <v>158</v>
      </c>
      <c r="B47" s="107" t="s">
        <v>189</v>
      </c>
      <c r="C47" s="108" t="e">
        <f>VLOOKUP($A47,'R-State Law (July 2015)'!$A$3:$AY$53,44, "")</f>
        <v>#VALUE!</v>
      </c>
      <c r="D47" s="108" t="e">
        <f>VLOOKUP($A47,'R-State Law (July 2015)'!$A$3:$AY$53,50, "")</f>
        <v>#VALUE!</v>
      </c>
      <c r="E47" s="109" t="e">
        <f t="shared" si="2"/>
        <v>#VALUE!</v>
      </c>
    </row>
    <row r="48" spans="1:5" ht="12">
      <c r="A48" s="106" t="s">
        <v>159</v>
      </c>
      <c r="B48" s="107" t="s">
        <v>189</v>
      </c>
      <c r="C48" s="108" t="e">
        <f>VLOOKUP($A48,'R-State Law (July 2015)'!$A$3:$AY$53,44, "")</f>
        <v>#VALUE!</v>
      </c>
      <c r="D48" s="108" t="e">
        <f>VLOOKUP($A48,'R-State Law (July 2015)'!$A$3:$AY$53,50, "")</f>
        <v>#VALUE!</v>
      </c>
      <c r="E48" s="109" t="e">
        <f t="shared" si="2"/>
        <v>#VALUE!</v>
      </c>
    </row>
    <row r="49" spans="1:5" ht="12">
      <c r="A49" s="106" t="s">
        <v>160</v>
      </c>
      <c r="B49" s="107" t="s">
        <v>189</v>
      </c>
      <c r="C49" s="108" t="e">
        <f>VLOOKUP($A49,'R-State Law (July 2015)'!$A$3:$AY$53,44, "")</f>
        <v>#VALUE!</v>
      </c>
      <c r="D49" s="108" t="e">
        <f>VLOOKUP($A49,'R-State Law (July 2015)'!$A$3:$AY$53,50, "")</f>
        <v>#VALUE!</v>
      </c>
      <c r="E49" s="109" t="e">
        <f t="shared" si="2"/>
        <v>#VALUE!</v>
      </c>
    </row>
    <row r="50" spans="1:5" ht="12">
      <c r="A50" s="106" t="s">
        <v>21</v>
      </c>
      <c r="B50" s="107" t="s">
        <v>189</v>
      </c>
      <c r="C50" s="108" t="e">
        <f>VLOOKUP($A50,'R-State Law (July 2015)'!$A$3:$AY$53,44, "")</f>
        <v>#VALUE!</v>
      </c>
      <c r="D50" s="108" t="e">
        <f>VLOOKUP($A50,'R-State Law (July 2015)'!$A$3:$AY$53,50, "")</f>
        <v>#VALUE!</v>
      </c>
      <c r="E50" s="109" t="e">
        <f t="shared" si="2"/>
        <v>#VALUE!</v>
      </c>
    </row>
    <row r="51" spans="1:5" ht="12">
      <c r="A51" s="106" t="s">
        <v>90</v>
      </c>
      <c r="B51" s="107" t="s">
        <v>189</v>
      </c>
      <c r="C51" s="108" t="e">
        <f>VLOOKUP($A51,'R-State Law (July 2015)'!$A$3:$AY$53,44, "")</f>
        <v>#VALUE!</v>
      </c>
      <c r="D51" s="108" t="e">
        <f>VLOOKUP($A51,'R-State Law (July 2015)'!$A$3:$AY$53,50, "")</f>
        <v>#VALUE!</v>
      </c>
      <c r="E51" s="109" t="e">
        <f t="shared" si="2"/>
        <v>#VALUE!</v>
      </c>
    </row>
    <row r="52" spans="1:5" ht="12">
      <c r="A52" s="106" t="s">
        <v>14</v>
      </c>
      <c r="B52" s="107" t="s">
        <v>189</v>
      </c>
      <c r="C52" s="108" t="e">
        <f>VLOOKUP($A52,'R-State Law (July 2015)'!$A$3:$AY$53,44, "")</f>
        <v>#VALUE!</v>
      </c>
      <c r="D52" s="108" t="e">
        <f>VLOOKUP($A52,'R-State Law (July 2015)'!$A$3:$AY$53,50, "")</f>
        <v>#VALUE!</v>
      </c>
      <c r="E52" s="109" t="e">
        <f t="shared" si="2"/>
        <v>#VALUE!</v>
      </c>
    </row>
    <row r="53" spans="1:5" ht="12">
      <c r="A53" s="106" t="s">
        <v>68</v>
      </c>
      <c r="B53" s="107" t="s">
        <v>189</v>
      </c>
      <c r="C53" s="108" t="e">
        <f>VLOOKUP($A53,'R-State Law (July 2015)'!$A$3:$AY$53,44, "")</f>
        <v>#VALUE!</v>
      </c>
      <c r="D53" s="108" t="e">
        <f>VLOOKUP($A53,'R-State Law (July 2015)'!$A$3:$AY$53,50, "")</f>
        <v>#VALUE!</v>
      </c>
      <c r="E53" s="109" t="e">
        <f t="shared" si="2"/>
        <v>#VALUE!</v>
      </c>
    </row>
    <row r="54" spans="1:5" ht="12">
      <c r="A54" s="106" t="s">
        <v>18</v>
      </c>
      <c r="B54" s="107" t="s">
        <v>189</v>
      </c>
      <c r="C54" s="108" t="e">
        <f>VLOOKUP($A54,'R-State Law (July 2015)'!$A$3:$AY$53,44, "")</f>
        <v>#VALUE!</v>
      </c>
      <c r="D54" s="108" t="e">
        <f>VLOOKUP($A54,'R-State Law (July 2015)'!$A$3:$AY$53,50, "")</f>
        <v>#VALUE!</v>
      </c>
      <c r="E54" s="109" t="e">
        <f t="shared" si="2"/>
        <v>#VALUE!</v>
      </c>
    </row>
    <row r="55" spans="1:5" ht="12">
      <c r="A55" s="106" t="s">
        <v>161</v>
      </c>
      <c r="B55" s="107" t="s">
        <v>189</v>
      </c>
      <c r="C55" s="108" t="e">
        <f>VLOOKUP($A55,'R-State Law (July 2015)'!$A$3:$AY$53,44, "")</f>
        <v>#VALUE!</v>
      </c>
      <c r="D55" s="108" t="e">
        <f>VLOOKUP($A55,'R-State Law (July 2015)'!$A$3:$AY$53,50, "")</f>
        <v>#VALUE!</v>
      </c>
      <c r="E55" s="109" t="e">
        <f t="shared" si="2"/>
        <v>#VALUE!</v>
      </c>
    </row>
    <row r="56" spans="1:5" ht="12">
      <c r="A56" s="106" t="s">
        <v>35</v>
      </c>
      <c r="B56" s="107" t="s">
        <v>189</v>
      </c>
      <c r="C56" s="108" t="e">
        <f>VLOOKUP($A56,'R-State Law (July 2015)'!$A$3:$AY$53,44, "")</f>
        <v>#VALUE!</v>
      </c>
      <c r="D56" s="108" t="e">
        <f>VLOOKUP($A56,'R-State Law (July 2015)'!$A$3:$AY$53,50, "")</f>
        <v>#VALUE!</v>
      </c>
      <c r="E56" s="109" t="e">
        <f t="shared" si="2"/>
        <v>#VALUE!</v>
      </c>
    </row>
    <row r="57" spans="1:5" ht="12">
      <c r="A57" s="106" t="s">
        <v>67</v>
      </c>
      <c r="B57" s="107" t="s">
        <v>189</v>
      </c>
      <c r="C57" s="108" t="e">
        <f>VLOOKUP($A57,'R-State Law (July 2015)'!$A$3:$AY$53,44, "")</f>
        <v>#VALUE!</v>
      </c>
      <c r="D57" s="108" t="e">
        <f>VLOOKUP($A57,'R-State Law (July 2015)'!$A$3:$AY$53,50, "")</f>
        <v>#VALUE!</v>
      </c>
      <c r="E57" s="109" t="e">
        <f t="shared" si="2"/>
        <v>#VALUE!</v>
      </c>
    </row>
    <row r="58" spans="1:5" ht="12">
      <c r="A58" s="106" t="s">
        <v>192</v>
      </c>
      <c r="B58" s="107">
        <v>2015</v>
      </c>
      <c r="C58" s="108" t="e">
        <f>VLOOKUP($A58,'R-State Law (July 2015)'!$A$3:$AY$53,44, "")</f>
        <v>#VALUE!</v>
      </c>
      <c r="D58" s="108" t="e">
        <f>VLOOKUP($A58,'R-State Law (July 2015)'!$A$3:$AY$53,50, "")</f>
        <v>#VALUE!</v>
      </c>
      <c r="E58" s="109" t="e">
        <f t="shared" si="2"/>
        <v>#VALUE!</v>
      </c>
    </row>
    <row r="59" spans="1:5" ht="12">
      <c r="A59" s="106" t="s">
        <v>156</v>
      </c>
      <c r="B59" s="107" t="s">
        <v>189</v>
      </c>
      <c r="C59" s="108" t="e">
        <f>VLOOKUP($A59,'R-State Law (July 2015)'!$A$3:$AY$53,44, "")</f>
        <v>#VALUE!</v>
      </c>
      <c r="D59" s="108" t="e">
        <f>VLOOKUP($A59,'R-State Law (July 2015)'!$A$3:$AY$53,50, "")</f>
        <v>#VALUE!</v>
      </c>
      <c r="E59" s="109" t="e">
        <f t="shared" si="2"/>
        <v>#VALUE!</v>
      </c>
    </row>
    <row r="60" spans="1:5" ht="12">
      <c r="A60" s="106" t="s">
        <v>163</v>
      </c>
      <c r="B60" s="107" t="s">
        <v>189</v>
      </c>
      <c r="C60" s="108" t="e">
        <f>VLOOKUP($A60,'R-State Law (July 2015)'!$A$3:$AY$53,44, "")</f>
        <v>#VALUE!</v>
      </c>
      <c r="D60" s="108" t="e">
        <f>VLOOKUP($A60,'R-State Law (July 2015)'!$A$3:$AY$53,50, "")</f>
        <v>#VALUE!</v>
      </c>
      <c r="E60" s="109" t="e">
        <f t="shared" si="2"/>
        <v>#VALUE!</v>
      </c>
    </row>
    <row r="61" spans="1:5" ht="12">
      <c r="A61" s="106" t="s">
        <v>194</v>
      </c>
      <c r="B61" s="107">
        <v>2015</v>
      </c>
      <c r="C61" s="108" t="e">
        <f>VLOOKUP($A61,'R-State Law (July 2015)'!$A$3:$AY$53,44, "")</f>
        <v>#VALUE!</v>
      </c>
      <c r="D61" s="108" t="e">
        <f>VLOOKUP($A61,'R-State Law (July 2015)'!$A$3:$AY$53,50, "")</f>
        <v>#VALUE!</v>
      </c>
      <c r="E61" s="109" t="e">
        <f t="shared" si="2"/>
        <v>#VALUE!</v>
      </c>
    </row>
    <row r="62" spans="1:5" ht="12">
      <c r="A62" s="110" t="s">
        <v>101</v>
      </c>
      <c r="B62" s="102"/>
      <c r="C62" s="111" t="e">
        <f t="shared" ref="C62:D62" si="3">SUM(C43:C61)</f>
        <v>#VALUE!</v>
      </c>
      <c r="D62" s="111" t="e">
        <f t="shared" si="3"/>
        <v>#VALUE!</v>
      </c>
      <c r="E62" s="112" t="e">
        <f t="shared" si="2"/>
        <v>#VALUE!</v>
      </c>
    </row>
    <row r="63" spans="1:5" ht="12">
      <c r="A63" s="182" t="s">
        <v>195</v>
      </c>
      <c r="B63" s="169"/>
      <c r="C63" s="169"/>
      <c r="D63" s="169"/>
      <c r="E63" s="169"/>
    </row>
  </sheetData>
  <mergeCells count="4">
    <mergeCell ref="A63:E63"/>
    <mergeCell ref="A39:E39"/>
    <mergeCell ref="A41:E41"/>
    <mergeCell ref="A1:E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heetViews>
  <sheetFormatPr baseColWidth="10" defaultColWidth="14.5" defaultRowHeight="15.75" customHeight="1" x14ac:dyDescent="0"/>
  <cols>
    <col min="1" max="2" width="46.1640625" customWidth="1"/>
    <col min="3" max="3" width="59.5" customWidth="1"/>
  </cols>
  <sheetData>
    <row r="1" spans="1:4" ht="15.75" customHeight="1">
      <c r="A1" s="115"/>
      <c r="B1" s="116" t="s">
        <v>200</v>
      </c>
      <c r="C1" s="115" t="s">
        <v>201</v>
      </c>
      <c r="D1" s="115" t="s">
        <v>202</v>
      </c>
    </row>
    <row r="2" spans="1:4" ht="15.75" customHeight="1">
      <c r="B2" s="117" t="s">
        <v>203</v>
      </c>
    </row>
    <row r="3" spans="1:4" ht="15.75" customHeight="1">
      <c r="B3" s="117" t="s">
        <v>204</v>
      </c>
    </row>
    <row r="4" spans="1:4" ht="15.75" customHeight="1">
      <c r="B4" s="117" t="s">
        <v>205</v>
      </c>
    </row>
    <row r="5" spans="1:4" ht="15.75" customHeight="1">
      <c r="B5" s="117" t="s">
        <v>206</v>
      </c>
    </row>
    <row r="6" spans="1:4" ht="15.75" customHeight="1">
      <c r="B6" s="117" t="s">
        <v>207</v>
      </c>
    </row>
    <row r="7" spans="1:4" ht="15.75" customHeight="1">
      <c r="B7" s="117" t="s">
        <v>208</v>
      </c>
    </row>
    <row r="8" spans="1:4" ht="15.75" customHeight="1">
      <c r="A8" s="118"/>
      <c r="B8" s="119" t="s">
        <v>209</v>
      </c>
      <c r="C8" s="120" t="s">
        <v>210</v>
      </c>
      <c r="D8" s="118"/>
    </row>
    <row r="9" spans="1:4" ht="15.75" customHeight="1">
      <c r="B9" s="119" t="s">
        <v>211</v>
      </c>
    </row>
    <row r="10" spans="1:4" ht="15.75" customHeight="1">
      <c r="B10" s="121" t="s">
        <v>212</v>
      </c>
    </row>
    <row r="11" spans="1:4" ht="15.75" customHeight="1">
      <c r="B11" s="121" t="s">
        <v>213</v>
      </c>
    </row>
    <row r="12" spans="1:4" ht="15.75" customHeight="1">
      <c r="B12" s="121" t="s">
        <v>214</v>
      </c>
    </row>
    <row r="13" spans="1:4" ht="15.75" customHeight="1">
      <c r="B13" s="117" t="s">
        <v>215</v>
      </c>
    </row>
    <row r="14" spans="1:4" ht="15.75" customHeight="1">
      <c r="A14" s="122" t="s">
        <v>91</v>
      </c>
      <c r="B14" s="123" t="s">
        <v>216</v>
      </c>
      <c r="C14" s="47" t="s">
        <v>217</v>
      </c>
    </row>
    <row r="15" spans="1:4" ht="15.75" customHeight="1">
      <c r="B15" s="124" t="s">
        <v>218</v>
      </c>
      <c r="C15" s="117" t="s">
        <v>219</v>
      </c>
    </row>
    <row r="16" spans="1:4" ht="15.75" customHeight="1">
      <c r="B16" s="125" t="s">
        <v>220</v>
      </c>
    </row>
    <row r="17" spans="2:3" ht="15.75" customHeight="1">
      <c r="B17" s="117" t="s">
        <v>221</v>
      </c>
    </row>
    <row r="18" spans="2:3" ht="15.75" customHeight="1">
      <c r="B18" s="117" t="s">
        <v>222</v>
      </c>
    </row>
    <row r="19" spans="2:3" ht="15.75" customHeight="1">
      <c r="B19" s="125" t="s">
        <v>223</v>
      </c>
    </row>
    <row r="20" spans="2:3" ht="15.75" customHeight="1">
      <c r="B20" s="117" t="s">
        <v>224</v>
      </c>
    </row>
    <row r="21" spans="2:3" ht="15.75" customHeight="1">
      <c r="B21" s="117" t="s">
        <v>225</v>
      </c>
    </row>
    <row r="22" spans="2:3" ht="15.75" customHeight="1">
      <c r="B22" s="117" t="s">
        <v>226</v>
      </c>
    </row>
    <row r="23" spans="2:3" ht="15.75" customHeight="1">
      <c r="B23" s="117" t="s">
        <v>227</v>
      </c>
    </row>
    <row r="24" spans="2:3" ht="15.75" customHeight="1">
      <c r="B24" s="117" t="s">
        <v>228</v>
      </c>
    </row>
    <row r="25" spans="2:3" ht="15.75" customHeight="1">
      <c r="B25" s="117" t="s">
        <v>229</v>
      </c>
    </row>
    <row r="26" spans="2:3" ht="15.75" customHeight="1">
      <c r="B26" s="126" t="s">
        <v>230</v>
      </c>
      <c r="C26" s="47" t="s">
        <v>231</v>
      </c>
    </row>
    <row r="27" spans="2:3" ht="15.75" customHeight="1">
      <c r="B27" s="117" t="s">
        <v>232</v>
      </c>
    </row>
    <row r="28" spans="2:3" ht="15.75" customHeight="1">
      <c r="B28" s="117" t="s">
        <v>233</v>
      </c>
    </row>
    <row r="29" spans="2:3" ht="15.75" customHeight="1">
      <c r="B29" s="125" t="s">
        <v>234</v>
      </c>
    </row>
    <row r="30" spans="2:3" ht="15.75" customHeight="1">
      <c r="B30" s="117" t="s">
        <v>235</v>
      </c>
    </row>
    <row r="31" spans="2:3" ht="15.75" customHeight="1">
      <c r="B31" s="117" t="s">
        <v>236</v>
      </c>
    </row>
    <row r="32" spans="2:3" ht="15.75" customHeight="1">
      <c r="B32" s="125" t="s">
        <v>237</v>
      </c>
    </row>
    <row r="33" spans="1:4" ht="15.75" customHeight="1">
      <c r="B33" s="117" t="s">
        <v>238</v>
      </c>
    </row>
    <row r="34" spans="1:4" ht="241">
      <c r="A34" s="36"/>
      <c r="B34" s="127" t="s">
        <v>239</v>
      </c>
      <c r="C34" s="128" t="s">
        <v>240</v>
      </c>
      <c r="D34" s="36"/>
    </row>
    <row r="35" spans="1:4" ht="15.75" customHeight="1">
      <c r="B35" s="117" t="s">
        <v>241</v>
      </c>
    </row>
    <row r="36" spans="1:4" ht="15.75" customHeight="1">
      <c r="B36" s="117" t="s">
        <v>242</v>
      </c>
    </row>
    <row r="37" spans="1:4" ht="15.75" customHeight="1">
      <c r="B37" s="121" t="s">
        <v>243</v>
      </c>
      <c r="C37" s="47" t="s">
        <v>244</v>
      </c>
    </row>
    <row r="38" spans="1:4" ht="15.75" customHeight="1">
      <c r="B38" s="125" t="s">
        <v>245</v>
      </c>
    </row>
    <row r="39" spans="1:4" ht="15.75" customHeight="1">
      <c r="B39" s="117" t="s">
        <v>246</v>
      </c>
    </row>
    <row r="40" spans="1:4" ht="15.75" customHeight="1">
      <c r="B40" s="117" t="s">
        <v>247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A-Report Calculations (2015 Upd</vt:lpstr>
      <vt:lpstr>R-State Law (July 2015)</vt:lpstr>
      <vt:lpstr>R-Appendix</vt:lpstr>
      <vt:lpstr>Record Request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Brittany Mayes</cp:lastModifiedBy>
  <dcterms:created xsi:type="dcterms:W3CDTF">2017-02-10T21:25:43Z</dcterms:created>
  <dcterms:modified xsi:type="dcterms:W3CDTF">2017-11-08T19:11:13Z</dcterms:modified>
</cp:coreProperties>
</file>