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t\Desktop\Uni\2019-20\Segundo cuatri\Gestión de proyectos\"/>
    </mc:Choice>
  </mc:AlternateContent>
  <xr:revisionPtr revIDLastSave="0" documentId="13_ncr:1_{FA292624-C697-4186-9874-B3F8A1566796}" xr6:coauthVersionLast="44" xr6:coauthVersionMax="44" xr10:uidLastSave="{00000000-0000-0000-0000-000000000000}"/>
  <bookViews>
    <workbookView xWindow="3690" yWindow="2535" windowWidth="15375" windowHeight="7875" firstSheet="2" activeTab="3" xr2:uid="{FF6F5770-7C8D-47F2-B304-13C7247C3592}"/>
  </bookViews>
  <sheets>
    <sheet name="Cálculo BET y CE" sheetId="1" r:id="rId1"/>
    <sheet name="Cálculo VAN y TIR" sheetId="2" r:id="rId2"/>
    <sheet name="Flujo de caja PR y VAN" sheetId="3" r:id="rId3"/>
    <sheet name="Alternativas mediante 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3" i="4"/>
  <c r="C26" i="1" l="1"/>
  <c r="I13" i="2" l="1"/>
  <c r="I12" i="2"/>
  <c r="I11" i="2"/>
  <c r="L13" i="2" l="1"/>
  <c r="L12" i="2"/>
  <c r="L11" i="2"/>
  <c r="K13" i="2"/>
  <c r="K12" i="2"/>
  <c r="K11" i="2"/>
  <c r="J13" i="2"/>
  <c r="J12" i="2"/>
  <c r="J11" i="2"/>
  <c r="G2" i="2"/>
  <c r="I2" i="2" s="1"/>
  <c r="H19" i="3" l="1"/>
  <c r="H18" i="3"/>
  <c r="H17" i="3"/>
  <c r="H12" i="2"/>
  <c r="H13" i="2"/>
  <c r="H11" i="2"/>
  <c r="F8" i="3"/>
  <c r="F7" i="3"/>
  <c r="H2" i="2"/>
  <c r="F3" i="3"/>
  <c r="F2" i="3"/>
  <c r="F2" i="2"/>
  <c r="F3" i="2"/>
  <c r="G3" i="2"/>
  <c r="I3" i="2" s="1"/>
  <c r="H3" i="2"/>
  <c r="B21" i="1"/>
  <c r="C21" i="1"/>
  <c r="D21" i="1"/>
  <c r="E21" i="1"/>
  <c r="F21" i="1"/>
  <c r="C22" i="1" l="1"/>
  <c r="F6" i="1" l="1"/>
  <c r="E6" i="1"/>
  <c r="D6" i="1"/>
  <c r="C6" i="1"/>
  <c r="B6" i="1"/>
  <c r="B13" i="1" s="1"/>
  <c r="C5" i="1"/>
  <c r="B5" i="1"/>
  <c r="D22" i="1"/>
  <c r="E22" i="1"/>
  <c r="F22" i="1"/>
  <c r="F4" i="1"/>
  <c r="E4" i="1"/>
  <c r="D4" i="1"/>
  <c r="C4" i="1"/>
  <c r="B4" i="1"/>
  <c r="D5" i="1" l="1"/>
  <c r="E5" i="1"/>
  <c r="E7" i="1" s="1"/>
  <c r="E8" i="1" s="1"/>
  <c r="C7" i="1"/>
  <c r="C8" i="1" s="1"/>
  <c r="C9" i="1" s="1"/>
  <c r="C10" i="1" s="1"/>
  <c r="B7" i="1"/>
  <c r="B8" i="1" s="1"/>
  <c r="F5" i="1"/>
  <c r="F7" i="1" s="1"/>
  <c r="F8" i="1" s="1"/>
  <c r="D7" i="1"/>
  <c r="D8" i="1" s="1"/>
  <c r="D9" i="1" s="1"/>
  <c r="D10" i="1" s="1"/>
  <c r="C13" i="1"/>
  <c r="F13" i="1"/>
  <c r="D13" i="1"/>
  <c r="E13" i="1"/>
  <c r="B9" i="1" l="1"/>
  <c r="B10" i="1" s="1"/>
  <c r="B14" i="1"/>
  <c r="C14" i="1" s="1"/>
  <c r="D14" i="1" s="1"/>
  <c r="D11" i="1"/>
  <c r="C11" i="1"/>
  <c r="F9" i="1"/>
  <c r="F10" i="1" s="1"/>
  <c r="E9" i="1"/>
  <c r="E10" i="1" s="1"/>
  <c r="B11" i="1" l="1"/>
  <c r="B12" i="1" s="1"/>
  <c r="E11" i="1"/>
  <c r="F11" i="1"/>
  <c r="E14" i="1"/>
  <c r="F14" i="1" s="1"/>
  <c r="C12" i="1"/>
  <c r="B26" i="1" s="1"/>
  <c r="D12" i="1" l="1"/>
  <c r="B33" i="1" l="1"/>
  <c r="B32" i="1"/>
  <c r="C28" i="1"/>
  <c r="C27" i="1"/>
  <c r="E12" i="1"/>
  <c r="B27" i="1"/>
  <c r="B28" i="1"/>
  <c r="F12" i="1" l="1"/>
  <c r="D26" i="1"/>
  <c r="E26" i="1" l="1"/>
  <c r="D28" i="1"/>
  <c r="D27" i="1"/>
  <c r="E27" i="1" l="1"/>
  <c r="E28" i="1"/>
</calcChain>
</file>

<file path=xl/sharedStrings.xml><?xml version="1.0" encoding="utf-8"?>
<sst xmlns="http://schemas.openxmlformats.org/spreadsheetml/2006/main" count="111" uniqueCount="84">
  <si>
    <t>Año 1</t>
  </si>
  <si>
    <t>Año 2</t>
  </si>
  <si>
    <t>Año 3</t>
  </si>
  <si>
    <t>Año 4</t>
  </si>
  <si>
    <t>Año 5</t>
  </si>
  <si>
    <t>BET (años)</t>
  </si>
  <si>
    <t>Proyecto</t>
  </si>
  <si>
    <t>ROI</t>
  </si>
  <si>
    <t>RI</t>
  </si>
  <si>
    <t xml:space="preserve">Año 1 </t>
  </si>
  <si>
    <t>Amortización 2</t>
  </si>
  <si>
    <t>Amortización 1</t>
  </si>
  <si>
    <t>Inversión (IV)</t>
  </si>
  <si>
    <t>Coste Producción (CP)</t>
  </si>
  <si>
    <t>Ingresos (I)</t>
  </si>
  <si>
    <t>Beneficios Brutos (I-G)</t>
  </si>
  <si>
    <t>Impuestos (T) (si BB&gt;0)</t>
  </si>
  <si>
    <t>Gastos + Impuestos</t>
  </si>
  <si>
    <t>Beneficio acumulado</t>
  </si>
  <si>
    <t>Ingresos acumulados</t>
  </si>
  <si>
    <t xml:space="preserve">Gastos acumulados </t>
  </si>
  <si>
    <t>Unidades</t>
  </si>
  <si>
    <t>Precio venta</t>
  </si>
  <si>
    <t>Impuestos</t>
  </si>
  <si>
    <t>Amortización (A)</t>
  </si>
  <si>
    <t>Gastos (G) (CP+A)</t>
  </si>
  <si>
    <t>Beneficios netos (BB-T)</t>
  </si>
  <si>
    <t>ANÁLISIS DE RENTABILIDAD</t>
  </si>
  <si>
    <t>Coste de producción (unidad)</t>
  </si>
  <si>
    <t>BET (meses)</t>
  </si>
  <si>
    <t>BET (dias)</t>
  </si>
  <si>
    <t>Ingresos</t>
  </si>
  <si>
    <t>Gastos</t>
  </si>
  <si>
    <t>AMORTIZACIONES</t>
  </si>
  <si>
    <t>CÁLCULO DEL BET</t>
  </si>
  <si>
    <t>CÁLCULO CIFRA DE EQUILIBRIO</t>
  </si>
  <si>
    <t>A</t>
  </si>
  <si>
    <t>B</t>
  </si>
  <si>
    <t>CF1</t>
  </si>
  <si>
    <t>CF2</t>
  </si>
  <si>
    <t>CF3</t>
  </si>
  <si>
    <t>Inversión inicial</t>
  </si>
  <si>
    <t>Tasa de inflacción</t>
  </si>
  <si>
    <t>VAN</t>
  </si>
  <si>
    <t>Desembolso</t>
  </si>
  <si>
    <t>Flujo de caja 1</t>
  </si>
  <si>
    <t>Flujo de caja 2</t>
  </si>
  <si>
    <t>Flujo de caja 3</t>
  </si>
  <si>
    <t>Flujo de caja 4</t>
  </si>
  <si>
    <t>Inversión A</t>
  </si>
  <si>
    <t>Inversión B</t>
  </si>
  <si>
    <t>Tasa actualización</t>
  </si>
  <si>
    <t>Plazo de recuperación</t>
  </si>
  <si>
    <t>Si sale -1 calcularlo yo: -10000+2000+4000+4000=0, por tanto en el año 3 recupero mi inversión</t>
  </si>
  <si>
    <t>Según el Plazo de recuperación, es mejor la inversión A</t>
  </si>
  <si>
    <t>Según el VAN la mejor inversión es la B porque VAN B&gt;VAN A</t>
  </si>
  <si>
    <t>Beneficio (ingresos-gastos)</t>
  </si>
  <si>
    <t>Proyecto A</t>
  </si>
  <si>
    <t>Proyecto B</t>
  </si>
  <si>
    <t>Proyecto C</t>
  </si>
  <si>
    <t>Descuento anual</t>
  </si>
  <si>
    <t>I - G</t>
  </si>
  <si>
    <t>De acuerdo al RI el proyecto más viable es el A</t>
  </si>
  <si>
    <t>De acuerdo al VAN el proyecto más viable es el A</t>
  </si>
  <si>
    <t>Año PR</t>
  </si>
  <si>
    <t>De acuerdo a plazo de recuperación el más viable es el C</t>
  </si>
  <si>
    <t>Desembolso inicial</t>
  </si>
  <si>
    <t>Flujo Neto Caja Año 1</t>
  </si>
  <si>
    <t>Flujo Neto Caja Año 2</t>
  </si>
  <si>
    <t>Flujo Neto Caja Año 3</t>
  </si>
  <si>
    <t>Flujo Neto Caja Año 4</t>
  </si>
  <si>
    <t>Flujo Neto Caja Año 5</t>
  </si>
  <si>
    <t>La inversión más rentable es el proyecto C</t>
  </si>
  <si>
    <t>ROI con inflación</t>
  </si>
  <si>
    <t>TIR</t>
  </si>
  <si>
    <t>Hipótesis baja</t>
  </si>
  <si>
    <t>Hipótesis media</t>
  </si>
  <si>
    <t>Hipótesis alta</t>
  </si>
  <si>
    <t>Coste</t>
  </si>
  <si>
    <t>Portal de ventas</t>
  </si>
  <si>
    <t>Ayuda distribución</t>
  </si>
  <si>
    <t>Gestión de Cobros</t>
  </si>
  <si>
    <t>Se coge el RI más alto</t>
  </si>
  <si>
    <t>Beneficio (I-G)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</si>
</sst>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3" formatCode="_-* #,##0.00_-;\-* #,##0.00_-;_-* &quot;-&quot;??_-;_-@_-"/>
    <numFmt numFmtId="164" formatCode="[$-C0A]General"/>
    <numFmt numFmtId="165" formatCode="#,##0.00&quot; &quot;[$€-C0A];[Red]&quot;-&quot;#,##0.00&quot; &quot;[$€-C0A]"/>
    <numFmt numFmtId="166" formatCode="_-* #,##0.00\ [$€-C0A]_-;\-* #,##0.00\ [$€-C0A]_-;_-* &quot;-&quot;??\ [$€-C0A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rgb="FFCC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CCFFFF"/>
      </patternFill>
    </fill>
    <fill>
      <patternFill patternType="solid">
        <fgColor rgb="FFFF5B5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/>
    <xf numFmtId="164" fontId="4" fillId="3" borderId="1"/>
    <xf numFmtId="164" fontId="3" fillId="0" borderId="0"/>
    <xf numFmtId="9" fontId="2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5" fontId="6" fillId="0" borderId="0"/>
    <xf numFmtId="43" fontId="9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0" fillId="0" borderId="0" xfId="0" applyBorder="1"/>
    <xf numFmtId="164" fontId="7" fillId="4" borderId="0" xfId="2" applyFont="1" applyFill="1" applyBorder="1" applyAlignment="1" applyProtection="1">
      <alignment horizontal="center"/>
    </xf>
    <xf numFmtId="0" fontId="8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wrapText="1"/>
    </xf>
    <xf numFmtId="164" fontId="8" fillId="7" borderId="2" xfId="2" applyFont="1" applyFill="1" applyBorder="1" applyAlignment="1" applyProtection="1">
      <alignment horizontal="center"/>
    </xf>
    <xf numFmtId="164" fontId="8" fillId="7" borderId="2" xfId="2" applyFont="1" applyFill="1" applyBorder="1" applyAlignment="1" applyProtection="1"/>
    <xf numFmtId="0" fontId="0" fillId="8" borderId="2" xfId="0" applyFill="1" applyBorder="1"/>
    <xf numFmtId="0" fontId="1" fillId="9" borderId="2" xfId="0" applyFont="1" applyFill="1" applyBorder="1"/>
    <xf numFmtId="0" fontId="0" fillId="0" borderId="0" xfId="0" applyAlignment="1">
      <alignment wrapText="1"/>
    </xf>
    <xf numFmtId="9" fontId="0" fillId="0" borderId="0" xfId="0" applyNumberFormat="1"/>
    <xf numFmtId="0" fontId="0" fillId="0" borderId="2" xfId="0" applyFont="1" applyFill="1" applyBorder="1" applyAlignment="1">
      <alignment horizontal="center"/>
    </xf>
    <xf numFmtId="9" fontId="1" fillId="5" borderId="2" xfId="0" applyNumberFormat="1" applyFont="1" applyFill="1" applyBorder="1"/>
    <xf numFmtId="9" fontId="0" fillId="0" borderId="2" xfId="0" applyNumberFormat="1" applyBorder="1" applyAlignment="1">
      <alignment horizontal="center"/>
    </xf>
    <xf numFmtId="166" fontId="0" fillId="0" borderId="0" xfId="0" applyNumberFormat="1"/>
    <xf numFmtId="9" fontId="0" fillId="0" borderId="2" xfId="0" applyNumberFormat="1" applyBorder="1"/>
    <xf numFmtId="8" fontId="0" fillId="6" borderId="2" xfId="0" applyNumberFormat="1" applyFill="1" applyBorder="1"/>
    <xf numFmtId="8" fontId="0" fillId="8" borderId="2" xfId="0" applyNumberFormat="1" applyFill="1" applyBorder="1"/>
    <xf numFmtId="0" fontId="0" fillId="0" borderId="0" xfId="0" applyBorder="1" applyAlignment="1">
      <alignment wrapText="1"/>
    </xf>
    <xf numFmtId="0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/>
    </xf>
    <xf numFmtId="0" fontId="0" fillId="0" borderId="2" xfId="0" applyNumberFormat="1" applyBorder="1"/>
    <xf numFmtId="0" fontId="7" fillId="8" borderId="2" xfId="0" applyNumberFormat="1" applyFont="1" applyFill="1" applyBorder="1" applyAlignment="1">
      <alignment horizontal="center"/>
    </xf>
    <xf numFmtId="43" fontId="0" fillId="0" borderId="2" xfId="9" applyFont="1" applyBorder="1"/>
    <xf numFmtId="43" fontId="0" fillId="0" borderId="4" xfId="9" applyFont="1" applyBorder="1"/>
    <xf numFmtId="43" fontId="0" fillId="0" borderId="2" xfId="9" applyFont="1" applyBorder="1" applyAlignment="1">
      <alignment horizontal="right"/>
    </xf>
    <xf numFmtId="43" fontId="0" fillId="0" borderId="0" xfId="9" applyFont="1"/>
    <xf numFmtId="43" fontId="7" fillId="4" borderId="2" xfId="9" applyFont="1" applyFill="1" applyBorder="1" applyAlignment="1" applyProtection="1"/>
    <xf numFmtId="43" fontId="1" fillId="0" borderId="2" xfId="9" applyFont="1" applyBorder="1"/>
    <xf numFmtId="8" fontId="0" fillId="0" borderId="2" xfId="0" applyNumberFormat="1" applyBorder="1"/>
    <xf numFmtId="0" fontId="1" fillId="5" borderId="4" xfId="0" applyFont="1" applyFill="1" applyBorder="1" applyAlignment="1">
      <alignment horizontal="center"/>
    </xf>
    <xf numFmtId="0" fontId="0" fillId="0" borderId="4" xfId="0" applyBorder="1"/>
    <xf numFmtId="0" fontId="1" fillId="0" borderId="0" xfId="0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vertical="center"/>
    </xf>
    <xf numFmtId="0" fontId="0" fillId="10" borderId="2" xfId="0" applyFill="1" applyBorder="1" applyAlignment="1">
      <alignment horizontal="center" wrapText="1"/>
    </xf>
    <xf numFmtId="0" fontId="1" fillId="0" borderId="2" xfId="0" applyFont="1" applyBorder="1"/>
    <xf numFmtId="0" fontId="1" fillId="11" borderId="2" xfId="0" applyFont="1" applyFill="1" applyBorder="1"/>
    <xf numFmtId="0" fontId="0" fillId="9" borderId="2" xfId="0" applyFill="1" applyBorder="1"/>
  </cellXfs>
  <cellStyles count="10">
    <cellStyle name="Excel Built-in Input" xfId="2" xr:uid="{8BAA552B-36B6-4F33-925C-510B5DAB04B8}"/>
    <cellStyle name="Excel Built-in Normal" xfId="3" xr:uid="{B3B3E68A-34E9-49A5-AAB0-98C2CA024EF7}"/>
    <cellStyle name="Excel_BuiltIn_Percent" xfId="4" xr:uid="{944DB58B-4F2C-40FC-B680-E494E9C5983A}"/>
    <cellStyle name="Heading" xfId="5" xr:uid="{91952995-A62B-4FC8-AFD1-13C8E268F05C}"/>
    <cellStyle name="Heading1" xfId="6" xr:uid="{6E2DEFE5-C0C0-4774-8F7C-7ADED6503DE1}"/>
    <cellStyle name="Millares" xfId="9" builtinId="3"/>
    <cellStyle name="Normal" xfId="0" builtinId="0"/>
    <cellStyle name="Normal 2" xfId="1" xr:uid="{83A7E697-8A97-4900-BE53-7B1F3BE2C061}"/>
    <cellStyle name="Result" xfId="7" xr:uid="{C7E8EBB2-0EDF-4B3A-BB86-9AC5F6F390A2}"/>
    <cellStyle name="Result2" xfId="8" xr:uid="{10533F22-DF74-4C31-B0A7-5207E3D32D51}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470B-F3B9-4712-A82C-DD2EA7CF8208}">
  <dimension ref="A1:F33"/>
  <sheetViews>
    <sheetView topLeftCell="A10" workbookViewId="0">
      <selection activeCell="C27" sqref="C27"/>
    </sheetView>
  </sheetViews>
  <sheetFormatPr baseColWidth="10" defaultRowHeight="15" x14ac:dyDescent="0.25"/>
  <cols>
    <col min="1" max="1" width="27.28515625" customWidth="1"/>
    <col min="2" max="3" width="14" customWidth="1"/>
    <col min="4" max="4" width="16" customWidth="1"/>
    <col min="5" max="7" width="14" customWidth="1"/>
    <col min="8" max="8" width="11.42578125" customWidth="1"/>
    <col min="13" max="13" width="24.28515625" customWidth="1"/>
    <col min="14" max="14" width="11.85546875" bestFit="1" customWidth="1"/>
    <col min="18" max="18" width="11.85546875" bestFit="1" customWidth="1"/>
    <col min="19" max="19" width="13.7109375" customWidth="1"/>
    <col min="20" max="20" width="38.42578125" customWidth="1"/>
  </cols>
  <sheetData>
    <row r="1" spans="1:6" ht="42" customHeight="1" x14ac:dyDescent="0.25">
      <c r="A1" s="41" t="s">
        <v>27</v>
      </c>
      <c r="B1" s="42"/>
      <c r="C1" s="42"/>
      <c r="D1" s="42"/>
      <c r="E1" s="42"/>
      <c r="F1" s="42"/>
    </row>
    <row r="2" spans="1:6" x14ac:dyDescent="0.25">
      <c r="A2" s="4"/>
      <c r="B2" s="2" t="s">
        <v>9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3" t="s">
        <v>12</v>
      </c>
      <c r="B3" s="29">
        <v>1400</v>
      </c>
      <c r="C3" s="29">
        <v>500</v>
      </c>
      <c r="D3" s="29">
        <v>0</v>
      </c>
      <c r="E3" s="29">
        <v>0</v>
      </c>
      <c r="F3" s="29">
        <v>0</v>
      </c>
    </row>
    <row r="4" spans="1:6" x14ac:dyDescent="0.25">
      <c r="A4" s="3" t="s">
        <v>13</v>
      </c>
      <c r="B4" s="29">
        <f>B15*B16</f>
        <v>0</v>
      </c>
      <c r="C4" s="29">
        <f>C15*B16</f>
        <v>250</v>
      </c>
      <c r="D4" s="29">
        <f>D15*B16</f>
        <v>1000</v>
      </c>
      <c r="E4" s="29">
        <f>E15*B16</f>
        <v>1000</v>
      </c>
      <c r="F4" s="29">
        <f>F15*B16</f>
        <v>1000</v>
      </c>
    </row>
    <row r="5" spans="1:6" ht="15.75" customHeight="1" x14ac:dyDescent="0.25">
      <c r="A5" s="3" t="s">
        <v>24</v>
      </c>
      <c r="B5" s="29">
        <f>SUM(B21,B22)</f>
        <v>280</v>
      </c>
      <c r="C5" s="29">
        <f>SUM(C21,C22)</f>
        <v>405</v>
      </c>
      <c r="D5" s="29">
        <f>SUM(D21,D22)</f>
        <v>405</v>
      </c>
      <c r="E5" s="29">
        <f>SUM(E21,E22)</f>
        <v>405</v>
      </c>
      <c r="F5" s="29">
        <f>SUM(F21,F22)</f>
        <v>405</v>
      </c>
    </row>
    <row r="6" spans="1:6" x14ac:dyDescent="0.25">
      <c r="A6" s="3" t="s">
        <v>14</v>
      </c>
      <c r="B6" s="29">
        <f>PRODUCT(B15,B17)</f>
        <v>0</v>
      </c>
      <c r="C6" s="29">
        <f>PRODUCT(C15,B17)</f>
        <v>1000</v>
      </c>
      <c r="D6" s="29">
        <f>PRODUCT(D15,B17)</f>
        <v>4000</v>
      </c>
      <c r="E6" s="29">
        <f>PRODUCT(E15,B17)</f>
        <v>4000</v>
      </c>
      <c r="F6" s="29">
        <f>PRODUCT(F15,B17)</f>
        <v>4000</v>
      </c>
    </row>
    <row r="7" spans="1:6" x14ac:dyDescent="0.25">
      <c r="A7" s="3" t="s">
        <v>25</v>
      </c>
      <c r="B7" s="29">
        <f>SUM(B4,B5)</f>
        <v>280</v>
      </c>
      <c r="C7" s="29">
        <f t="shared" ref="C7:F7" si="0">SUM(C4,C5)</f>
        <v>655</v>
      </c>
      <c r="D7" s="29">
        <f t="shared" si="0"/>
        <v>1405</v>
      </c>
      <c r="E7" s="29">
        <f t="shared" si="0"/>
        <v>1405</v>
      </c>
      <c r="F7" s="29">
        <f t="shared" si="0"/>
        <v>1405</v>
      </c>
    </row>
    <row r="8" spans="1:6" x14ac:dyDescent="0.25">
      <c r="A8" s="3" t="s">
        <v>15</v>
      </c>
      <c r="B8" s="31">
        <f>B6-B7</f>
        <v>-280</v>
      </c>
      <c r="C8" s="31">
        <f>C6-C7</f>
        <v>345</v>
      </c>
      <c r="D8" s="31">
        <f>D6-D7</f>
        <v>2595</v>
      </c>
      <c r="E8" s="31">
        <f>E6-E7</f>
        <v>2595</v>
      </c>
      <c r="F8" s="31">
        <f>F6-F7</f>
        <v>2595</v>
      </c>
    </row>
    <row r="9" spans="1:6" x14ac:dyDescent="0.25">
      <c r="A9" s="3" t="s">
        <v>16</v>
      </c>
      <c r="B9" s="29">
        <f>IF(B8&gt;0,B8*B18,0)</f>
        <v>0</v>
      </c>
      <c r="C9" s="29">
        <f>IF(C8&gt;0,C8*B18,0)</f>
        <v>69</v>
      </c>
      <c r="D9" s="29">
        <f>IF(D8&gt;0,D8*B18,0)</f>
        <v>519</v>
      </c>
      <c r="E9" s="29">
        <f>IF(E8&gt;0,E8*B18,0)</f>
        <v>519</v>
      </c>
      <c r="F9" s="29">
        <f>IF(F8&gt;0,F8*B18,0)</f>
        <v>519</v>
      </c>
    </row>
    <row r="10" spans="1:6" x14ac:dyDescent="0.25">
      <c r="A10" s="3" t="s">
        <v>17</v>
      </c>
      <c r="B10" s="29">
        <f>SUM(B7,B9)</f>
        <v>280</v>
      </c>
      <c r="C10" s="29">
        <f t="shared" ref="C10:F10" si="1">SUM(C7,C9)</f>
        <v>724</v>
      </c>
      <c r="D10" s="29">
        <f t="shared" si="1"/>
        <v>1924</v>
      </c>
      <c r="E10" s="29">
        <f t="shared" si="1"/>
        <v>1924</v>
      </c>
      <c r="F10" s="29">
        <f t="shared" si="1"/>
        <v>1924</v>
      </c>
    </row>
    <row r="11" spans="1:6" x14ac:dyDescent="0.25">
      <c r="A11" s="3" t="s">
        <v>26</v>
      </c>
      <c r="B11" s="29">
        <f>B8-B9</f>
        <v>-280</v>
      </c>
      <c r="C11" s="29">
        <f>C8-C9</f>
        <v>276</v>
      </c>
      <c r="D11" s="29">
        <f>D8-D9</f>
        <v>2076</v>
      </c>
      <c r="E11" s="29">
        <f>E8-E9</f>
        <v>2076</v>
      </c>
      <c r="F11" s="29">
        <f>F8-F9</f>
        <v>2076</v>
      </c>
    </row>
    <row r="12" spans="1:6" x14ac:dyDescent="0.25">
      <c r="A12" s="3" t="s">
        <v>18</v>
      </c>
      <c r="B12" s="29">
        <f>B11</f>
        <v>-280</v>
      </c>
      <c r="C12" s="29">
        <f>SUM(B12,C11)</f>
        <v>-4</v>
      </c>
      <c r="D12" s="29">
        <f>SUM(C12,D11)</f>
        <v>2072</v>
      </c>
      <c r="E12" s="29">
        <f>SUM(D12,E11)</f>
        <v>4148</v>
      </c>
      <c r="F12" s="29">
        <f>SUM(E12,F11)</f>
        <v>6224</v>
      </c>
    </row>
    <row r="13" spans="1:6" x14ac:dyDescent="0.25">
      <c r="A13" s="3" t="s">
        <v>19</v>
      </c>
      <c r="B13" s="29">
        <f>B6</f>
        <v>0</v>
      </c>
      <c r="C13" s="29">
        <f>SUM(B6,C6)</f>
        <v>1000</v>
      </c>
      <c r="D13" s="29">
        <f>SUM(B6,C6,D6)</f>
        <v>5000</v>
      </c>
      <c r="E13" s="29">
        <f>SUM(B6,C6,D6,E6)</f>
        <v>9000</v>
      </c>
      <c r="F13" s="29">
        <f>SUM(B6,C6,D6,E6,F6)</f>
        <v>13000</v>
      </c>
    </row>
    <row r="14" spans="1:6" x14ac:dyDescent="0.25">
      <c r="A14" s="3" t="s">
        <v>20</v>
      </c>
      <c r="B14" s="29">
        <f>B7</f>
        <v>280</v>
      </c>
      <c r="C14" s="29">
        <f>SUM(B14,C10)</f>
        <v>1004</v>
      </c>
      <c r="D14" s="29">
        <f>SUM(C14,D10)</f>
        <v>2928</v>
      </c>
      <c r="E14" s="29">
        <f>SUM(D14,E10)</f>
        <v>4852</v>
      </c>
      <c r="F14" s="29">
        <f>SUM(E14,F10)</f>
        <v>6776</v>
      </c>
    </row>
    <row r="15" spans="1:6" x14ac:dyDescent="0.25">
      <c r="A15" s="8" t="s">
        <v>21</v>
      </c>
      <c r="B15" s="29">
        <v>0</v>
      </c>
      <c r="C15" s="29">
        <v>5</v>
      </c>
      <c r="D15" s="29">
        <v>20</v>
      </c>
      <c r="E15" s="29">
        <v>20</v>
      </c>
      <c r="F15" s="29">
        <v>20</v>
      </c>
    </row>
    <row r="16" spans="1:6" ht="16.5" customHeight="1" x14ac:dyDescent="0.25">
      <c r="A16" s="9" t="s">
        <v>28</v>
      </c>
      <c r="B16" s="29">
        <v>50</v>
      </c>
      <c r="C16" s="32"/>
      <c r="D16" s="32"/>
      <c r="E16" s="32"/>
      <c r="F16" s="32"/>
    </row>
    <row r="17" spans="1:6" x14ac:dyDescent="0.25">
      <c r="A17" s="8" t="s">
        <v>22</v>
      </c>
      <c r="B17" s="29">
        <v>200</v>
      </c>
      <c r="C17" s="32"/>
      <c r="D17" s="32"/>
      <c r="E17" s="32"/>
      <c r="F17" s="32"/>
    </row>
    <row r="18" spans="1:6" x14ac:dyDescent="0.25">
      <c r="A18" s="8" t="s">
        <v>23</v>
      </c>
      <c r="B18" s="29">
        <v>0.2</v>
      </c>
      <c r="C18" s="32"/>
      <c r="D18" s="32"/>
      <c r="E18" s="32"/>
      <c r="F18" s="32"/>
    </row>
    <row r="19" spans="1:6" ht="42" customHeight="1" x14ac:dyDescent="0.25">
      <c r="A19" s="44" t="s">
        <v>33</v>
      </c>
      <c r="B19" s="42"/>
      <c r="C19" s="42"/>
      <c r="D19" s="42"/>
      <c r="E19" s="42"/>
      <c r="F19" s="42"/>
    </row>
    <row r="20" spans="1:6" x14ac:dyDescent="0.25">
      <c r="A20" s="5"/>
      <c r="B20" s="10" t="s">
        <v>0</v>
      </c>
      <c r="C20" s="10" t="s">
        <v>1</v>
      </c>
      <c r="D20" s="10" t="s">
        <v>2</v>
      </c>
      <c r="E20" s="10" t="s">
        <v>3</v>
      </c>
      <c r="F20" s="10" t="s">
        <v>4</v>
      </c>
    </row>
    <row r="21" spans="1:6" x14ac:dyDescent="0.25">
      <c r="A21" s="11" t="s">
        <v>11</v>
      </c>
      <c r="B21" s="33">
        <f>B3/5</f>
        <v>280</v>
      </c>
      <c r="C21" s="33">
        <f t="shared" ref="C21:F21" si="2">1400/5</f>
        <v>280</v>
      </c>
      <c r="D21" s="33">
        <f t="shared" si="2"/>
        <v>280</v>
      </c>
      <c r="E21" s="33">
        <f t="shared" si="2"/>
        <v>280</v>
      </c>
      <c r="F21" s="33">
        <f t="shared" si="2"/>
        <v>280</v>
      </c>
    </row>
    <row r="22" spans="1:6" x14ac:dyDescent="0.25">
      <c r="A22" s="11" t="s">
        <v>10</v>
      </c>
      <c r="B22" s="33">
        <v>0</v>
      </c>
      <c r="C22" s="33">
        <f>C3/4</f>
        <v>125</v>
      </c>
      <c r="D22" s="33">
        <f t="shared" ref="D22:F22" si="3">500/4</f>
        <v>125</v>
      </c>
      <c r="E22" s="33">
        <f t="shared" si="3"/>
        <v>125</v>
      </c>
      <c r="F22" s="33">
        <f t="shared" si="3"/>
        <v>125</v>
      </c>
    </row>
    <row r="25" spans="1:6" ht="41.25" customHeight="1" x14ac:dyDescent="0.25">
      <c r="A25" s="42" t="s">
        <v>34</v>
      </c>
      <c r="B25" s="42"/>
      <c r="C25" s="42"/>
      <c r="D25" s="42"/>
      <c r="E25" s="42"/>
    </row>
    <row r="26" spans="1:6" x14ac:dyDescent="0.25">
      <c r="A26" s="6" t="s">
        <v>5</v>
      </c>
      <c r="B26" s="12">
        <f>IF(AND(B12&lt;0,C12&gt;0),((-B12*365)/(C12-B12))+1*365,-1)</f>
        <v>-1</v>
      </c>
      <c r="C26" s="13">
        <f>IF(AND(C12&lt;0,D12&gt;0),SUM(2,ABS(C12/(D12-C12))),-1)</f>
        <v>2.0019267822736029</v>
      </c>
      <c r="D26" s="12">
        <f>IF(AND(D12&lt;0,E12&gt;0),SUM(3,ABS(D12/(E12-D12))),-1)</f>
        <v>-1</v>
      </c>
      <c r="E26" s="12">
        <f>IF(AND(E12&lt;0,F12&gt;0),SUM(4,ABS(E12/(F12-E12))),-1)</f>
        <v>-1</v>
      </c>
    </row>
    <row r="27" spans="1:6" x14ac:dyDescent="0.25">
      <c r="A27" s="6" t="s">
        <v>29</v>
      </c>
      <c r="B27" s="12">
        <f>IF(B26&gt;=0,PRODUCT(B26,12),-1)</f>
        <v>-1</v>
      </c>
      <c r="C27" s="13">
        <f>IF(C26&gt;=0,PRODUCT(C26,12),-1)</f>
        <v>24.023121387283233</v>
      </c>
      <c r="D27" s="12">
        <f t="shared" ref="D27:E27" si="4">IF(D26&gt;=0,PRODUCT(D26,12),-1)</f>
        <v>-1</v>
      </c>
      <c r="E27" s="12">
        <f t="shared" si="4"/>
        <v>-1</v>
      </c>
    </row>
    <row r="28" spans="1:6" x14ac:dyDescent="0.25">
      <c r="A28" s="6" t="s">
        <v>30</v>
      </c>
      <c r="B28" s="12">
        <f>IF(B26&gt;=0,PRODUCT(B26,365),-1)</f>
        <v>-1</v>
      </c>
      <c r="C28" s="13">
        <f>IF(C26&gt;=0,PRODUCT(C26,365),-1)</f>
        <v>730.7032755298651</v>
      </c>
      <c r="D28" s="12">
        <f>IF(D26&gt;=0,PRODUCT(D26,365),-1)</f>
        <v>-1</v>
      </c>
      <c r="E28" s="12">
        <f t="shared" ref="E28" si="5">IF(E26&gt;=0,PRODUCT(E26,365),-1)</f>
        <v>-1</v>
      </c>
    </row>
    <row r="31" spans="1:6" ht="42.75" customHeight="1" x14ac:dyDescent="0.25">
      <c r="A31" s="43" t="s">
        <v>35</v>
      </c>
      <c r="B31" s="43"/>
    </row>
    <row r="32" spans="1:6" x14ac:dyDescent="0.25">
      <c r="A32" s="6" t="s">
        <v>32</v>
      </c>
      <c r="B32" s="34">
        <f>IF(AND(C26&gt;1,C26&lt;2),((C26-1)*(C14-B14)+B14),IF(AND(C26&gt;2,C26&lt;3),((C26-2)*(D14-C14)+C14),IF(AND(C26&gt;3,C26&lt;4),((C26-3)*(E14-D14)+D14),IF(AND(C26&gt;4,C26&lt;5),((F14-4)*(F14-E14)+E14),))))</f>
        <v>1007.7071290944119</v>
      </c>
      <c r="C32" s="4"/>
    </row>
    <row r="33" spans="1:2" x14ac:dyDescent="0.25">
      <c r="A33" s="6" t="s">
        <v>31</v>
      </c>
      <c r="B33" s="34">
        <f>IF(AND(C26&gt;1,C26&lt;2),((C26-1)*(C13-B13)+B13),IF(AND(C26&gt;2,C26&lt;3),((C26-2)*(D13-C13)+C13),IF(AND(C26&gt;3,C26&lt;4),((C26-3)*(E13-D13)+D13),IF(AND(C26&gt;4,C26&lt;5),((F13-4)*(F13-E13)+E13),))))</f>
        <v>1007.7071290944115</v>
      </c>
    </row>
  </sheetData>
  <mergeCells count="4">
    <mergeCell ref="A1:F1"/>
    <mergeCell ref="A25:E25"/>
    <mergeCell ref="A31:B31"/>
    <mergeCell ref="A19:F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9D30-755F-4310-BFB3-C40898A9D89A}">
  <dimension ref="A1:L17"/>
  <sheetViews>
    <sheetView workbookViewId="0">
      <selection activeCell="A5" sqref="A5:C5"/>
    </sheetView>
  </sheetViews>
  <sheetFormatPr baseColWidth="10" defaultRowHeight="15" x14ac:dyDescent="0.25"/>
  <cols>
    <col min="1" max="1" width="21.28515625" customWidth="1"/>
    <col min="2" max="2" width="15.5703125" customWidth="1"/>
    <col min="3" max="7" width="13.140625" bestFit="1" customWidth="1"/>
    <col min="8" max="8" width="14.140625" bestFit="1" customWidth="1"/>
    <col min="9" max="9" width="20.28515625" customWidth="1"/>
    <col min="10" max="10" width="14.140625" bestFit="1" customWidth="1"/>
  </cols>
  <sheetData>
    <row r="1" spans="1:12" x14ac:dyDescent="0.25">
      <c r="A1" s="7" t="s">
        <v>6</v>
      </c>
      <c r="B1" s="7" t="s">
        <v>41</v>
      </c>
      <c r="C1" s="7" t="s">
        <v>38</v>
      </c>
      <c r="D1" s="7" t="s">
        <v>39</v>
      </c>
      <c r="E1" s="7" t="s">
        <v>40</v>
      </c>
      <c r="F1" s="7" t="s">
        <v>43</v>
      </c>
      <c r="G1" s="7" t="s">
        <v>7</v>
      </c>
      <c r="H1" s="7" t="s">
        <v>8</v>
      </c>
      <c r="I1" s="36" t="s">
        <v>73</v>
      </c>
      <c r="J1" s="38"/>
    </row>
    <row r="2" spans="1:12" x14ac:dyDescent="0.25">
      <c r="A2" s="16" t="s">
        <v>36</v>
      </c>
      <c r="B2" s="25">
        <v>-10</v>
      </c>
      <c r="C2" s="24">
        <v>5</v>
      </c>
      <c r="D2" s="24">
        <v>5</v>
      </c>
      <c r="E2" s="24">
        <v>30</v>
      </c>
      <c r="F2" s="26">
        <f>SUM(B2,C2/(1+A7),D2/((1+A7)*(1+B7)),E2/((1+A7)*(1+B7)*(1+C7)))</f>
        <v>19.33884297520661</v>
      </c>
      <c r="G2" s="27">
        <f>SUM(B2:E2)</f>
        <v>30</v>
      </c>
      <c r="H2" s="27">
        <f>SUM(SUM(C2:E2),B2)/(-B2)</f>
        <v>3</v>
      </c>
      <c r="I2" s="37">
        <f>G2/(1+A7)^3</f>
        <v>22.539444027047328</v>
      </c>
      <c r="J2" s="39"/>
    </row>
    <row r="3" spans="1:12" x14ac:dyDescent="0.25">
      <c r="A3" s="16" t="s">
        <v>37</v>
      </c>
      <c r="B3" s="24">
        <v>-10</v>
      </c>
      <c r="C3" s="24">
        <v>10</v>
      </c>
      <c r="D3" s="24">
        <v>2</v>
      </c>
      <c r="E3" s="24"/>
      <c r="F3" s="28">
        <f>SUM(B3,C3/(1+A7),D3/((1+A7)*(1+B7)),E3/((1+A7)*(1+B7)*(1+C7)))</f>
        <v>0.74380165289256084</v>
      </c>
      <c r="G3" s="27">
        <f>SUM(C3,D3,E3,B3)</f>
        <v>2</v>
      </c>
      <c r="H3" s="27">
        <f>SUM(SUM(C3:E3),B3)/(-B3)</f>
        <v>0.2</v>
      </c>
      <c r="I3" s="37">
        <f>G3/(1+A7)^3</f>
        <v>1.5026296018031551</v>
      </c>
      <c r="J3" s="39"/>
    </row>
    <row r="4" spans="1:12" x14ac:dyDescent="0.25">
      <c r="J4" s="40"/>
    </row>
    <row r="5" spans="1:12" x14ac:dyDescent="0.25">
      <c r="A5" s="46" t="s">
        <v>42</v>
      </c>
      <c r="B5" s="46"/>
      <c r="C5" s="46"/>
      <c r="F5" s="19"/>
      <c r="G5" s="15"/>
    </row>
    <row r="6" spans="1:12" x14ac:dyDescent="0.25">
      <c r="A6" s="7" t="s">
        <v>0</v>
      </c>
      <c r="B6" s="17" t="s">
        <v>1</v>
      </c>
      <c r="C6" s="8" t="s">
        <v>2</v>
      </c>
    </row>
    <row r="7" spans="1:12" x14ac:dyDescent="0.25">
      <c r="A7" s="18">
        <v>0.1</v>
      </c>
      <c r="B7" s="18">
        <v>0.1</v>
      </c>
      <c r="C7" s="18">
        <v>0.2</v>
      </c>
    </row>
    <row r="9" spans="1:12" x14ac:dyDescent="0.25">
      <c r="B9" s="47" t="s">
        <v>41</v>
      </c>
      <c r="C9" s="46" t="s">
        <v>56</v>
      </c>
      <c r="D9" s="46"/>
      <c r="E9" s="46"/>
      <c r="F9" s="46"/>
      <c r="G9" s="46"/>
    </row>
    <row r="10" spans="1:12" x14ac:dyDescent="0.25">
      <c r="B10" s="47"/>
      <c r="C10" s="8" t="s">
        <v>0</v>
      </c>
      <c r="D10" s="8" t="s">
        <v>1</v>
      </c>
      <c r="E10" s="8" t="s">
        <v>2</v>
      </c>
      <c r="F10" s="8" t="s">
        <v>3</v>
      </c>
      <c r="G10" s="8" t="s">
        <v>4</v>
      </c>
      <c r="H10" s="8" t="s">
        <v>61</v>
      </c>
      <c r="I10" s="8" t="s">
        <v>8</v>
      </c>
      <c r="J10" s="8" t="s">
        <v>43</v>
      </c>
      <c r="K10" s="8" t="s">
        <v>64</v>
      </c>
      <c r="L10" s="8" t="s">
        <v>74</v>
      </c>
    </row>
    <row r="11" spans="1:12" x14ac:dyDescent="0.25">
      <c r="A11" s="8" t="s">
        <v>57</v>
      </c>
      <c r="B11" s="29">
        <v>-10000000</v>
      </c>
      <c r="C11" s="29">
        <v>1000000</v>
      </c>
      <c r="D11" s="29">
        <v>-2000000</v>
      </c>
      <c r="E11" s="29">
        <v>6000000</v>
      </c>
      <c r="F11" s="29">
        <v>6000000</v>
      </c>
      <c r="G11" s="30">
        <v>8000000</v>
      </c>
      <c r="H11" s="29">
        <f>SUM(C11,D11,E11,F11,G11)</f>
        <v>19000000</v>
      </c>
      <c r="I11" s="29">
        <f>(H11+B11)/(-B11)</f>
        <v>0.9</v>
      </c>
      <c r="J11" s="29">
        <f>SUM(B11,C11/(1+B15),D11/((1+B15)*(1+B15)),E11/((1+B15)*(1+B15)*(1+B15)),F11/((1+B15)*(1+B15)*(1+B15)*(1+B15)),G11/((1+B15)*(1+B15)*(1+B15)*(1+B15)*(1+B15)))</f>
        <v>3829086.4244921198</v>
      </c>
      <c r="K11" s="1">
        <f>IF(C11&gt;=ABS(B11),0,IF(SUM(C11,D11)&gt;=ABS(B11),1,IF(SUM(C11:E11)&gt;=ABS(B11),2,IF(SUM(C11:F11)&gt;=ABS(B11),3,IF(SUM(C11:G11)&gt;=ABS(B11),4)))))</f>
        <v>3</v>
      </c>
      <c r="L11" s="20">
        <f>IRR(B11:G11,B15)</f>
        <v>0.16972926050089576</v>
      </c>
    </row>
    <row r="12" spans="1:12" x14ac:dyDescent="0.25">
      <c r="A12" s="8" t="s">
        <v>58</v>
      </c>
      <c r="B12" s="29">
        <v>-18000000</v>
      </c>
      <c r="C12" s="29">
        <v>-3000000</v>
      </c>
      <c r="D12" s="29">
        <v>4000000</v>
      </c>
      <c r="E12" s="29">
        <v>5000000</v>
      </c>
      <c r="F12" s="29">
        <v>6000000</v>
      </c>
      <c r="G12" s="30">
        <v>8000000</v>
      </c>
      <c r="H12" s="29">
        <f t="shared" ref="H12:H13" si="0">SUM(C12,D12,E12,F12,G12)</f>
        <v>20000000</v>
      </c>
      <c r="I12" s="29">
        <f>(H12+B12)/(-B12)</f>
        <v>0.1111111111111111</v>
      </c>
      <c r="J12" s="29">
        <f>SUM(B12,C12/(1+B15),D12/((1+B15)*(1+B15)),E12/((1+B15)*(1+B15)*(1+B15)),F12/((1+B15)*(1+B15)*(1+B15)*(1+B15)),G12/((1+B15)*(1+B15)*(1+B15)*(1+B15)*(1+B15)))</f>
        <v>-3524416.598421053</v>
      </c>
      <c r="K12" s="1">
        <f>IF(C12&gt;=ABS(B12),0,IF(SUM(C12,D12)&gt;=ABS(B12),1,IF(SUM(C12:E12)&gt;=ABS(B12),2,IF(SUM(C12:F12)&gt;=ABS(B12),3,IF(SUM(C12:G12)&gt;=ABS(B12),4)))))</f>
        <v>4</v>
      </c>
      <c r="L12" s="20">
        <f>IRR(B12:G12,B15)</f>
        <v>2.5406059548239268E-2</v>
      </c>
    </row>
    <row r="13" spans="1:12" x14ac:dyDescent="0.25">
      <c r="A13" s="8" t="s">
        <v>59</v>
      </c>
      <c r="B13" s="29">
        <v>-16000000</v>
      </c>
      <c r="C13" s="29">
        <v>4000000</v>
      </c>
      <c r="D13" s="29">
        <v>5000000</v>
      </c>
      <c r="E13" s="29">
        <v>8000000</v>
      </c>
      <c r="F13" s="29">
        <v>3000000</v>
      </c>
      <c r="G13" s="30">
        <v>3000000</v>
      </c>
      <c r="H13" s="29">
        <f t="shared" si="0"/>
        <v>23000000</v>
      </c>
      <c r="I13" s="29">
        <f>(H13+B13)/(-B13)</f>
        <v>0.4375</v>
      </c>
      <c r="J13" s="29">
        <f>SUM(B13,C13/(1+B15),D13/((1+B15)*(1+B15)),E13/((1+B15)*(1+B15)*(1+B15)),F13/((1+B15)*(1+B15)*(1+B15)*(1+B15)),G13/((1+B15)*(1+B15)*(1+B15)*(1+B15)*(1+B15)))</f>
        <v>2587894.8828645949</v>
      </c>
      <c r="K13" s="1">
        <f>IF(C13&gt;=ABS(B13),0,IF(SUM(C13,D13)&gt;=ABS(B13),1,IF(SUM(C13:E13)&gt;=ABS(B13),2,IF(SUM(C13:F13)&gt;=ABS(B13),3,IF(SUM(C13:G13)&gt;=ABS(B13),4)))))</f>
        <v>2</v>
      </c>
      <c r="L13" s="20">
        <f>IRR(B13:G13,B15)</f>
        <v>0.14244270942469672</v>
      </c>
    </row>
    <row r="15" spans="1:12" x14ac:dyDescent="0.25">
      <c r="A15" s="8" t="s">
        <v>60</v>
      </c>
      <c r="B15" s="20">
        <v>0.08</v>
      </c>
      <c r="D15" s="45" t="s">
        <v>62</v>
      </c>
      <c r="E15" s="45"/>
      <c r="F15" s="45"/>
      <c r="G15" s="45"/>
    </row>
    <row r="16" spans="1:12" x14ac:dyDescent="0.25">
      <c r="D16" s="45" t="s">
        <v>63</v>
      </c>
      <c r="E16" s="45"/>
      <c r="F16" s="45"/>
      <c r="G16" s="45"/>
    </row>
    <row r="17" spans="4:7" x14ac:dyDescent="0.25">
      <c r="D17" s="45" t="s">
        <v>65</v>
      </c>
      <c r="E17" s="45"/>
      <c r="F17" s="45"/>
      <c r="G17" s="45"/>
    </row>
  </sheetData>
  <mergeCells count="6">
    <mergeCell ref="D17:G17"/>
    <mergeCell ref="A5:C5"/>
    <mergeCell ref="B9:B10"/>
    <mergeCell ref="C9:G9"/>
    <mergeCell ref="D15:G15"/>
    <mergeCell ref="D16:G16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C356-9354-4385-9ED5-9F2C0ED61D80}">
  <dimension ref="A1:K21"/>
  <sheetViews>
    <sheetView workbookViewId="0">
      <selection activeCell="D16" sqref="D16"/>
    </sheetView>
  </sheetViews>
  <sheetFormatPr baseColWidth="10" defaultRowHeight="15" x14ac:dyDescent="0.25"/>
  <cols>
    <col min="1" max="1" width="18.28515625" customWidth="1"/>
    <col min="2" max="2" width="13.140625" bestFit="1" customWidth="1"/>
    <col min="6" max="6" width="11.85546875" bestFit="1" customWidth="1"/>
    <col min="8" max="8" width="13.140625" bestFit="1" customWidth="1"/>
  </cols>
  <sheetData>
    <row r="1" spans="1:11" x14ac:dyDescent="0.25">
      <c r="B1" s="8" t="s">
        <v>49</v>
      </c>
      <c r="C1" s="8" t="s">
        <v>50</v>
      </c>
      <c r="E1" s="46" t="s">
        <v>43</v>
      </c>
      <c r="F1" s="46"/>
    </row>
    <row r="2" spans="1:11" ht="15" customHeight="1" x14ac:dyDescent="0.25">
      <c r="A2" s="8" t="s">
        <v>44</v>
      </c>
      <c r="B2" s="29">
        <v>-10000</v>
      </c>
      <c r="C2" s="29">
        <v>-10000</v>
      </c>
      <c r="E2" s="8" t="s">
        <v>49</v>
      </c>
      <c r="F2" s="22">
        <f>SUM(B2,B3/(1+B8),B4/((1+B8)*(1+B8)),B5/((1+B8)*(1+B8)*(1+B8)),B6/((1+B8)*(1+B8)*(1+B8)*(1+B8)))</f>
        <v>5849.3272317464616</v>
      </c>
      <c r="H2" s="48" t="s">
        <v>55</v>
      </c>
      <c r="I2" s="48"/>
      <c r="J2" s="48"/>
    </row>
    <row r="3" spans="1:11" x14ac:dyDescent="0.25">
      <c r="A3" s="8" t="s">
        <v>45</v>
      </c>
      <c r="B3" s="29">
        <v>5000</v>
      </c>
      <c r="C3" s="29">
        <v>2000</v>
      </c>
      <c r="E3" s="8" t="s">
        <v>50</v>
      </c>
      <c r="F3" s="21">
        <f>SUM(C2,C3/(1+B8),C4/((1+B8)*(1+B8)),C5/((1+B8)*(1+B8)*(1+B8)),C6/((1+B8)*(1+B8)*(1+B8)*(1+B8)))</f>
        <v>11789.495253056479</v>
      </c>
      <c r="H3" s="48"/>
      <c r="I3" s="48"/>
      <c r="J3" s="48"/>
    </row>
    <row r="4" spans="1:11" x14ac:dyDescent="0.25">
      <c r="A4" s="8" t="s">
        <v>46</v>
      </c>
      <c r="B4" s="29">
        <v>5000</v>
      </c>
      <c r="C4" s="29">
        <v>4000</v>
      </c>
    </row>
    <row r="5" spans="1:11" x14ac:dyDescent="0.25">
      <c r="A5" s="8" t="s">
        <v>47</v>
      </c>
      <c r="B5" s="29">
        <v>5000</v>
      </c>
      <c r="C5" s="29">
        <v>4000</v>
      </c>
    </row>
    <row r="6" spans="1:11" ht="15.75" customHeight="1" x14ac:dyDescent="0.25">
      <c r="A6" s="8" t="s">
        <v>48</v>
      </c>
      <c r="B6" s="29">
        <v>5000</v>
      </c>
      <c r="C6" s="29">
        <v>20000</v>
      </c>
      <c r="E6" s="46" t="s">
        <v>52</v>
      </c>
      <c r="F6" s="46"/>
      <c r="H6" s="48" t="s">
        <v>53</v>
      </c>
      <c r="I6" s="48"/>
      <c r="J6" s="48"/>
      <c r="K6" s="14"/>
    </row>
    <row r="7" spans="1:11" x14ac:dyDescent="0.25">
      <c r="E7" s="8" t="s">
        <v>49</v>
      </c>
      <c r="F7" s="1">
        <f>IF(AND(EXACT(B3,B4),EXACT(B5,B6),EXACT(B4,B5)),ABS(B2)/B3,)</f>
        <v>2</v>
      </c>
      <c r="H7" s="48"/>
      <c r="I7" s="48"/>
      <c r="J7" s="48"/>
      <c r="K7" s="14"/>
    </row>
    <row r="8" spans="1:11" x14ac:dyDescent="0.25">
      <c r="A8" s="8" t="s">
        <v>51</v>
      </c>
      <c r="B8" s="20">
        <v>0.1</v>
      </c>
      <c r="E8" s="8" t="s">
        <v>50</v>
      </c>
      <c r="F8" s="1">
        <f>IF(AND(EXACT(C2,C3),EXACT(C4,C5),EXACT(C3,C4)),ABS(C2)/C3,-1)</f>
        <v>-1</v>
      </c>
      <c r="H8" s="23"/>
      <c r="I8" s="23"/>
      <c r="J8" s="14"/>
      <c r="K8" s="14"/>
    </row>
    <row r="10" spans="1:11" x14ac:dyDescent="0.25">
      <c r="E10" s="48" t="s">
        <v>54</v>
      </c>
      <c r="F10" s="48"/>
      <c r="G10" s="48"/>
    </row>
    <row r="11" spans="1:11" x14ac:dyDescent="0.25">
      <c r="E11" s="48"/>
      <c r="F11" s="48"/>
      <c r="G11" s="48"/>
    </row>
    <row r="16" spans="1:11" ht="30" x14ac:dyDescent="0.25">
      <c r="B16" s="9" t="s">
        <v>66</v>
      </c>
      <c r="C16" s="9" t="s">
        <v>67</v>
      </c>
      <c r="D16" s="9" t="s">
        <v>68</v>
      </c>
      <c r="E16" s="9" t="s">
        <v>69</v>
      </c>
      <c r="F16" s="9" t="s">
        <v>70</v>
      </c>
      <c r="G16" s="9" t="s">
        <v>71</v>
      </c>
      <c r="H16" s="9" t="s">
        <v>43</v>
      </c>
    </row>
    <row r="17" spans="1:8" x14ac:dyDescent="0.25">
      <c r="A17" s="8" t="s">
        <v>57</v>
      </c>
      <c r="B17" s="29">
        <v>1000000</v>
      </c>
      <c r="C17" s="29">
        <v>100000</v>
      </c>
      <c r="D17" s="29">
        <v>150000</v>
      </c>
      <c r="E17" s="29">
        <v>200000</v>
      </c>
      <c r="F17" s="29">
        <v>250000</v>
      </c>
      <c r="G17" s="29">
        <v>300000</v>
      </c>
      <c r="H17" s="35">
        <f>NPV(B21,C17,D17,E17,F17,G17)-B17</f>
        <v>-207647.01459863258</v>
      </c>
    </row>
    <row r="18" spans="1:8" x14ac:dyDescent="0.25">
      <c r="A18" s="8" t="s">
        <v>58</v>
      </c>
      <c r="B18" s="29">
        <v>1500000</v>
      </c>
      <c r="C18" s="29">
        <v>200000</v>
      </c>
      <c r="D18" s="29">
        <v>300000</v>
      </c>
      <c r="E18" s="29">
        <v>350000</v>
      </c>
      <c r="F18" s="29">
        <v>400000</v>
      </c>
      <c r="G18" s="29">
        <v>500000</v>
      </c>
      <c r="H18" s="35">
        <f>NPV(B21,C18,D18,E18,F18,G18)-B18</f>
        <v>-103697.0621949269</v>
      </c>
    </row>
    <row r="19" spans="1:8" x14ac:dyDescent="0.25">
      <c r="A19" s="8" t="s">
        <v>59</v>
      </c>
      <c r="B19" s="29">
        <v>1700000</v>
      </c>
      <c r="C19" s="29">
        <v>400000</v>
      </c>
      <c r="D19" s="29">
        <v>600000</v>
      </c>
      <c r="E19" s="29">
        <v>300000</v>
      </c>
      <c r="F19" s="29">
        <v>600000</v>
      </c>
      <c r="G19" s="29">
        <v>400000</v>
      </c>
      <c r="H19" s="35">
        <f>NPV(B21,C19,D19,E19,F19,G19)-B19</f>
        <v>185715.97475409927</v>
      </c>
    </row>
    <row r="21" spans="1:8" x14ac:dyDescent="0.25">
      <c r="A21" s="8" t="s">
        <v>51</v>
      </c>
      <c r="B21" s="20">
        <v>7.0000000000000007E-2</v>
      </c>
      <c r="D21" s="45" t="s">
        <v>72</v>
      </c>
      <c r="E21" s="45"/>
      <c r="F21" s="45"/>
      <c r="G21" s="45"/>
    </row>
  </sheetData>
  <mergeCells count="6">
    <mergeCell ref="E10:G11"/>
    <mergeCell ref="H2:J3"/>
    <mergeCell ref="H6:J7"/>
    <mergeCell ref="D21:G21"/>
    <mergeCell ref="E1:F1"/>
    <mergeCell ref="E6:F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46EC-5573-473F-8E2E-AA8D217EB08E}">
  <dimension ref="A1:F8"/>
  <sheetViews>
    <sheetView tabSelected="1" workbookViewId="0">
      <selection activeCell="E8" sqref="E8"/>
    </sheetView>
  </sheetViews>
  <sheetFormatPr baseColWidth="10" defaultRowHeight="15" x14ac:dyDescent="0.25"/>
  <cols>
    <col min="1" max="1" width="18.85546875" customWidth="1"/>
    <col min="2" max="2" width="18.5703125" customWidth="1"/>
    <col min="3" max="3" width="18.7109375" customWidth="1"/>
    <col min="4" max="4" width="19.28515625" customWidth="1"/>
    <col min="5" max="5" width="16.140625" customWidth="1"/>
  </cols>
  <sheetData>
    <row r="1" spans="1:6" x14ac:dyDescent="0.25">
      <c r="A1" s="1"/>
      <c r="B1" s="50" t="s">
        <v>75</v>
      </c>
      <c r="C1" s="50" t="s">
        <v>76</v>
      </c>
      <c r="D1" s="50" t="s">
        <v>77</v>
      </c>
      <c r="E1" s="49"/>
    </row>
    <row r="2" spans="1:6" x14ac:dyDescent="0.25">
      <c r="A2" s="1"/>
      <c r="B2" s="49">
        <v>0.2</v>
      </c>
      <c r="C2" s="49">
        <v>0.7</v>
      </c>
      <c r="D2" s="49">
        <v>0.1</v>
      </c>
      <c r="E2" s="50" t="s">
        <v>78</v>
      </c>
      <c r="F2" s="50" t="s">
        <v>8</v>
      </c>
    </row>
    <row r="3" spans="1:6" x14ac:dyDescent="0.25">
      <c r="A3" s="50" t="s">
        <v>79</v>
      </c>
      <c r="B3" s="1">
        <v>72000</v>
      </c>
      <c r="C3" s="1">
        <v>80000</v>
      </c>
      <c r="D3" s="1">
        <v>93000</v>
      </c>
      <c r="E3" s="49">
        <v>47000</v>
      </c>
      <c r="F3" s="1">
        <f>((B3*B2+C3*C2+D3*D2)-E3)/E3</f>
        <v>0.69574468085106378</v>
      </c>
    </row>
    <row r="4" spans="1:6" x14ac:dyDescent="0.25">
      <c r="A4" s="50" t="s">
        <v>80</v>
      </c>
      <c r="B4" s="1">
        <v>45000</v>
      </c>
      <c r="C4" s="1">
        <v>70000</v>
      </c>
      <c r="D4" s="1">
        <v>87000</v>
      </c>
      <c r="E4" s="49">
        <v>35000</v>
      </c>
      <c r="F4" s="51">
        <f>((B4*B2+C4*C2+D4*D2)-E4)/E4</f>
        <v>0.90571428571428569</v>
      </c>
    </row>
    <row r="5" spans="1:6" x14ac:dyDescent="0.25">
      <c r="A5" s="50" t="s">
        <v>81</v>
      </c>
      <c r="B5" s="1">
        <v>57000</v>
      </c>
      <c r="C5" s="1">
        <v>83000</v>
      </c>
      <c r="D5" s="1">
        <v>113000</v>
      </c>
      <c r="E5" s="49">
        <v>52000</v>
      </c>
      <c r="F5" s="1">
        <f>((B5*B2+C5*C2+D5*D2)-E5)/E5</f>
        <v>0.55384615384615388</v>
      </c>
    </row>
    <row r="6" spans="1:6" x14ac:dyDescent="0.25">
      <c r="B6" t="s">
        <v>83</v>
      </c>
      <c r="E6" t="s">
        <v>41</v>
      </c>
    </row>
    <row r="8" spans="1:6" x14ac:dyDescent="0.25">
      <c r="E8" t="s">
        <v>82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Cálculo BET y CE</vt:lpstr>
      <vt:lpstr>Cálculo VAN y TIR</vt:lpstr>
      <vt:lpstr>Flujo de caja PR y VAN</vt:lpstr>
      <vt:lpstr>Alternativas mediante 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Martínez</dc:creator>
  <cp:lastModifiedBy>Isa Martínez</cp:lastModifiedBy>
  <dcterms:created xsi:type="dcterms:W3CDTF">2020-03-03T21:08:23Z</dcterms:created>
  <dcterms:modified xsi:type="dcterms:W3CDTF">2020-04-27T12:31:46Z</dcterms:modified>
</cp:coreProperties>
</file>