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\Desktop\DYNAMIS\2020 Dinamica\Excel\"/>
    </mc:Choice>
  </mc:AlternateContent>
  <xr:revisionPtr revIDLastSave="0" documentId="8_{919D2DAF-59FE-4547-87CC-BB36B25393A6}" xr6:coauthVersionLast="45" xr6:coauthVersionMax="45" xr10:uidLastSave="{00000000-0000-0000-0000-000000000000}"/>
  <bookViews>
    <workbookView xWindow="-120" yWindow="-120" windowWidth="20730" windowHeight="11160" xr2:uid="{1C08EFB7-D49C-47DF-8B6C-A4A422F4E57F}"/>
  </bookViews>
  <sheets>
    <sheet name="Results" sheetId="3" r:id="rId1"/>
    <sheet name="Data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3" l="1"/>
  <c r="I24" i="3"/>
  <c r="I4" i="3" s="1"/>
  <c r="I11" i="1" l="1"/>
  <c r="D36" i="1" l="1"/>
  <c r="D35" i="1"/>
  <c r="D34" i="1"/>
  <c r="I8" i="1"/>
  <c r="I9" i="1"/>
  <c r="I28" i="3"/>
  <c r="D8" i="3"/>
  <c r="D7" i="3"/>
  <c r="I7" i="1"/>
  <c r="D12" i="1"/>
  <c r="I19" i="3"/>
  <c r="I13" i="1"/>
  <c r="I10" i="1" s="1"/>
  <c r="I5" i="1"/>
  <c r="I6" i="1" s="1"/>
  <c r="I35" i="3" s="1"/>
  <c r="I16" i="1" l="1"/>
  <c r="N23" i="3"/>
  <c r="N19" i="3"/>
  <c r="M13" i="1"/>
  <c r="I15" i="1"/>
  <c r="I34" i="3"/>
  <c r="I36" i="3"/>
  <c r="I33" i="3"/>
  <c r="I14" i="1"/>
  <c r="I17" i="1" l="1"/>
  <c r="M10" i="1"/>
  <c r="M6" i="1"/>
  <c r="M9" i="1"/>
  <c r="M5" i="1"/>
  <c r="E30" i="1"/>
  <c r="E29" i="1"/>
  <c r="E28" i="1"/>
  <c r="D19" i="3" s="1"/>
  <c r="E27" i="1"/>
  <c r="E26" i="1"/>
  <c r="E25" i="1"/>
  <c r="N22" i="3" l="1"/>
  <c r="N25" i="3" s="1"/>
  <c r="N20" i="3"/>
  <c r="I11" i="3"/>
  <c r="I12" i="3"/>
  <c r="M12" i="1"/>
  <c r="I21" i="3"/>
  <c r="D18" i="3"/>
  <c r="N21" i="3" s="1"/>
  <c r="N28" i="3" l="1"/>
  <c r="N30" i="3"/>
  <c r="N24" i="3"/>
  <c r="N27" i="3"/>
  <c r="N29" i="3" s="1"/>
  <c r="I9" i="3"/>
  <c r="I10" i="3"/>
  <c r="M8" i="1"/>
  <c r="I20" i="3"/>
  <c r="L25" i="1"/>
  <c r="L26" i="1"/>
  <c r="L27" i="1"/>
  <c r="D20" i="3" s="1"/>
  <c r="M7" i="1" s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D21" i="3" s="1"/>
  <c r="M11" i="1" s="1"/>
  <c r="L43" i="1"/>
  <c r="L44" i="1"/>
  <c r="L45" i="1"/>
  <c r="I13" i="3" l="1"/>
  <c r="N26" i="3"/>
  <c r="I6" i="3" s="1"/>
  <c r="I7" i="3" s="1"/>
  <c r="I23" i="3"/>
  <c r="I12" i="1"/>
  <c r="I25" i="3"/>
  <c r="I26" i="3"/>
  <c r="I27" i="3" l="1"/>
  <c r="I29" i="3" l="1"/>
  <c r="I30" i="3"/>
  <c r="I5" i="3"/>
  <c r="I32" i="3" l="1"/>
  <c r="I31" i="3"/>
  <c r="I8" i="3" s="1"/>
</calcChain>
</file>

<file path=xl/sharedStrings.xml><?xml version="1.0" encoding="utf-8"?>
<sst xmlns="http://schemas.openxmlformats.org/spreadsheetml/2006/main" count="257" uniqueCount="191">
  <si>
    <t>a</t>
  </si>
  <si>
    <t>b</t>
  </si>
  <si>
    <t>Track Front</t>
  </si>
  <si>
    <t>Track Rear</t>
  </si>
  <si>
    <t>h</t>
  </si>
  <si>
    <t>Wheelbase</t>
  </si>
  <si>
    <t>Wb</t>
  </si>
  <si>
    <t>Mu</t>
  </si>
  <si>
    <t>TrF</t>
  </si>
  <si>
    <t>TrR</t>
  </si>
  <si>
    <t>RCHf</t>
  </si>
  <si>
    <t>RCHr</t>
  </si>
  <si>
    <t>Hcog</t>
  </si>
  <si>
    <t>h'</t>
  </si>
  <si>
    <t>LR</t>
  </si>
  <si>
    <t>Kt</t>
  </si>
  <si>
    <t>Kg</t>
  </si>
  <si>
    <t>m</t>
  </si>
  <si>
    <t>Mtot</t>
  </si>
  <si>
    <t>SPRING</t>
  </si>
  <si>
    <t>Axle</t>
  </si>
  <si>
    <t>RCH</t>
  </si>
  <si>
    <r>
      <t>Z</t>
    </r>
    <r>
      <rPr>
        <vertAlign val="subscript"/>
        <sz val="12"/>
        <color theme="1"/>
        <rFont val="Calibri (Body)"/>
      </rPr>
      <t>wheel</t>
    </r>
    <r>
      <rPr>
        <sz val="11"/>
        <color theme="1"/>
        <rFont val="Calibri"/>
        <family val="2"/>
        <scheme val="minor"/>
      </rPr>
      <t>/Z</t>
    </r>
    <r>
      <rPr>
        <vertAlign val="subscript"/>
        <sz val="12"/>
        <color theme="1"/>
        <rFont val="Calibri (Body)"/>
      </rPr>
      <t>spring</t>
    </r>
  </si>
  <si>
    <t>FRONT</t>
  </si>
  <si>
    <t>REAR</t>
  </si>
  <si>
    <t>ARB</t>
  </si>
  <si>
    <t>configuration</t>
  </si>
  <si>
    <r>
      <t>𝜽</t>
    </r>
    <r>
      <rPr>
        <vertAlign val="subscript"/>
        <sz val="12"/>
        <color theme="1"/>
        <rFont val="Calibri (Body)"/>
      </rPr>
      <t>arb</t>
    </r>
    <r>
      <rPr>
        <sz val="11"/>
        <color theme="1"/>
        <rFont val="Calibri"/>
        <family val="2"/>
        <scheme val="minor"/>
      </rPr>
      <t>/𝜽</t>
    </r>
    <r>
      <rPr>
        <vertAlign val="subscript"/>
        <sz val="12"/>
        <color theme="1"/>
        <rFont val="Calibri (Body)"/>
      </rPr>
      <t>roll</t>
    </r>
  </si>
  <si>
    <t>config f</t>
  </si>
  <si>
    <t>config r</t>
  </si>
  <si>
    <t>KspringF</t>
  </si>
  <si>
    <t>KspringR</t>
  </si>
  <si>
    <t>KarbF</t>
  </si>
  <si>
    <t>KarbR</t>
  </si>
  <si>
    <t>KeqTire</t>
  </si>
  <si>
    <t>KeqSpringF</t>
  </si>
  <si>
    <t>KrollR</t>
  </si>
  <si>
    <t>KeqSpringR</t>
  </si>
  <si>
    <t>FLLTD</t>
  </si>
  <si>
    <t>MB</t>
  </si>
  <si>
    <t>Mf</t>
  </si>
  <si>
    <t>Mr</t>
  </si>
  <si>
    <t>Ms</t>
  </si>
  <si>
    <t>kg</t>
  </si>
  <si>
    <t>N/m</t>
  </si>
  <si>
    <t>mm</t>
  </si>
  <si>
    <t>Nm/rad</t>
  </si>
  <si>
    <t>RGtires</t>
  </si>
  <si>
    <t>RLLTD</t>
  </si>
  <si>
    <t>TLLTD</t>
  </si>
  <si>
    <t>MsWheelFL</t>
  </si>
  <si>
    <t>MsWheelFR</t>
  </si>
  <si>
    <t>MsWheelRL</t>
  </si>
  <si>
    <t>MsWheelRR</t>
  </si>
  <si>
    <t>wFL</t>
  </si>
  <si>
    <t>wFR</t>
  </si>
  <si>
    <t>wRL</t>
  </si>
  <si>
    <t>wRR</t>
  </si>
  <si>
    <t>Total Mass</t>
  </si>
  <si>
    <t>Front Roll Centre Heigth</t>
  </si>
  <si>
    <t>Rear Roll Centre Heigth</t>
  </si>
  <si>
    <t>INPUT</t>
  </si>
  <si>
    <t>Front ARB configuration</t>
  </si>
  <si>
    <t>Rear ARB configuration</t>
  </si>
  <si>
    <t>Front Spring Stiffness</t>
  </si>
  <si>
    <t>Rear Spring Stiffness</t>
  </si>
  <si>
    <t>F%</t>
  </si>
  <si>
    <t>L%</t>
  </si>
  <si>
    <t>Ksr</t>
  </si>
  <si>
    <t>Ksf</t>
  </si>
  <si>
    <t>Hz</t>
  </si>
  <si>
    <t>OUTPUT</t>
  </si>
  <si>
    <t>RGrel</t>
  </si>
  <si>
    <t>Mechanical Balance</t>
  </si>
  <si>
    <t>Relative Roll Gradient</t>
  </si>
  <si>
    <t>Effective Roll Gradient</t>
  </si>
  <si>
    <t>Tire Stiffness</t>
  </si>
  <si>
    <t>Unsprung Mass (one wheel)</t>
  </si>
  <si>
    <t>Hcogs</t>
  </si>
  <si>
    <t>Karbf</t>
  </si>
  <si>
    <t>Karbr</t>
  </si>
  <si>
    <t>Front semi-wheelbase</t>
  </si>
  <si>
    <t>Rear semi-wheelbase</t>
  </si>
  <si>
    <t>Karb*IR^2 [Nm/rad]</t>
  </si>
  <si>
    <t>Karb [Nm/rad]</t>
  </si>
  <si>
    <t>Ks/MR^2 [N/m]</t>
  </si>
  <si>
    <t>RGeff</t>
  </si>
  <si>
    <t>CALCULATIONS</t>
  </si>
  <si>
    <t>Front lateral load transfer distribution</t>
  </si>
  <si>
    <t>Real lateral load trasfer distribution</t>
  </si>
  <si>
    <t>Total lateral load transfer distribution</t>
  </si>
  <si>
    <t>Sprung mass on FL</t>
  </si>
  <si>
    <t xml:space="preserve">Sprung mass on FR </t>
  </si>
  <si>
    <t>Sprung mass on RL</t>
  </si>
  <si>
    <t>Sprung mass on RR</t>
  </si>
  <si>
    <t>Distance between h and Hcogs</t>
  </si>
  <si>
    <t>CALCULATED DATA</t>
  </si>
  <si>
    <t>STIFFNESS POOL</t>
  </si>
  <si>
    <t>CHECK</t>
  </si>
  <si>
    <t>%</t>
  </si>
  <si>
    <t>Front Mass %</t>
  </si>
  <si>
    <t>Left Mass %</t>
  </si>
  <si>
    <t>°/g</t>
  </si>
  <si>
    <t>Anti-Dive %</t>
  </si>
  <si>
    <t>Anti-Squat %</t>
  </si>
  <si>
    <t>AD%</t>
  </si>
  <si>
    <t>AS%</t>
  </si>
  <si>
    <t>Front Braking Force %</t>
  </si>
  <si>
    <t>brF%</t>
  </si>
  <si>
    <t>trR%</t>
  </si>
  <si>
    <t>Rear Traction Force %</t>
  </si>
  <si>
    <t>HcogAF</t>
  </si>
  <si>
    <t>COG height for AF calculation</t>
  </si>
  <si>
    <t>Centre of Gravity Height</t>
  </si>
  <si>
    <t>Wheel Centre of Gravity Height (loaded radius)</t>
  </si>
  <si>
    <t>Sprung Masses centre of gravity height</t>
  </si>
  <si>
    <t>Roll Axis height at cog longitudinal position</t>
  </si>
  <si>
    <r>
      <t>tan(</t>
    </r>
    <r>
      <rPr>
        <sz val="11"/>
        <color theme="1"/>
        <rFont val="Calibri"/>
        <family val="2"/>
      </rPr>
      <t>φF</t>
    </r>
    <r>
      <rPr>
        <sz val="11"/>
        <color theme="1"/>
        <rFont val="Calibri"/>
        <family val="2"/>
        <scheme val="minor"/>
      </rPr>
      <t>)</t>
    </r>
  </si>
  <si>
    <t>tan(φR)</t>
  </si>
  <si>
    <t>Pitch centre distance from the front axle</t>
  </si>
  <si>
    <t>PCh</t>
  </si>
  <si>
    <t>Pitch Centre distance from the rear axle</t>
  </si>
  <si>
    <t>PCa</t>
  </si>
  <si>
    <t>PCb</t>
  </si>
  <si>
    <t>Pitch centre height</t>
  </si>
  <si>
    <t>Third Element Stiffness</t>
  </si>
  <si>
    <t>Front Spring Stiffness (at wheel)</t>
  </si>
  <si>
    <t>Rear Spring Stiffness (at wheel)</t>
  </si>
  <si>
    <t>Front ARB Stiffness (at wheel)</t>
  </si>
  <si>
    <t>Rear ARB Stiffness (at wheel)</t>
  </si>
  <si>
    <t>wFaxle</t>
  </si>
  <si>
    <t>Relative Pitch Gradient</t>
  </si>
  <si>
    <t>Effective Pitch Gradient</t>
  </si>
  <si>
    <t>PGtot</t>
  </si>
  <si>
    <t>PGrel</t>
  </si>
  <si>
    <t>Ke</t>
  </si>
  <si>
    <t>Keqe</t>
  </si>
  <si>
    <t>PGtires</t>
  </si>
  <si>
    <t>ROLL</t>
  </si>
  <si>
    <t>PITCH</t>
  </si>
  <si>
    <t>N*m/rad</t>
  </si>
  <si>
    <t>Tires' Roll Gradient</t>
  </si>
  <si>
    <t>Tires' Pitch Gradient</t>
  </si>
  <si>
    <t>Equivalent third element stiffness</t>
  </si>
  <si>
    <t>THIRD ELEMENT</t>
  </si>
  <si>
    <r>
      <t>Z</t>
    </r>
    <r>
      <rPr>
        <sz val="8"/>
        <color theme="1"/>
        <rFont val="Calibri"/>
        <family val="2"/>
        <scheme val="minor"/>
      </rPr>
      <t>wheel</t>
    </r>
    <r>
      <rPr>
        <sz val="11"/>
        <color theme="1"/>
        <rFont val="Calibri"/>
        <family val="2"/>
        <scheme val="minor"/>
      </rPr>
      <t>/Z</t>
    </r>
    <r>
      <rPr>
        <sz val="8"/>
        <color theme="1"/>
        <rFont val="Calibri"/>
        <family val="2"/>
        <scheme val="minor"/>
      </rPr>
      <t>spring</t>
    </r>
  </si>
  <si>
    <t>Ke/MR^2 [N/m]</t>
  </si>
  <si>
    <t>STIFFNESS SELECTOR</t>
  </si>
  <si>
    <t>Third Element Stiffness (at wheel)</t>
  </si>
  <si>
    <t>KeqspringF</t>
  </si>
  <si>
    <t>KeqspringR</t>
  </si>
  <si>
    <t>KFaxle</t>
  </si>
  <si>
    <t>KpitchF</t>
  </si>
  <si>
    <t>KpitchR</t>
  </si>
  <si>
    <t>KpitchTot</t>
  </si>
  <si>
    <t>Front axle stiffness (no tires)</t>
  </si>
  <si>
    <t>KrollF</t>
  </si>
  <si>
    <t>KrollTot</t>
  </si>
  <si>
    <t>Total Rolling Stiffness</t>
  </si>
  <si>
    <t>Rear Rolling Stiffness</t>
  </si>
  <si>
    <t>Front Rolling Stiffness</t>
  </si>
  <si>
    <t>Equivalent rear springs stiffness</t>
  </si>
  <si>
    <t>Equivalent front springs stiffness</t>
  </si>
  <si>
    <t>Equivalent axle tires stiffness</t>
  </si>
  <si>
    <t>Front Pitching Stiffnes</t>
  </si>
  <si>
    <t>Rear Pitching Stiffness</t>
  </si>
  <si>
    <t>Total Pitching Stiffness</t>
  </si>
  <si>
    <t>Mechanical Balance (sprung masses approximation)</t>
  </si>
  <si>
    <t>Equivalent front tires stiffness</t>
  </si>
  <si>
    <t>Equivalent rear tires stiffness</t>
  </si>
  <si>
    <t>KeqtiresF</t>
  </si>
  <si>
    <t>KeqtiresR</t>
  </si>
  <si>
    <t>Front Rolling Stiffness (no tires)</t>
  </si>
  <si>
    <t>Rear Rolling Stiffness (no tires)</t>
  </si>
  <si>
    <t>Total RollingStiffness (no tires)</t>
  </si>
  <si>
    <t>KrollFrel</t>
  </si>
  <si>
    <t>KrollRrel</t>
  </si>
  <si>
    <t>KrollTotrel</t>
  </si>
  <si>
    <t>Rear axle stiffness (no tires)</t>
  </si>
  <si>
    <t>Kraxle</t>
  </si>
  <si>
    <t>Total Pitching Stiffness (no tires)</t>
  </si>
  <si>
    <t>Ktotrel</t>
  </si>
  <si>
    <t>FL natural frequency</t>
  </si>
  <si>
    <t>FR natural frequency</t>
  </si>
  <si>
    <t>RL natural frequency</t>
  </si>
  <si>
    <t>RR natural frequency</t>
  </si>
  <si>
    <t>Front axle natural frequency</t>
  </si>
  <si>
    <t>Front mass</t>
  </si>
  <si>
    <t>Rear mass</t>
  </si>
  <si>
    <t>Sprung mass</t>
  </si>
  <si>
    <t>CAR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</si>
</sst>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164" fontId="0" fillId="0" borderId="7" xfId="0" applyNumberFormat="1" applyBorder="1"/>
    <xf numFmtId="164" fontId="0" fillId="0" borderId="2" xfId="0" applyNumberFormat="1" applyBorder="1"/>
    <xf numFmtId="0" fontId="0" fillId="0" borderId="7" xfId="0" applyFill="1" applyBorder="1"/>
    <xf numFmtId="165" fontId="0" fillId="0" borderId="0" xfId="0" applyNumberFormat="1"/>
    <xf numFmtId="165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26" xfId="0" applyNumberFormat="1" applyBorder="1" applyAlignment="1"/>
    <xf numFmtId="164" fontId="0" fillId="0" borderId="27" xfId="0" applyNumberFormat="1" applyBorder="1" applyAlignment="1"/>
    <xf numFmtId="164" fontId="0" fillId="0" borderId="26" xfId="0" applyNumberFormat="1" applyBorder="1"/>
    <xf numFmtId="164" fontId="0" fillId="0" borderId="27" xfId="0" applyNumberFormat="1" applyBorder="1"/>
    <xf numFmtId="0" fontId="0" fillId="0" borderId="30" xfId="0" applyBorder="1"/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3" xfId="0" applyNumberFormat="1" applyBorder="1"/>
    <xf numFmtId="166" fontId="0" fillId="0" borderId="5" xfId="0" applyNumberFormat="1" applyBorder="1"/>
    <xf numFmtId="166" fontId="0" fillId="0" borderId="28" xfId="0" applyNumberFormat="1" applyBorder="1"/>
    <xf numFmtId="166" fontId="0" fillId="0" borderId="29" xfId="0" applyNumberFormat="1" applyBorder="1"/>
    <xf numFmtId="166" fontId="0" fillId="0" borderId="8" xfId="0" applyNumberFormat="1" applyBorder="1"/>
    <xf numFmtId="0" fontId="0" fillId="0" borderId="31" xfId="0" applyBorder="1"/>
    <xf numFmtId="0" fontId="0" fillId="0" borderId="30" xfId="0" applyFill="1" applyBorder="1"/>
    <xf numFmtId="0" fontId="0" fillId="0" borderId="32" xfId="0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0" fontId="0" fillId="7" borderId="4" xfId="0" applyFill="1" applyBorder="1"/>
    <xf numFmtId="0" fontId="0" fillId="7" borderId="16" xfId="0" applyFill="1" applyBorder="1" applyAlignment="1">
      <alignment horizontal="center"/>
    </xf>
    <xf numFmtId="165" fontId="0" fillId="7" borderId="0" xfId="0" applyNumberFormat="1" applyFill="1" applyBorder="1"/>
    <xf numFmtId="0" fontId="0" fillId="7" borderId="5" xfId="0" applyFill="1" applyBorder="1"/>
    <xf numFmtId="2" fontId="0" fillId="0" borderId="0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165" fontId="0" fillId="0" borderId="2" xfId="0" applyNumberFormat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3" fillId="0" borderId="0" xfId="0" applyFont="1" applyBorder="1" applyAlignment="1"/>
    <xf numFmtId="0" fontId="0" fillId="0" borderId="6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1DFD-ECFE-46BD-B33F-85E66712C671}">
  <sheetPr>
    <pageSetUpPr fitToPage="1"/>
  </sheetPr>
  <dimension ref="B1:O36"/>
  <sheetViews>
    <sheetView tabSelected="1" zoomScale="85" zoomScaleNormal="85" workbookViewId="0">
      <selection activeCell="D24" sqref="D24"/>
    </sheetView>
  </sheetViews>
  <sheetFormatPr defaultRowHeight="15"/>
  <cols>
    <col min="2" max="2" width="28.5703125" customWidth="1"/>
    <col min="3" max="3" width="8.42578125" customWidth="1"/>
    <col min="7" max="7" width="25" customWidth="1"/>
    <col min="8" max="8" width="11.42578125" customWidth="1"/>
    <col min="9" max="9" width="14.42578125" bestFit="1" customWidth="1"/>
    <col min="12" max="12" width="21.5703125" customWidth="1"/>
    <col min="13" max="13" width="14" customWidth="1"/>
    <col min="14" max="14" width="12.140625" customWidth="1"/>
  </cols>
  <sheetData>
    <row r="1" spans="2:15" ht="15.75" thickBot="1"/>
    <row r="2" spans="2:15" ht="15.75" thickBot="1">
      <c r="B2" s="76" t="s">
        <v>61</v>
      </c>
      <c r="C2" s="77"/>
      <c r="D2" s="77"/>
      <c r="E2" s="78"/>
      <c r="G2" s="82" t="s">
        <v>71</v>
      </c>
      <c r="H2" s="83"/>
      <c r="I2" s="83"/>
      <c r="J2" s="84"/>
    </row>
    <row r="3" spans="2:15" ht="15.75" thickBot="1"/>
    <row r="4" spans="2:15">
      <c r="B4" s="9" t="s">
        <v>58</v>
      </c>
      <c r="C4" s="23" t="s">
        <v>18</v>
      </c>
      <c r="D4" s="10">
        <v>270</v>
      </c>
      <c r="E4" s="11" t="s">
        <v>16</v>
      </c>
      <c r="G4" s="9" t="s">
        <v>74</v>
      </c>
      <c r="H4" s="23" t="s">
        <v>72</v>
      </c>
      <c r="I4" s="63">
        <f xml:space="preserve"> (Data!I7*9.81*Data!I12/(Results!I24 - Data!I7*9.81*Data!I12))*(180/PI())</f>
        <v>0.35642323394671371</v>
      </c>
      <c r="J4" s="11" t="s">
        <v>102</v>
      </c>
    </row>
    <row r="5" spans="2:15">
      <c r="B5" s="1" t="s">
        <v>59</v>
      </c>
      <c r="C5" s="24" t="s">
        <v>10</v>
      </c>
      <c r="D5" s="5">
        <v>25</v>
      </c>
      <c r="E5" s="2" t="s">
        <v>45</v>
      </c>
      <c r="G5" s="1" t="s">
        <v>75</v>
      </c>
      <c r="H5" s="24" t="s">
        <v>86</v>
      </c>
      <c r="I5" s="17">
        <f>I4+I28</f>
        <v>0.35831691943756011</v>
      </c>
      <c r="J5" s="2" t="s">
        <v>102</v>
      </c>
    </row>
    <row r="6" spans="2:15">
      <c r="B6" s="1" t="s">
        <v>60</v>
      </c>
      <c r="C6" s="24" t="s">
        <v>11</v>
      </c>
      <c r="D6" s="5">
        <v>50</v>
      </c>
      <c r="E6" s="2" t="s">
        <v>45</v>
      </c>
      <c r="G6" s="1" t="s">
        <v>131</v>
      </c>
      <c r="H6" s="39" t="s">
        <v>134</v>
      </c>
      <c r="I6" s="17">
        <f>((Data!I7*(Data!I11-Data!I15))/N26)*9.81*180/PI()</f>
        <v>0.22672843648311183</v>
      </c>
      <c r="J6" s="65" t="s">
        <v>102</v>
      </c>
    </row>
    <row r="7" spans="2:15">
      <c r="B7" s="1" t="s">
        <v>64</v>
      </c>
      <c r="C7" s="24" t="s">
        <v>69</v>
      </c>
      <c r="D7" s="5">
        <f>42*1000</f>
        <v>42000</v>
      </c>
      <c r="E7" s="2" t="s">
        <v>44</v>
      </c>
      <c r="G7" s="1" t="s">
        <v>132</v>
      </c>
      <c r="H7" s="39" t="s">
        <v>133</v>
      </c>
      <c r="I7" s="17">
        <f xml:space="preserve"> I6+N30</f>
        <v>0.37589993831016699</v>
      </c>
      <c r="J7" s="2" t="s">
        <v>102</v>
      </c>
    </row>
    <row r="8" spans="2:15">
      <c r="B8" s="1" t="s">
        <v>65</v>
      </c>
      <c r="C8" s="24" t="s">
        <v>68</v>
      </c>
      <c r="D8" s="5">
        <f>42*1000</f>
        <v>42000</v>
      </c>
      <c r="E8" s="2" t="s">
        <v>44</v>
      </c>
      <c r="G8" s="56" t="s">
        <v>73</v>
      </c>
      <c r="H8" s="57" t="s">
        <v>39</v>
      </c>
      <c r="I8" s="58">
        <f>(I29*100/I31)</f>
        <v>46.119513165560711</v>
      </c>
      <c r="J8" s="59" t="s">
        <v>99</v>
      </c>
    </row>
    <row r="9" spans="2:15">
      <c r="B9" s="1" t="s">
        <v>125</v>
      </c>
      <c r="C9" s="24" t="s">
        <v>135</v>
      </c>
      <c r="D9" s="7">
        <v>42000</v>
      </c>
      <c r="E9" s="2" t="s">
        <v>44</v>
      </c>
      <c r="G9" s="1" t="s">
        <v>182</v>
      </c>
      <c r="H9" s="24" t="s">
        <v>54</v>
      </c>
      <c r="I9" s="60">
        <f>SQRT(D18/I33)/(2*PI())</f>
        <v>4.3307828051612987</v>
      </c>
      <c r="J9" s="2" t="s">
        <v>70</v>
      </c>
    </row>
    <row r="10" spans="2:15">
      <c r="B10" s="1" t="s">
        <v>62</v>
      </c>
      <c r="C10" s="24"/>
      <c r="D10" s="5">
        <v>2</v>
      </c>
      <c r="E10" s="2"/>
      <c r="G10" s="1" t="s">
        <v>183</v>
      </c>
      <c r="H10" s="24" t="s">
        <v>55</v>
      </c>
      <c r="I10" s="60">
        <f>SQRT(D18/I34)/(2*PI())</f>
        <v>4.3307828051612987</v>
      </c>
      <c r="J10" s="2" t="s">
        <v>70</v>
      </c>
    </row>
    <row r="11" spans="2:15">
      <c r="B11" s="1" t="s">
        <v>63</v>
      </c>
      <c r="C11" s="24"/>
      <c r="D11" s="5">
        <v>1</v>
      </c>
      <c r="E11" s="2"/>
      <c r="G11" s="1" t="s">
        <v>184</v>
      </c>
      <c r="H11" s="24" t="s">
        <v>56</v>
      </c>
      <c r="I11" s="60">
        <f>SQRT(D19/I35)/(2*PI())</f>
        <v>3.6136379300511927</v>
      </c>
      <c r="J11" s="2" t="s">
        <v>70</v>
      </c>
    </row>
    <row r="12" spans="2:15">
      <c r="B12" s="1" t="s">
        <v>100</v>
      </c>
      <c r="C12" s="24" t="s">
        <v>66</v>
      </c>
      <c r="D12" s="5">
        <v>0.4</v>
      </c>
      <c r="E12" s="2"/>
      <c r="G12" s="1" t="s">
        <v>185</v>
      </c>
      <c r="H12" s="24" t="s">
        <v>57</v>
      </c>
      <c r="I12" s="60">
        <f>SQRT(D19/I36)/(2*PI())</f>
        <v>3.6136379300511927</v>
      </c>
      <c r="J12" s="2" t="s">
        <v>70</v>
      </c>
    </row>
    <row r="13" spans="2:15" ht="15.75" thickBot="1">
      <c r="B13" s="12" t="s">
        <v>101</v>
      </c>
      <c r="C13" s="25" t="s">
        <v>67</v>
      </c>
      <c r="D13" s="3"/>
      <c r="E13" s="4"/>
      <c r="G13" s="12" t="s">
        <v>186</v>
      </c>
      <c r="H13" s="25" t="s">
        <v>130</v>
      </c>
      <c r="I13" s="62">
        <f>SQRT(N24/Data!I5)/(2*PI())</f>
        <v>2.918571020869571</v>
      </c>
      <c r="J13" s="4" t="s">
        <v>70</v>
      </c>
    </row>
    <row r="15" spans="2:15" ht="15.75" thickBot="1"/>
    <row r="16" spans="2:15" ht="15.75" thickBot="1">
      <c r="B16" s="79" t="s">
        <v>147</v>
      </c>
      <c r="C16" s="80"/>
      <c r="D16" s="80"/>
      <c r="E16" s="81"/>
      <c r="G16" s="85" t="s">
        <v>87</v>
      </c>
      <c r="H16" s="86"/>
      <c r="I16" s="86"/>
      <c r="J16" s="86"/>
      <c r="K16" s="86"/>
      <c r="L16" s="86"/>
      <c r="M16" s="86"/>
      <c r="N16" s="86"/>
      <c r="O16" s="87"/>
    </row>
    <row r="17" spans="2:15" ht="15.75" thickBot="1"/>
    <row r="18" spans="2:15" ht="15.75" thickBot="1">
      <c r="B18" s="9" t="s">
        <v>126</v>
      </c>
      <c r="C18" s="10" t="s">
        <v>30</v>
      </c>
      <c r="D18" s="54">
        <f>IF(D5=25,Data!E25,IF(D5=50,Data!E26,Data!E27))</f>
        <v>39984.006016793232</v>
      </c>
      <c r="E18" s="11" t="s">
        <v>44</v>
      </c>
      <c r="G18" s="70" t="s">
        <v>138</v>
      </c>
      <c r="H18" s="71"/>
      <c r="I18" s="71"/>
      <c r="J18" s="72"/>
      <c r="L18" s="73" t="s">
        <v>139</v>
      </c>
      <c r="M18" s="74"/>
      <c r="N18" s="74"/>
      <c r="O18" s="75"/>
    </row>
    <row r="19" spans="2:15">
      <c r="B19" s="1" t="s">
        <v>127</v>
      </c>
      <c r="C19" s="5" t="s">
        <v>31</v>
      </c>
      <c r="D19" s="55">
        <f>IF(D6=50,Data!E28,IF(D6=75,Data!E29,Data!E30))</f>
        <v>41757.4555774494</v>
      </c>
      <c r="E19" s="2" t="s">
        <v>44</v>
      </c>
      <c r="G19" s="9" t="s">
        <v>163</v>
      </c>
      <c r="H19" s="10" t="s">
        <v>34</v>
      </c>
      <c r="I19" s="54">
        <f>0.5*Data!D12*(Data!D6^2)</f>
        <v>87786.562500000015</v>
      </c>
      <c r="J19" s="11" t="s">
        <v>46</v>
      </c>
      <c r="L19" s="9" t="s">
        <v>168</v>
      </c>
      <c r="M19" s="10" t="s">
        <v>170</v>
      </c>
      <c r="N19" s="54">
        <f>2*Data!D12*(Data!I16^2)</f>
        <v>106273.15689981097</v>
      </c>
      <c r="O19" s="11" t="s">
        <v>140</v>
      </c>
    </row>
    <row r="20" spans="2:15">
      <c r="B20" s="1" t="s">
        <v>128</v>
      </c>
      <c r="C20" s="5" t="s">
        <v>32</v>
      </c>
      <c r="D20" s="55">
        <f>IF(D5=25,IF(D10=1,Data!L25,IF(D10=2,Data!L26,Data!L27)),IF(D5=50,IF(D10=1,Data!L28,IF(D10=2,Data!L29,Data!L30)),IF(D10=1,Data!L31,IF(D10=2,Data!L32,Data!L33))))</f>
        <v>12140.159480343164</v>
      </c>
      <c r="E20" s="2" t="s">
        <v>46</v>
      </c>
      <c r="G20" s="1" t="s">
        <v>162</v>
      </c>
      <c r="H20" s="5" t="s">
        <v>35</v>
      </c>
      <c r="I20" s="55">
        <f>0.5*D18*(Data!D6^2)</f>
        <v>30000.499514475177</v>
      </c>
      <c r="J20" s="2" t="s">
        <v>46</v>
      </c>
      <c r="L20" s="1" t="s">
        <v>169</v>
      </c>
      <c r="M20" s="5" t="s">
        <v>171</v>
      </c>
      <c r="N20" s="55">
        <f>2*Data!D12*(Data!I17^2)</f>
        <v>179601.63516068054</v>
      </c>
      <c r="O20" s="2" t="s">
        <v>140</v>
      </c>
    </row>
    <row r="21" spans="2:15">
      <c r="B21" s="1" t="s">
        <v>129</v>
      </c>
      <c r="C21" s="5" t="s">
        <v>33</v>
      </c>
      <c r="D21" s="55">
        <f>IF(D6=50,IF(D11=1,Data!L34,IF(D11=2,Data!L35,IF(D11=3,Data!L36,Data!L37))),IF(D6=75,IF(D11=1,Data!L38,IF(D11=2,Data!L39,IF(D11=3,Data!L40,Data!L41))),IF(D11=1,Data!L42,IF(D11=2,Data!L43,IF(D11=3,Data!L44,Data!L45)))))</f>
        <v>14785.348427626644</v>
      </c>
      <c r="E21" s="2" t="s">
        <v>46</v>
      </c>
      <c r="G21" s="1" t="s">
        <v>161</v>
      </c>
      <c r="H21" s="5" t="s">
        <v>37</v>
      </c>
      <c r="I21" s="55">
        <f>0.5*D19*(Data!D7^2)</f>
        <v>31331.140887955011</v>
      </c>
      <c r="J21" s="2" t="s">
        <v>46</v>
      </c>
      <c r="L21" s="1" t="s">
        <v>162</v>
      </c>
      <c r="M21" s="5" t="s">
        <v>149</v>
      </c>
      <c r="N21" s="55">
        <f>2*D18*(Data!I16^2)</f>
        <v>36318.175597484209</v>
      </c>
      <c r="O21" s="2" t="s">
        <v>140</v>
      </c>
    </row>
    <row r="22" spans="2:15" ht="15.75" thickBot="1">
      <c r="B22" s="66" t="s">
        <v>148</v>
      </c>
      <c r="C22" s="15" t="s">
        <v>135</v>
      </c>
      <c r="D22" s="3">
        <v>0</v>
      </c>
      <c r="E22" s="67" t="s">
        <v>46</v>
      </c>
      <c r="G22" s="64" t="s">
        <v>172</v>
      </c>
      <c r="H22" s="7" t="s">
        <v>175</v>
      </c>
      <c r="I22" s="55">
        <f xml:space="preserve"> I20 + D20</f>
        <v>42140.658994818339</v>
      </c>
      <c r="J22" s="2" t="s">
        <v>46</v>
      </c>
      <c r="L22" s="1" t="s">
        <v>161</v>
      </c>
      <c r="M22" s="5" t="s">
        <v>150</v>
      </c>
      <c r="N22" s="55">
        <f xml:space="preserve"> 2*D19*(Data!I17^2)</f>
        <v>64100.062409054633</v>
      </c>
      <c r="O22" s="2" t="s">
        <v>140</v>
      </c>
    </row>
    <row r="23" spans="2:15">
      <c r="B23" s="7"/>
      <c r="C23" s="7"/>
      <c r="D23" s="5"/>
      <c r="E23" s="7"/>
      <c r="G23" s="64" t="s">
        <v>173</v>
      </c>
      <c r="H23" s="7" t="s">
        <v>176</v>
      </c>
      <c r="I23" s="55">
        <f xml:space="preserve"> I21+D21</f>
        <v>46116.489315581653</v>
      </c>
      <c r="J23" s="2" t="s">
        <v>46</v>
      </c>
      <c r="L23" s="1" t="s">
        <v>143</v>
      </c>
      <c r="M23" s="5" t="s">
        <v>136</v>
      </c>
      <c r="N23" s="55">
        <f>D22*(Data!I16^2)</f>
        <v>0</v>
      </c>
      <c r="O23" s="2" t="s">
        <v>140</v>
      </c>
    </row>
    <row r="24" spans="2:15">
      <c r="B24" s="7"/>
      <c r="C24" s="7"/>
      <c r="D24" s="5"/>
      <c r="E24" s="7"/>
      <c r="G24" s="64" t="s">
        <v>174</v>
      </c>
      <c r="H24" s="7" t="s">
        <v>177</v>
      </c>
      <c r="I24" s="55">
        <f xml:space="preserve"> I22+I23</f>
        <v>88257.148310399993</v>
      </c>
      <c r="J24" s="2" t="s">
        <v>46</v>
      </c>
      <c r="L24" s="1" t="s">
        <v>155</v>
      </c>
      <c r="M24" s="7" t="s">
        <v>151</v>
      </c>
      <c r="N24" s="55">
        <f>N21+N23</f>
        <v>36318.175597484209</v>
      </c>
      <c r="O24" s="65" t="s">
        <v>140</v>
      </c>
    </row>
    <row r="25" spans="2:15">
      <c r="G25" s="1" t="s">
        <v>160</v>
      </c>
      <c r="H25" s="5" t="s">
        <v>156</v>
      </c>
      <c r="I25" s="55">
        <f>1/((1/I19)+1/(D20+I20))</f>
        <v>28472.736906694674</v>
      </c>
      <c r="J25" s="2" t="s">
        <v>46</v>
      </c>
      <c r="L25" s="64" t="s">
        <v>178</v>
      </c>
      <c r="M25" s="7" t="s">
        <v>179</v>
      </c>
      <c r="N25" s="55">
        <f xml:space="preserve"> N22</f>
        <v>64100.062409054633</v>
      </c>
      <c r="O25" s="65" t="s">
        <v>140</v>
      </c>
    </row>
    <row r="26" spans="2:15">
      <c r="G26" s="1" t="s">
        <v>159</v>
      </c>
      <c r="H26" s="5" t="s">
        <v>36</v>
      </c>
      <c r="I26" s="55">
        <f>1/((1/I19)+1/(D21+I21))</f>
        <v>30233.874558427335</v>
      </c>
      <c r="J26" s="2" t="s">
        <v>46</v>
      </c>
      <c r="L26" s="64" t="s">
        <v>180</v>
      </c>
      <c r="M26" s="7" t="s">
        <v>181</v>
      </c>
      <c r="N26" s="55">
        <f xml:space="preserve"> N24+N25</f>
        <v>100418.23800653884</v>
      </c>
      <c r="O26" s="65" t="s">
        <v>140</v>
      </c>
    </row>
    <row r="27" spans="2:15">
      <c r="G27" s="1" t="s">
        <v>158</v>
      </c>
      <c r="H27" s="5" t="s">
        <v>157</v>
      </c>
      <c r="I27" s="55">
        <f>I25+I26</f>
        <v>58706.611465122012</v>
      </c>
      <c r="J27" s="2" t="s">
        <v>46</v>
      </c>
      <c r="L27" s="1" t="s">
        <v>164</v>
      </c>
      <c r="M27" s="7" t="s">
        <v>152</v>
      </c>
      <c r="N27" s="55">
        <f xml:space="preserve"> 1/((1/N19)+(1/(N21+N23)))</f>
        <v>27067.8947029234</v>
      </c>
      <c r="O27" s="65" t="s">
        <v>140</v>
      </c>
    </row>
    <row r="28" spans="2:15">
      <c r="G28" s="1" t="s">
        <v>141</v>
      </c>
      <c r="H28" s="5" t="s">
        <v>47</v>
      </c>
      <c r="I28" s="6">
        <f>(D4*Data!D9/(2*9.81*Data!D12))*(180/PI())</f>
        <v>1.893685490846405E-3</v>
      </c>
      <c r="J28" s="2" t="s">
        <v>102</v>
      </c>
      <c r="L28" s="1" t="s">
        <v>165</v>
      </c>
      <c r="M28" s="7" t="s">
        <v>153</v>
      </c>
      <c r="N28" s="55">
        <f>1/((1/N20)+(1/N22))</f>
        <v>47240.032126873433</v>
      </c>
      <c r="O28" s="65" t="s">
        <v>140</v>
      </c>
    </row>
    <row r="29" spans="2:15">
      <c r="G29" s="1" t="s">
        <v>88</v>
      </c>
      <c r="H29" s="5" t="s">
        <v>38</v>
      </c>
      <c r="I29" s="55">
        <f>(2*Data!D5*Data!D10/Data!D6)+(Data!I7*Data!I13*Results!D5*0.001/(Data!D6*Data!D8))+(Data!I7*Data!I12*(Results!I4*(PI()/180)+1)*I25/(Results!I27*Data!D6))</f>
        <v>29.100847556746384</v>
      </c>
      <c r="J29" s="2"/>
      <c r="L29" s="1" t="s">
        <v>166</v>
      </c>
      <c r="M29" s="5" t="s">
        <v>154</v>
      </c>
      <c r="N29" s="55">
        <f>N27+N28</f>
        <v>74307.926829796837</v>
      </c>
      <c r="O29" s="2" t="s">
        <v>140</v>
      </c>
    </row>
    <row r="30" spans="2:15" ht="15.75" thickBot="1">
      <c r="G30" s="1" t="s">
        <v>89</v>
      </c>
      <c r="H30" s="5" t="s">
        <v>48</v>
      </c>
      <c r="I30" s="55">
        <f>(2*Data!D5*Data!D10/Data!D6)+(Data!I7*Data!I14*Results!D6*0.001/(Data!D6*Data!D8))+(Data!I7*Data!I12*(Results!I4*(PI()/180)+1)*I26/(Results!I27*Data!D6))</f>
        <v>33.99792682163789</v>
      </c>
      <c r="J30" s="2"/>
      <c r="L30" s="12" t="s">
        <v>142</v>
      </c>
      <c r="M30" s="3" t="s">
        <v>137</v>
      </c>
      <c r="N30" s="61">
        <f>(D4*Data!D9/(Results!N19+N20))*180*9.81/PI()</f>
        <v>0.14917150182705516</v>
      </c>
      <c r="O30" s="4" t="s">
        <v>102</v>
      </c>
    </row>
    <row r="31" spans="2:15">
      <c r="G31" s="1" t="s">
        <v>90</v>
      </c>
      <c r="H31" s="5" t="s">
        <v>49</v>
      </c>
      <c r="I31" s="55">
        <f>I29+I30</f>
        <v>63.098774378384277</v>
      </c>
      <c r="J31" s="2"/>
    </row>
    <row r="32" spans="2:15">
      <c r="G32" s="1" t="s">
        <v>167</v>
      </c>
      <c r="H32" s="5" t="s">
        <v>39</v>
      </c>
      <c r="I32" s="17">
        <f>I29*Data!D6/(D4*Data!D9)</f>
        <v>0.46986342766593281</v>
      </c>
      <c r="J32" s="2"/>
    </row>
    <row r="33" spans="7:10">
      <c r="G33" s="1" t="s">
        <v>91</v>
      </c>
      <c r="H33" s="5" t="s">
        <v>50</v>
      </c>
      <c r="I33" s="5">
        <f>IF(D13="",Data!I5/2,Data!I5*Results!D13)</f>
        <v>54</v>
      </c>
      <c r="J33" s="2"/>
    </row>
    <row r="34" spans="7:10">
      <c r="G34" s="1" t="s">
        <v>92</v>
      </c>
      <c r="H34" s="5" t="s">
        <v>51</v>
      </c>
      <c r="I34" s="5">
        <f>IF(D13="",Data!I5/2,Data!I5*(1-Results!D13))</f>
        <v>54</v>
      </c>
      <c r="J34" s="2"/>
    </row>
    <row r="35" spans="7:10">
      <c r="G35" s="1" t="s">
        <v>93</v>
      </c>
      <c r="H35" s="5" t="s">
        <v>52</v>
      </c>
      <c r="I35" s="5">
        <f>IF(D13="",Data!I6/2,Data!I6*Results!D13)</f>
        <v>81</v>
      </c>
      <c r="J35" s="2"/>
    </row>
    <row r="36" spans="7:10" ht="15.75" thickBot="1">
      <c r="G36" s="12" t="s">
        <v>94</v>
      </c>
      <c r="H36" s="3" t="s">
        <v>53</v>
      </c>
      <c r="I36" s="3">
        <f>IF(D13="",Data!I6/2,Data!I6*(1-Results!D13))</f>
        <v>81</v>
      </c>
      <c r="J36" s="4"/>
    </row>
  </sheetData>
  <mergeCells count="6">
    <mergeCell ref="G18:J18"/>
    <mergeCell ref="L18:O18"/>
    <mergeCell ref="B2:E2"/>
    <mergeCell ref="B16:E16"/>
    <mergeCell ref="G2:J2"/>
    <mergeCell ref="G16:O16"/>
  </mergeCells>
  <pageMargins left="0.7" right="0.7" top="0.75" bottom="0.75" header="0.3" footer="0.3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146F-999C-46AD-A8CE-72AD68D797F1}">
  <sheetPr>
    <pageSetUpPr fitToPage="1"/>
  </sheetPr>
  <dimension ref="B2:M45"/>
  <sheetViews>
    <sheetView zoomScale="70" zoomScaleNormal="70" workbookViewId="0">
      <selection activeCell="M19" sqref="M19"/>
    </sheetView>
  </sheetViews>
  <sheetFormatPr defaultRowHeight="15"/>
  <cols>
    <col min="2" max="2" width="42.5703125" customWidth="1"/>
    <col min="3" max="3" width="11.85546875" customWidth="1"/>
    <col min="4" max="5" width="14.7109375" customWidth="1"/>
    <col min="7" max="7" width="41" customWidth="1"/>
    <col min="8" max="8" width="9.7109375" customWidth="1"/>
    <col min="9" max="9" width="9.7109375" bestFit="1" customWidth="1"/>
    <col min="10" max="10" width="9.7109375" customWidth="1"/>
    <col min="11" max="11" width="16.42578125" customWidth="1"/>
    <col min="12" max="12" width="19.42578125" customWidth="1"/>
    <col min="13" max="13" width="13.85546875" customWidth="1"/>
  </cols>
  <sheetData>
    <row r="2" spans="2:13" ht="15.75" thickBot="1"/>
    <row r="3" spans="2:13" ht="15.75" thickBot="1">
      <c r="B3" s="100" t="s">
        <v>190</v>
      </c>
      <c r="C3" s="101"/>
      <c r="D3" s="101"/>
      <c r="E3" s="102"/>
      <c r="G3" s="76" t="s">
        <v>96</v>
      </c>
      <c r="H3" s="77"/>
      <c r="I3" s="77"/>
      <c r="J3" s="78"/>
      <c r="L3" s="82" t="s">
        <v>98</v>
      </c>
      <c r="M3" s="84"/>
    </row>
    <row r="4" spans="2:13" ht="15.75" thickBot="1"/>
    <row r="5" spans="2:13">
      <c r="B5" s="9" t="s">
        <v>77</v>
      </c>
      <c r="C5" s="23" t="s">
        <v>7</v>
      </c>
      <c r="D5" s="10">
        <v>13.5</v>
      </c>
      <c r="E5" s="11" t="s">
        <v>16</v>
      </c>
      <c r="G5" s="9" t="s">
        <v>187</v>
      </c>
      <c r="H5" s="23" t="s">
        <v>40</v>
      </c>
      <c r="I5" s="10">
        <f>Results!D12*Results!D4</f>
        <v>108</v>
      </c>
      <c r="J5" s="11" t="s">
        <v>43</v>
      </c>
      <c r="L5" s="26" t="s">
        <v>10</v>
      </c>
      <c r="M5" s="11">
        <f>Results!D5</f>
        <v>25</v>
      </c>
    </row>
    <row r="6" spans="2:13">
      <c r="B6" s="1" t="s">
        <v>2</v>
      </c>
      <c r="C6" s="24" t="s">
        <v>8</v>
      </c>
      <c r="D6" s="5">
        <v>1.2250000000000001</v>
      </c>
      <c r="E6" s="2" t="s">
        <v>17</v>
      </c>
      <c r="G6" s="1" t="s">
        <v>188</v>
      </c>
      <c r="H6" s="24" t="s">
        <v>41</v>
      </c>
      <c r="I6" s="5">
        <f xml:space="preserve"> Results!D4-Data!I5</f>
        <v>162</v>
      </c>
      <c r="J6" s="2" t="s">
        <v>43</v>
      </c>
      <c r="L6" s="27" t="s">
        <v>28</v>
      </c>
      <c r="M6" s="2">
        <f>Results!D10</f>
        <v>2</v>
      </c>
    </row>
    <row r="7" spans="2:13">
      <c r="B7" s="1" t="s">
        <v>3</v>
      </c>
      <c r="C7" s="24" t="s">
        <v>9</v>
      </c>
      <c r="D7" s="5">
        <v>1.2250000000000001</v>
      </c>
      <c r="E7" s="2" t="s">
        <v>17</v>
      </c>
      <c r="G7" s="1" t="s">
        <v>189</v>
      </c>
      <c r="H7" s="24" t="s">
        <v>42</v>
      </c>
      <c r="I7" s="5">
        <f>Results!D4-4*Data!D5</f>
        <v>216</v>
      </c>
      <c r="J7" s="2" t="s">
        <v>16</v>
      </c>
      <c r="L7" s="27" t="s">
        <v>79</v>
      </c>
      <c r="M7" s="44">
        <f>Results!D20</f>
        <v>12140.159480343164</v>
      </c>
    </row>
    <row r="8" spans="2:13">
      <c r="B8" s="1" t="s">
        <v>5</v>
      </c>
      <c r="C8" s="24" t="s">
        <v>6</v>
      </c>
      <c r="D8" s="5">
        <v>1.55</v>
      </c>
      <c r="E8" s="2" t="s">
        <v>17</v>
      </c>
      <c r="G8" s="1"/>
      <c r="H8" s="24" t="s">
        <v>117</v>
      </c>
      <c r="I8" s="17">
        <f>(D13*D11)/(D8*D15)</f>
        <v>0.1557603686635945</v>
      </c>
      <c r="J8" s="2"/>
      <c r="L8" s="27" t="s">
        <v>69</v>
      </c>
      <c r="M8" s="44">
        <f>Results!D18</f>
        <v>39984.006016793232</v>
      </c>
    </row>
    <row r="9" spans="2:13">
      <c r="B9" s="1" t="s">
        <v>113</v>
      </c>
      <c r="C9" s="24" t="s">
        <v>12</v>
      </c>
      <c r="D9" s="5">
        <v>0.28100000000000003</v>
      </c>
      <c r="E9" s="2" t="s">
        <v>17</v>
      </c>
      <c r="G9" s="1"/>
      <c r="H9" s="24" t="s">
        <v>118</v>
      </c>
      <c r="I9" s="17">
        <f>(D14*D11)/(D8*D16)</f>
        <v>0.11981566820276499</v>
      </c>
      <c r="J9" s="2"/>
      <c r="L9" s="27" t="s">
        <v>11</v>
      </c>
      <c r="M9" s="2">
        <f>Results!D6</f>
        <v>50</v>
      </c>
    </row>
    <row r="10" spans="2:13">
      <c r="B10" s="1" t="s">
        <v>114</v>
      </c>
      <c r="C10" s="24" t="s">
        <v>14</v>
      </c>
      <c r="D10" s="5">
        <v>0.23499999999999999</v>
      </c>
      <c r="E10" s="2" t="s">
        <v>17</v>
      </c>
      <c r="G10" s="1" t="s">
        <v>116</v>
      </c>
      <c r="H10" s="24" t="s">
        <v>4</v>
      </c>
      <c r="I10" s="17">
        <f xml:space="preserve"> ((Results!D6-Results!D5)*0.001*I13/D8) + (Results!D5*0.001)</f>
        <v>3.5000000000000003E-2</v>
      </c>
      <c r="J10" s="2" t="s">
        <v>17</v>
      </c>
      <c r="L10" s="27" t="s">
        <v>29</v>
      </c>
      <c r="M10" s="2">
        <f>Results!D11</f>
        <v>1</v>
      </c>
    </row>
    <row r="11" spans="2:13">
      <c r="B11" s="1" t="s">
        <v>112</v>
      </c>
      <c r="C11" s="24" t="s">
        <v>111</v>
      </c>
      <c r="D11" s="5">
        <v>0.26</v>
      </c>
      <c r="E11" s="2" t="s">
        <v>17</v>
      </c>
      <c r="G11" s="1" t="s">
        <v>115</v>
      </c>
      <c r="H11" s="24" t="s">
        <v>78</v>
      </c>
      <c r="I11" s="17">
        <f xml:space="preserve"> (D9*Results!D4 - 4*Data!D10*Data!D5)/I7</f>
        <v>0.29250000000000004</v>
      </c>
      <c r="J11" s="2" t="s">
        <v>17</v>
      </c>
      <c r="L11" s="27" t="s">
        <v>80</v>
      </c>
      <c r="M11" s="44">
        <f>Results!D21</f>
        <v>14785.348427626644</v>
      </c>
    </row>
    <row r="12" spans="2:13">
      <c r="B12" s="1" t="s">
        <v>76</v>
      </c>
      <c r="C12" s="24" t="s">
        <v>15</v>
      </c>
      <c r="D12" s="5">
        <f>117*1000</f>
        <v>117000</v>
      </c>
      <c r="E12" s="2" t="s">
        <v>44</v>
      </c>
      <c r="G12" s="1" t="s">
        <v>95</v>
      </c>
      <c r="H12" s="24" t="s">
        <v>13</v>
      </c>
      <c r="I12" s="17">
        <f>I11-I10</f>
        <v>0.25750000000000006</v>
      </c>
      <c r="J12" s="2" t="s">
        <v>17</v>
      </c>
      <c r="L12" s="27" t="s">
        <v>68</v>
      </c>
      <c r="M12" s="44">
        <f>Results!D19</f>
        <v>41757.4555774494</v>
      </c>
    </row>
    <row r="13" spans="2:13" ht="15.75" thickBot="1">
      <c r="B13" s="1" t="s">
        <v>103</v>
      </c>
      <c r="C13" s="24" t="s">
        <v>105</v>
      </c>
      <c r="D13" s="5">
        <v>0.65</v>
      </c>
      <c r="E13" s="2"/>
      <c r="G13" s="1" t="s">
        <v>81</v>
      </c>
      <c r="H13" s="24" t="s">
        <v>0</v>
      </c>
      <c r="I13" s="17">
        <f xml:space="preserve"> Results!D12*Data!D8</f>
        <v>0.62000000000000011</v>
      </c>
      <c r="J13" s="2" t="s">
        <v>17</v>
      </c>
      <c r="L13" s="69" t="s">
        <v>135</v>
      </c>
      <c r="M13" s="47">
        <f>Results!D22</f>
        <v>0</v>
      </c>
    </row>
    <row r="14" spans="2:13">
      <c r="B14" s="1" t="s">
        <v>104</v>
      </c>
      <c r="C14" s="24" t="s">
        <v>106</v>
      </c>
      <c r="D14" s="5">
        <v>0.5</v>
      </c>
      <c r="E14" s="2"/>
      <c r="G14" s="1" t="s">
        <v>82</v>
      </c>
      <c r="H14" s="24" t="s">
        <v>1</v>
      </c>
      <c r="I14" s="17">
        <f>D8-I13</f>
        <v>0.92999999999999994</v>
      </c>
      <c r="J14" s="2" t="s">
        <v>17</v>
      </c>
    </row>
    <row r="15" spans="2:13">
      <c r="B15" s="1" t="s">
        <v>107</v>
      </c>
      <c r="C15" s="24" t="s">
        <v>108</v>
      </c>
      <c r="D15" s="5">
        <v>0.7</v>
      </c>
      <c r="E15" s="2"/>
      <c r="G15" s="64" t="s">
        <v>124</v>
      </c>
      <c r="H15" s="39" t="s">
        <v>120</v>
      </c>
      <c r="I15" s="17">
        <f xml:space="preserve"> I16*I8</f>
        <v>0.1049689440993789</v>
      </c>
      <c r="J15" s="65" t="s">
        <v>17</v>
      </c>
    </row>
    <row r="16" spans="2:13" ht="15.75" thickBot="1">
      <c r="B16" s="12" t="s">
        <v>110</v>
      </c>
      <c r="C16" s="25" t="s">
        <v>109</v>
      </c>
      <c r="D16" s="3">
        <v>0.7</v>
      </c>
      <c r="E16" s="4"/>
      <c r="G16" s="64" t="s">
        <v>119</v>
      </c>
      <c r="H16" s="24" t="s">
        <v>122</v>
      </c>
      <c r="I16" s="17">
        <f>(I9*D8)/(I8+I9)</f>
        <v>0.67391304347826086</v>
      </c>
      <c r="J16" s="65" t="s">
        <v>17</v>
      </c>
    </row>
    <row r="17" spans="2:12" ht="15.75" thickBot="1">
      <c r="G17" s="66" t="s">
        <v>121</v>
      </c>
      <c r="H17" s="41" t="s">
        <v>123</v>
      </c>
      <c r="I17" s="61">
        <f>D8-I16</f>
        <v>0.87608695652173918</v>
      </c>
      <c r="J17" s="67" t="s">
        <v>17</v>
      </c>
    </row>
    <row r="18" spans="2:12">
      <c r="G18" s="7"/>
      <c r="H18" s="37"/>
      <c r="I18" s="16"/>
      <c r="J18" s="7"/>
    </row>
    <row r="20" spans="2:12" ht="15.75" thickBot="1"/>
    <row r="21" spans="2:12" ht="15.75" thickBot="1">
      <c r="B21" s="85" t="s">
        <v>97</v>
      </c>
      <c r="C21" s="86"/>
      <c r="D21" s="86"/>
      <c r="E21" s="86"/>
      <c r="F21" s="86"/>
      <c r="G21" s="86"/>
      <c r="H21" s="86"/>
      <c r="I21" s="86"/>
      <c r="J21" s="86"/>
      <c r="K21" s="86"/>
      <c r="L21" s="87"/>
    </row>
    <row r="22" spans="2:12" ht="15.75" thickBot="1"/>
    <row r="23" spans="2:12" ht="16.5" thickBot="1">
      <c r="B23" s="103" t="s">
        <v>19</v>
      </c>
      <c r="C23" s="104"/>
      <c r="D23" s="104"/>
      <c r="E23" s="105"/>
      <c r="G23" s="103" t="s">
        <v>25</v>
      </c>
      <c r="H23" s="104"/>
      <c r="I23" s="104"/>
      <c r="J23" s="104"/>
      <c r="K23" s="104"/>
      <c r="L23" s="105"/>
    </row>
    <row r="24" spans="2:12" ht="20.25" thickBot="1">
      <c r="B24" s="29" t="s">
        <v>20</v>
      </c>
      <c r="C24" s="36" t="s">
        <v>21</v>
      </c>
      <c r="D24" s="30" t="s">
        <v>22</v>
      </c>
      <c r="E24" s="50" t="s">
        <v>85</v>
      </c>
      <c r="G24" s="48" t="s">
        <v>20</v>
      </c>
      <c r="H24" s="36" t="s">
        <v>21</v>
      </c>
      <c r="I24" s="36" t="s">
        <v>26</v>
      </c>
      <c r="J24" s="36" t="s">
        <v>27</v>
      </c>
      <c r="K24" s="49" t="s">
        <v>84</v>
      </c>
      <c r="L24" s="50" t="s">
        <v>83</v>
      </c>
    </row>
    <row r="25" spans="2:12">
      <c r="B25" s="97" t="s">
        <v>23</v>
      </c>
      <c r="C25" s="23">
        <v>25</v>
      </c>
      <c r="D25" s="10">
        <v>1.0248999999999999</v>
      </c>
      <c r="E25" s="51">
        <f>Results!D7/(Data!D25^2)</f>
        <v>39984.006016793232</v>
      </c>
      <c r="G25" s="98" t="s">
        <v>23</v>
      </c>
      <c r="H25" s="91">
        <v>25</v>
      </c>
      <c r="I25" s="24">
        <v>1</v>
      </c>
      <c r="J25" s="6">
        <v>5.1848384525773783</v>
      </c>
      <c r="K25" s="19">
        <v>261.8</v>
      </c>
      <c r="L25" s="44">
        <f t="shared" ref="L25:L35" si="0">K25*(J25)^2</f>
        <v>7037.8515322272806</v>
      </c>
    </row>
    <row r="26" spans="2:12">
      <c r="B26" s="98"/>
      <c r="C26" s="24">
        <v>50</v>
      </c>
      <c r="D26" s="5">
        <v>1.0808</v>
      </c>
      <c r="E26" s="52">
        <f>Results!D7/(Data!D26^2)</f>
        <v>35954.944140398788</v>
      </c>
      <c r="G26" s="98"/>
      <c r="H26" s="91"/>
      <c r="I26" s="24">
        <v>2</v>
      </c>
      <c r="J26" s="6">
        <v>5.1848384525773783</v>
      </c>
      <c r="K26" s="19">
        <v>451.6</v>
      </c>
      <c r="L26" s="44">
        <f t="shared" si="0"/>
        <v>12140.159480343164</v>
      </c>
    </row>
    <row r="27" spans="2:12" ht="15.75" thickBot="1">
      <c r="B27" s="99"/>
      <c r="C27" s="25">
        <v>75</v>
      </c>
      <c r="D27" s="3">
        <v>1.1436999999999999</v>
      </c>
      <c r="E27" s="53">
        <f>Results!D7/(Data!D27^2)</f>
        <v>32108.871949658125</v>
      </c>
      <c r="G27" s="98"/>
      <c r="H27" s="91"/>
      <c r="I27" s="24">
        <v>3</v>
      </c>
      <c r="J27" s="6">
        <v>5.1848384525773783</v>
      </c>
      <c r="K27" s="19">
        <v>633.4</v>
      </c>
      <c r="L27" s="44">
        <f t="shared" si="0"/>
        <v>17027.407030224444</v>
      </c>
    </row>
    <row r="28" spans="2:12">
      <c r="B28" s="98" t="s">
        <v>24</v>
      </c>
      <c r="C28" s="24">
        <v>50</v>
      </c>
      <c r="D28" s="5">
        <v>1.0028999999999999</v>
      </c>
      <c r="E28" s="52">
        <f>Results!D8/(Data!D28^2)</f>
        <v>41757.4555774494</v>
      </c>
      <c r="G28" s="89"/>
      <c r="H28" s="92">
        <v>50</v>
      </c>
      <c r="I28" s="38">
        <v>1</v>
      </c>
      <c r="J28" s="32">
        <v>4.9051709681871989</v>
      </c>
      <c r="K28" s="18">
        <v>261.8</v>
      </c>
      <c r="L28" s="45">
        <f t="shared" si="0"/>
        <v>6299.0918430669653</v>
      </c>
    </row>
    <row r="29" spans="2:12">
      <c r="B29" s="98"/>
      <c r="C29" s="24">
        <v>75</v>
      </c>
      <c r="D29" s="5">
        <v>1.0683</v>
      </c>
      <c r="E29" s="52">
        <f>Results!D8/(Data!D29^2)</f>
        <v>36801.272314615759</v>
      </c>
      <c r="G29" s="89"/>
      <c r="H29" s="92"/>
      <c r="I29" s="39">
        <v>2</v>
      </c>
      <c r="J29" s="8">
        <v>4.9051709681871989</v>
      </c>
      <c r="K29" s="19">
        <v>451.6</v>
      </c>
      <c r="L29" s="44">
        <f t="shared" si="0"/>
        <v>10865.813125779379</v>
      </c>
    </row>
    <row r="30" spans="2:12" ht="15.75" thickBot="1">
      <c r="B30" s="99"/>
      <c r="C30" s="25">
        <v>100</v>
      </c>
      <c r="D30" s="3">
        <v>1.1427</v>
      </c>
      <c r="E30" s="53">
        <f>Results!D8/(Data!D30^2)</f>
        <v>32165.094792946737</v>
      </c>
      <c r="G30" s="89"/>
      <c r="H30" s="92"/>
      <c r="I30" s="40">
        <v>3</v>
      </c>
      <c r="J30" s="33">
        <v>4.9051709681871989</v>
      </c>
      <c r="K30" s="20">
        <v>633.4</v>
      </c>
      <c r="L30" s="46">
        <f t="shared" si="0"/>
        <v>15240.04879067462</v>
      </c>
    </row>
    <row r="31" spans="2:12" ht="15.75" thickBot="1">
      <c r="G31" s="89"/>
      <c r="H31" s="93">
        <v>75</v>
      </c>
      <c r="I31" s="24">
        <v>1</v>
      </c>
      <c r="J31" s="6">
        <v>4.624177842815965</v>
      </c>
      <c r="K31" s="19">
        <v>261.8</v>
      </c>
      <c r="L31" s="44">
        <f t="shared" si="0"/>
        <v>5598.0748250170109</v>
      </c>
    </row>
    <row r="32" spans="2:12" ht="15.75" thickBot="1">
      <c r="B32" s="73" t="s">
        <v>144</v>
      </c>
      <c r="C32" s="74"/>
      <c r="D32" s="75"/>
      <c r="E32" s="68"/>
      <c r="G32" s="89"/>
      <c r="H32" s="92"/>
      <c r="I32" s="39">
        <v>2</v>
      </c>
      <c r="J32" s="6">
        <v>4.624177842815965</v>
      </c>
      <c r="K32" s="19">
        <v>451.6</v>
      </c>
      <c r="L32" s="44">
        <f t="shared" si="0"/>
        <v>9656.5721580507343</v>
      </c>
    </row>
    <row r="33" spans="2:12" ht="15.75" thickBot="1">
      <c r="B33" s="29" t="s">
        <v>21</v>
      </c>
      <c r="C33" s="36" t="s">
        <v>145</v>
      </c>
      <c r="D33" s="31" t="s">
        <v>146</v>
      </c>
      <c r="G33" s="89"/>
      <c r="H33" s="94"/>
      <c r="I33" s="39">
        <v>3</v>
      </c>
      <c r="J33" s="6">
        <v>4.624177842815965</v>
      </c>
      <c r="K33" s="19">
        <v>633.4</v>
      </c>
      <c r="L33" s="44">
        <f t="shared" si="0"/>
        <v>13544.005325308535</v>
      </c>
    </row>
    <row r="34" spans="2:12">
      <c r="B34" s="26">
        <v>25</v>
      </c>
      <c r="C34" s="21">
        <v>0.94089999999999996</v>
      </c>
      <c r="D34" s="11">
        <f xml:space="preserve"> Results!D9/(Data!C34^2)</f>
        <v>47441.930540472822</v>
      </c>
      <c r="G34" s="88" t="s">
        <v>24</v>
      </c>
      <c r="H34" s="95">
        <v>50</v>
      </c>
      <c r="I34" s="23">
        <v>1</v>
      </c>
      <c r="J34" s="14">
        <v>7.3646626141659688</v>
      </c>
      <c r="K34" s="21">
        <v>272.60000000000002</v>
      </c>
      <c r="L34" s="43">
        <f t="shared" si="0"/>
        <v>14785.348427626644</v>
      </c>
    </row>
    <row r="35" spans="2:12">
      <c r="B35" s="27">
        <v>50</v>
      </c>
      <c r="C35" s="19">
        <v>0.99529999999999996</v>
      </c>
      <c r="D35" s="2">
        <f>Results!D9*(C35^2)</f>
        <v>41606.127779999995</v>
      </c>
      <c r="G35" s="89"/>
      <c r="H35" s="92"/>
      <c r="I35" s="24">
        <v>2</v>
      </c>
      <c r="J35" s="6">
        <v>8.530371425247969</v>
      </c>
      <c r="K35" s="19">
        <v>272.60000000000002</v>
      </c>
      <c r="L35" s="44">
        <f t="shared" si="0"/>
        <v>19836.348711522493</v>
      </c>
    </row>
    <row r="36" spans="2:12" ht="15.75" thickBot="1">
      <c r="B36" s="28">
        <v>75</v>
      </c>
      <c r="C36" s="22">
        <v>1.0565</v>
      </c>
      <c r="D36" s="4">
        <f xml:space="preserve"> Results!D9*(C36^2)</f>
        <v>46880.074499999995</v>
      </c>
      <c r="G36" s="89"/>
      <c r="H36" s="92"/>
      <c r="I36" s="24">
        <v>3</v>
      </c>
      <c r="J36" s="6">
        <v>10.113015706177714</v>
      </c>
      <c r="K36" s="19">
        <v>272.60000000000002</v>
      </c>
      <c r="L36" s="44">
        <f t="shared" ref="L36:L45" si="1">K36*(J36)^2</f>
        <v>27879.643427168059</v>
      </c>
    </row>
    <row r="37" spans="2:12">
      <c r="G37" s="89"/>
      <c r="H37" s="94"/>
      <c r="I37" s="24">
        <v>4</v>
      </c>
      <c r="J37" s="6">
        <v>12.390894537752034</v>
      </c>
      <c r="K37" s="19">
        <v>272.60000000000002</v>
      </c>
      <c r="L37" s="44">
        <f t="shared" si="1"/>
        <v>41853.441305695967</v>
      </c>
    </row>
    <row r="38" spans="2:12">
      <c r="G38" s="89"/>
      <c r="H38" s="92">
        <v>75</v>
      </c>
      <c r="I38" s="38">
        <v>1</v>
      </c>
      <c r="J38" s="34">
        <v>6.9151420337516614</v>
      </c>
      <c r="K38" s="18">
        <v>272.60000000000002</v>
      </c>
      <c r="L38" s="45">
        <f t="shared" si="1"/>
        <v>13035.511015981041</v>
      </c>
    </row>
    <row r="39" spans="2:12">
      <c r="G39" s="89"/>
      <c r="H39" s="92"/>
      <c r="I39" s="24">
        <v>2</v>
      </c>
      <c r="J39" s="6">
        <v>8.0016544868687376</v>
      </c>
      <c r="K39" s="19">
        <v>272.60000000000002</v>
      </c>
      <c r="L39" s="44">
        <f t="shared" si="1"/>
        <v>17453.616956121972</v>
      </c>
    </row>
    <row r="40" spans="2:12">
      <c r="G40" s="89"/>
      <c r="H40" s="92"/>
      <c r="I40" s="24">
        <v>3</v>
      </c>
      <c r="J40" s="6">
        <v>9.4742278037586782</v>
      </c>
      <c r="K40" s="19">
        <v>272.60000000000002</v>
      </c>
      <c r="L40" s="44">
        <f t="shared" si="1"/>
        <v>24468.846549370315</v>
      </c>
    </row>
    <row r="41" spans="2:12">
      <c r="G41" s="89"/>
      <c r="H41" s="92"/>
      <c r="I41" s="42">
        <v>4</v>
      </c>
      <c r="J41" s="35">
        <v>11.587641628457673</v>
      </c>
      <c r="K41" s="20">
        <v>272.60000000000002</v>
      </c>
      <c r="L41" s="46">
        <f t="shared" si="1"/>
        <v>36602.939337707474</v>
      </c>
    </row>
    <row r="42" spans="2:12">
      <c r="G42" s="89"/>
      <c r="H42" s="93">
        <v>100</v>
      </c>
      <c r="I42" s="24">
        <v>1</v>
      </c>
      <c r="J42" s="6">
        <v>6.4669043317061181</v>
      </c>
      <c r="K42" s="19">
        <v>272.60000000000002</v>
      </c>
      <c r="L42" s="44">
        <f t="shared" si="1"/>
        <v>11400.364155820769</v>
      </c>
    </row>
    <row r="43" spans="2:12">
      <c r="G43" s="89"/>
      <c r="H43" s="92"/>
      <c r="I43" s="24">
        <v>2</v>
      </c>
      <c r="J43" s="6">
        <v>7.4756743556761984</v>
      </c>
      <c r="K43" s="19">
        <v>272.60000000000002</v>
      </c>
      <c r="L43" s="44">
        <f t="shared" si="1"/>
        <v>15234.443747858482</v>
      </c>
    </row>
    <row r="44" spans="2:12">
      <c r="G44" s="89"/>
      <c r="H44" s="92"/>
      <c r="I44" s="24">
        <v>3</v>
      </c>
      <c r="J44" s="6">
        <v>8.840656940039274</v>
      </c>
      <c r="K44" s="19">
        <v>272.60000000000002</v>
      </c>
      <c r="L44" s="44">
        <f t="shared" si="1"/>
        <v>21305.656844837245</v>
      </c>
    </row>
    <row r="45" spans="2:12" ht="15.75" thickBot="1">
      <c r="G45" s="90"/>
      <c r="H45" s="96"/>
      <c r="I45" s="25">
        <v>4</v>
      </c>
      <c r="J45" s="13">
        <v>10.794395170439657</v>
      </c>
      <c r="K45" s="22">
        <v>272.60000000000002</v>
      </c>
      <c r="L45" s="47">
        <f t="shared" si="1"/>
        <v>31763.070430263557</v>
      </c>
    </row>
  </sheetData>
  <mergeCells count="17">
    <mergeCell ref="L3:M3"/>
    <mergeCell ref="B25:B27"/>
    <mergeCell ref="B28:B30"/>
    <mergeCell ref="B32:D32"/>
    <mergeCell ref="B3:E3"/>
    <mergeCell ref="G3:J3"/>
    <mergeCell ref="B21:L21"/>
    <mergeCell ref="B23:E23"/>
    <mergeCell ref="G23:L23"/>
    <mergeCell ref="G25:G33"/>
    <mergeCell ref="G34:G45"/>
    <mergeCell ref="H25:H27"/>
    <mergeCell ref="H28:H30"/>
    <mergeCell ref="H31:H33"/>
    <mergeCell ref="H34:H37"/>
    <mergeCell ref="H38:H41"/>
    <mergeCell ref="H42:H45"/>
  </mergeCells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Pollini</dc:creator>
  <cp:lastModifiedBy>Isa</cp:lastModifiedBy>
  <dcterms:created xsi:type="dcterms:W3CDTF">2020-03-20T15:42:08Z</dcterms:created>
  <dcterms:modified xsi:type="dcterms:W3CDTF">2020-11-08T10:49:53Z</dcterms:modified>
</cp:coreProperties>
</file>