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TION_ISABELA" sheetId="1" r:id="rId4"/>
  </sheets>
  <definedNames/>
  <calcPr/>
</workbook>
</file>

<file path=xl/sharedStrings.xml><?xml version="1.0" encoding="utf-8"?>
<sst xmlns="http://schemas.openxmlformats.org/spreadsheetml/2006/main" count="84" uniqueCount="67">
  <si>
    <t>Question 1</t>
  </si>
  <si>
    <t>Amounts in Euro mEUR</t>
  </si>
  <si>
    <t>actuals</t>
  </si>
  <si>
    <t>forecast</t>
  </si>
  <si>
    <t>Balance sheet</t>
  </si>
  <si>
    <t>Goodwill</t>
  </si>
  <si>
    <t>Tangible fixed assets</t>
  </si>
  <si>
    <t>Inventories</t>
  </si>
  <si>
    <t>Accounts Receivable</t>
  </si>
  <si>
    <t>Other operating short term assets</t>
  </si>
  <si>
    <t>Cash</t>
  </si>
  <si>
    <t>Total</t>
  </si>
  <si>
    <t>Equity</t>
  </si>
  <si>
    <t>Interest bearing debt</t>
  </si>
  <si>
    <t>Operating provisions</t>
  </si>
  <si>
    <t>Accounts Payable</t>
  </si>
  <si>
    <t>Other operating short term liabilities</t>
  </si>
  <si>
    <t>Profit &amp; Loss Account</t>
  </si>
  <si>
    <t>Revenues</t>
  </si>
  <si>
    <t>- Cost of goods sold</t>
  </si>
  <si>
    <t>Gross margin</t>
  </si>
  <si>
    <t>- Personnel cost</t>
  </si>
  <si>
    <t>- Other operating cost</t>
  </si>
  <si>
    <t>EBITDA</t>
  </si>
  <si>
    <t>- Depreciation</t>
  </si>
  <si>
    <t>EBIT</t>
  </si>
  <si>
    <t>- Interest</t>
  </si>
  <si>
    <t>PBT</t>
  </si>
  <si>
    <t>- Taxes</t>
  </si>
  <si>
    <t>Net profit</t>
  </si>
  <si>
    <t>Other items</t>
  </si>
  <si>
    <t>Tax rate</t>
  </si>
  <si>
    <t>Market risk premium</t>
  </si>
  <si>
    <t>Long term growth</t>
  </si>
  <si>
    <t>Unlevered beta</t>
  </si>
  <si>
    <t>Risk free rate</t>
  </si>
  <si>
    <t>Long term ROCB</t>
  </si>
  <si>
    <t>Target debt/equity ratio</t>
  </si>
  <si>
    <t>Small firm premium</t>
  </si>
  <si>
    <t>Bond rating</t>
  </si>
  <si>
    <t>BBB</t>
  </si>
  <si>
    <t>Credit spread debt</t>
  </si>
  <si>
    <t>WACC</t>
  </si>
  <si>
    <t>Relevered beta</t>
  </si>
  <si>
    <t>Cost of equity</t>
  </si>
  <si>
    <t>Cost of debt</t>
  </si>
  <si>
    <t>E/D+E</t>
  </si>
  <si>
    <t>ROCB</t>
  </si>
  <si>
    <t>NEW SCENARIO</t>
  </si>
  <si>
    <t>Ebitda</t>
  </si>
  <si>
    <t>Operating Taxes</t>
  </si>
  <si>
    <t>NOPAT</t>
  </si>
  <si>
    <t>Operating Capital</t>
  </si>
  <si>
    <t>EVA</t>
  </si>
  <si>
    <t>FCF</t>
  </si>
  <si>
    <t>TV</t>
  </si>
  <si>
    <t>NWC</t>
  </si>
  <si>
    <t>Capex</t>
  </si>
  <si>
    <t>- Operating Taxes</t>
  </si>
  <si>
    <t>- Change NWC</t>
  </si>
  <si>
    <t>+ Change in operating provisions</t>
  </si>
  <si>
    <t>+ Depreciation</t>
  </si>
  <si>
    <t>- Capex TFA</t>
  </si>
  <si>
    <t>Discount rate</t>
  </si>
  <si>
    <t>PV FCF</t>
  </si>
  <si>
    <t>Enterprise value</t>
  </si>
  <si>
    <t>Debt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</si>
</sst>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0.0%"/>
    <numFmt numFmtId="166" formatCode="_ * #,##0.00_ ;_ * \-#,##0.00_ ;_ * &quot;-&quot;??_ ;_ @_ "/>
    <numFmt numFmtId="167" formatCode="_-* #,##0.00_-;_-* #,##0.00\-;_-* &quot;-&quot;??_-;_-@"/>
    <numFmt numFmtId="168" formatCode="0.000"/>
  </numFmts>
  <fonts count="19">
    <font>
      <sz val="11.0"/>
      <color theme="1"/>
      <name val="Calibri"/>
      <scheme val="minor"/>
    </font>
    <font>
      <b/>
      <sz val="14.0"/>
      <color rgb="FFFFFFFF"/>
      <name val="Arial"/>
    </font>
    <font>
      <sz val="10.0"/>
      <color rgb="FFFFFFFF"/>
      <name val="Arial"/>
    </font>
    <font>
      <sz val="10.0"/>
      <color theme="1"/>
      <name val="Arial"/>
    </font>
    <font>
      <i/>
      <sz val="11.0"/>
      <color theme="1"/>
      <name val="Arial"/>
    </font>
    <font>
      <b/>
      <sz val="11.0"/>
      <color theme="0"/>
      <name val="Arial"/>
    </font>
    <font>
      <sz val="11.0"/>
      <color theme="1"/>
      <name val="Arial"/>
    </font>
    <font>
      <i/>
      <sz val="8.0"/>
      <color theme="1"/>
      <name val="Arial"/>
    </font>
    <font>
      <b/>
      <u/>
      <sz val="11.0"/>
      <color theme="1"/>
      <name val="Arial"/>
    </font>
    <font>
      <sz val="11.0"/>
      <color rgb="FFE06666"/>
      <name val="Arial"/>
    </font>
    <font>
      <b/>
      <sz val="11.0"/>
      <color theme="1"/>
      <name val="Arial"/>
    </font>
    <font/>
    <font>
      <b/>
      <sz val="12.0"/>
      <color rgb="FFFFFFFF"/>
      <name val="Arial"/>
    </font>
    <font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E06666"/>
      <name val="Arial"/>
    </font>
    <font>
      <b/>
      <sz val="12.0"/>
      <color rgb="FFE06666"/>
      <name val="Arial"/>
    </font>
    <font>
      <b/>
      <sz val="12.0"/>
      <color rgb="FFCC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5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Border="1" applyFont="1"/>
    <xf borderId="0" fillId="0" fontId="3" numFmtId="0" xfId="0" applyFont="1"/>
    <xf borderId="1" fillId="3" fontId="4" numFmtId="0" xfId="0" applyBorder="1" applyFill="1" applyFont="1"/>
    <xf borderId="2" fillId="4" fontId="5" numFmtId="0" xfId="0" applyBorder="1" applyFill="1" applyFont="1"/>
    <xf borderId="2" fillId="4" fontId="5" numFmtId="164" xfId="0" applyBorder="1" applyFont="1" applyNumberFormat="1"/>
    <xf borderId="1" fillId="3" fontId="6" numFmtId="0" xfId="0" applyBorder="1" applyFont="1"/>
    <xf borderId="1" fillId="3" fontId="4" numFmtId="0" xfId="0" applyAlignment="1" applyBorder="1" applyFont="1">
      <alignment horizontal="right"/>
    </xf>
    <xf borderId="0" fillId="0" fontId="7" numFmtId="0" xfId="0" applyFont="1"/>
    <xf borderId="1" fillId="3" fontId="8" numFmtId="0" xfId="0" applyBorder="1" applyFont="1"/>
    <xf borderId="1" fillId="3" fontId="6" numFmtId="3" xfId="0" applyBorder="1" applyFont="1" applyNumberFormat="1"/>
    <xf borderId="1" fillId="3" fontId="9" numFmtId="3" xfId="0" applyAlignment="1" applyBorder="1" applyFont="1" applyNumberFormat="1">
      <alignment readingOrder="0"/>
    </xf>
    <xf borderId="1" fillId="3" fontId="9" numFmtId="3" xfId="0" applyBorder="1" applyFont="1" applyNumberFormat="1"/>
    <xf borderId="1" fillId="3" fontId="6" numFmtId="3" xfId="0" applyAlignment="1" applyBorder="1" applyFont="1" applyNumberFormat="1">
      <alignment readingOrder="0"/>
    </xf>
    <xf borderId="1" fillId="3" fontId="10" numFmtId="0" xfId="0" applyBorder="1" applyFont="1"/>
    <xf borderId="1" fillId="3" fontId="10" numFmtId="3" xfId="0" applyBorder="1" applyFont="1" applyNumberFormat="1"/>
    <xf borderId="1" fillId="3" fontId="10" numFmtId="3" xfId="0" applyAlignment="1" applyBorder="1" applyFont="1" applyNumberFormat="1">
      <alignment readingOrder="0"/>
    </xf>
    <xf quotePrefix="1" borderId="1" fillId="3" fontId="6" numFmtId="0" xfId="0" applyBorder="1" applyFont="1"/>
    <xf borderId="1" fillId="3" fontId="6" numFmtId="0" xfId="0" applyAlignment="1" applyBorder="1" applyFont="1">
      <alignment horizontal="center"/>
    </xf>
    <xf borderId="1" fillId="3" fontId="6" numFmtId="9" xfId="0" applyBorder="1" applyFont="1" applyNumberFormat="1"/>
    <xf borderId="1" fillId="3" fontId="3" numFmtId="0" xfId="0" applyBorder="1" applyFont="1"/>
    <xf borderId="1" fillId="3" fontId="6" numFmtId="165" xfId="0" applyAlignment="1" applyBorder="1" applyFont="1" applyNumberFormat="1">
      <alignment readingOrder="0"/>
    </xf>
    <xf borderId="3" fillId="3" fontId="6" numFmtId="0" xfId="0" applyAlignment="1" applyBorder="1" applyFont="1">
      <alignment horizontal="center"/>
    </xf>
    <xf borderId="4" fillId="0" fontId="11" numFmtId="0" xfId="0" applyBorder="1" applyFont="1"/>
    <xf borderId="1" fillId="3" fontId="6" numFmtId="166" xfId="0" applyAlignment="1" applyBorder="1" applyFont="1" applyNumberFormat="1">
      <alignment readingOrder="0"/>
    </xf>
    <xf borderId="1" fillId="3" fontId="6" numFmtId="166" xfId="0" applyBorder="1" applyFont="1" applyNumberFormat="1"/>
    <xf borderId="1" fillId="3" fontId="6" numFmtId="9" xfId="0" applyAlignment="1" applyBorder="1" applyFont="1" applyNumberFormat="1">
      <alignment horizontal="right"/>
    </xf>
    <xf borderId="0" fillId="0" fontId="3" numFmtId="9" xfId="0" applyFont="1" applyNumberFormat="1"/>
    <xf borderId="1" fillId="2" fontId="12" numFmtId="0" xfId="0" applyAlignment="1" applyBorder="1" applyFont="1">
      <alignment horizontal="left"/>
    </xf>
    <xf borderId="1" fillId="2" fontId="13" numFmtId="0" xfId="0" applyBorder="1" applyFont="1"/>
    <xf borderId="0" fillId="0" fontId="14" numFmtId="0" xfId="0" applyFont="1"/>
    <xf borderId="1" fillId="3" fontId="14" numFmtId="0" xfId="0" applyBorder="1" applyFont="1"/>
    <xf borderId="1" fillId="3" fontId="14" numFmtId="9" xfId="0" applyBorder="1" applyFont="1" applyNumberFormat="1"/>
    <xf borderId="1" fillId="3" fontId="14" numFmtId="167" xfId="0" applyBorder="1" applyFont="1" applyNumberFormat="1"/>
    <xf borderId="1" fillId="3" fontId="14" numFmtId="165" xfId="0" applyBorder="1" applyFont="1" applyNumberFormat="1"/>
    <xf borderId="1" fillId="3" fontId="15" numFmtId="0" xfId="0" applyBorder="1" applyFont="1"/>
    <xf borderId="1" fillId="3" fontId="15" numFmtId="9" xfId="0" applyBorder="1" applyFont="1" applyNumberFormat="1"/>
    <xf borderId="0" fillId="0" fontId="15" numFmtId="0" xfId="0" applyFont="1"/>
    <xf borderId="0" fillId="0" fontId="15" numFmtId="165" xfId="0" applyFont="1" applyNumberFormat="1"/>
    <xf borderId="1" fillId="2" fontId="13" numFmtId="0" xfId="0" applyAlignment="1" applyBorder="1" applyFont="1">
      <alignment readingOrder="0"/>
    </xf>
    <xf borderId="1" fillId="3" fontId="15" numFmtId="165" xfId="0" applyBorder="1" applyFont="1" applyNumberFormat="1"/>
    <xf borderId="1" fillId="3" fontId="14" numFmtId="2" xfId="0" applyBorder="1" applyFont="1" applyNumberFormat="1"/>
    <xf borderId="0" fillId="0" fontId="14" numFmtId="2" xfId="0" applyAlignment="1" applyFont="1" applyNumberFormat="1">
      <alignment readingOrder="0"/>
    </xf>
    <xf borderId="0" fillId="0" fontId="14" numFmtId="2" xfId="0" applyFont="1" applyNumberFormat="1"/>
    <xf borderId="1" fillId="3" fontId="16" numFmtId="0" xfId="0" applyBorder="1" applyFont="1"/>
    <xf borderId="1" fillId="3" fontId="17" numFmtId="0" xfId="0" applyBorder="1" applyFont="1"/>
    <xf borderId="1" fillId="3" fontId="16" numFmtId="2" xfId="0" applyBorder="1" applyFont="1" applyNumberFormat="1"/>
    <xf borderId="0" fillId="0" fontId="14" numFmtId="0" xfId="0" applyAlignment="1" applyFont="1">
      <alignment readingOrder="0"/>
    </xf>
    <xf borderId="1" fillId="3" fontId="14" numFmtId="168" xfId="0" applyBorder="1" applyFont="1" applyNumberFormat="1"/>
    <xf borderId="0" fillId="0" fontId="14" numFmtId="9" xfId="0" applyFont="1" applyNumberFormat="1"/>
    <xf borderId="1" fillId="2" fontId="12" numFmtId="0" xfId="0" applyAlignment="1" applyBorder="1" applyFont="1">
      <alignment horizontal="left" readingOrder="0"/>
    </xf>
    <xf borderId="1" fillId="2" fontId="12" numFmtId="164" xfId="0" applyBorder="1" applyFont="1" applyNumberFormat="1"/>
    <xf borderId="1" fillId="2" fontId="12" numFmtId="0" xfId="0" applyAlignment="1" applyBorder="1" applyFont="1">
      <alignment horizontal="right"/>
    </xf>
    <xf borderId="1" fillId="3" fontId="14" numFmtId="3" xfId="0" applyBorder="1" applyFont="1" applyNumberFormat="1"/>
    <xf quotePrefix="1" borderId="1" fillId="3" fontId="14" numFmtId="0" xfId="0" applyBorder="1" applyFont="1"/>
    <xf borderId="1" fillId="3" fontId="15" numFmtId="3" xfId="0" applyBorder="1" applyFont="1" applyNumberFormat="1"/>
    <xf borderId="1" fillId="3" fontId="18" numFmtId="3" xfId="0" applyBorder="1" applyFont="1" applyNumberFormat="1"/>
    <xf borderId="1" fillId="3" fontId="14" numFmtId="166" xfId="0" applyBorder="1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2.71"/>
    <col customWidth="1" min="3" max="3" width="6.14"/>
    <col customWidth="1" min="4" max="4" width="8.86"/>
    <col customWidth="1" min="5" max="5" width="10.71"/>
    <col customWidth="1" min="6" max="6" width="20.14"/>
    <col customWidth="1" min="7" max="8" width="10.71"/>
    <col customWidth="1" min="9" max="9" width="11.0"/>
    <col customWidth="1" min="10" max="11" width="10.71"/>
    <col customWidth="1" min="12" max="12" width="12.0"/>
    <col customWidth="1" min="13" max="26" width="8.0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 t="s">
        <v>1</v>
      </c>
      <c r="B3" s="5"/>
      <c r="C3" s="5"/>
      <c r="D3" s="5"/>
      <c r="E3" s="6">
        <v>43100.0</v>
      </c>
      <c r="F3" s="6">
        <v>43465.0</v>
      </c>
      <c r="G3" s="6">
        <v>43830.0</v>
      </c>
      <c r="H3" s="6">
        <v>44196.0</v>
      </c>
      <c r="I3" s="6">
        <v>44561.0</v>
      </c>
      <c r="J3" s="6">
        <v>44926.0</v>
      </c>
      <c r="K3" s="6">
        <v>45291.0</v>
      </c>
      <c r="L3" s="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/>
      <c r="B4" s="4"/>
      <c r="C4" s="4"/>
      <c r="D4" s="4"/>
      <c r="E4" s="8" t="s">
        <v>2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3</v>
      </c>
      <c r="K4" s="8" t="s">
        <v>3</v>
      </c>
      <c r="L4" s="4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0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0"/>
      <c r="B6" s="7" t="s">
        <v>5</v>
      </c>
      <c r="C6" s="7"/>
      <c r="D6" s="7"/>
      <c r="E6" s="11">
        <v>250.0</v>
      </c>
      <c r="F6" s="11">
        <v>250.0</v>
      </c>
      <c r="G6" s="11">
        <v>250.0</v>
      </c>
      <c r="H6" s="11">
        <v>250.0</v>
      </c>
      <c r="I6" s="11">
        <v>250.0</v>
      </c>
      <c r="J6" s="11">
        <v>250.0</v>
      </c>
      <c r="K6" s="11">
        <v>250.0</v>
      </c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7"/>
      <c r="B7" s="7" t="s">
        <v>6</v>
      </c>
      <c r="C7" s="7"/>
      <c r="D7" s="7"/>
      <c r="E7" s="11">
        <v>300.0</v>
      </c>
      <c r="F7" s="11">
        <v>315.0</v>
      </c>
      <c r="G7" s="11">
        <v>339.0</v>
      </c>
      <c r="H7" s="11">
        <v>356.0</v>
      </c>
      <c r="I7" s="11">
        <v>366.0</v>
      </c>
      <c r="J7" s="11">
        <v>375.0</v>
      </c>
      <c r="K7" s="11">
        <v>383.0</v>
      </c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6.0" customHeight="1">
      <c r="A8" s="7"/>
      <c r="B8" s="7"/>
      <c r="C8" s="7"/>
      <c r="D8" s="7"/>
      <c r="E8" s="11"/>
      <c r="F8" s="11"/>
      <c r="G8" s="11"/>
      <c r="H8" s="11"/>
      <c r="I8" s="11"/>
      <c r="J8" s="11"/>
      <c r="K8" s="11"/>
      <c r="L8" s="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7"/>
      <c r="B9" s="7" t="s">
        <v>7</v>
      </c>
      <c r="C9" s="7"/>
      <c r="D9" s="7"/>
      <c r="E9" s="11">
        <v>180.0</v>
      </c>
      <c r="F9" s="11">
        <v>189.0</v>
      </c>
      <c r="G9" s="11">
        <v>203.0</v>
      </c>
      <c r="H9" s="11">
        <v>213.0</v>
      </c>
      <c r="I9" s="12">
        <v>107.0</v>
      </c>
      <c r="J9" s="13">
        <v>225.0</v>
      </c>
      <c r="K9" s="11">
        <v>230.0</v>
      </c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7"/>
      <c r="B10" s="7" t="s">
        <v>8</v>
      </c>
      <c r="C10" s="7"/>
      <c r="D10" s="7"/>
      <c r="E10" s="11">
        <v>144.0</v>
      </c>
      <c r="F10" s="11">
        <v>151.0</v>
      </c>
      <c r="G10" s="11">
        <v>163.0</v>
      </c>
      <c r="H10" s="11">
        <v>171.0</v>
      </c>
      <c r="I10" s="12">
        <v>202.0</v>
      </c>
      <c r="J10" s="12">
        <v>213.0</v>
      </c>
      <c r="K10" s="11">
        <v>184.0</v>
      </c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7"/>
      <c r="B11" s="7" t="s">
        <v>9</v>
      </c>
      <c r="C11" s="7"/>
      <c r="D11" s="7"/>
      <c r="E11" s="11">
        <v>84.0</v>
      </c>
      <c r="F11" s="11">
        <v>88.0</v>
      </c>
      <c r="G11" s="11">
        <v>95.0</v>
      </c>
      <c r="H11" s="11">
        <v>100.0</v>
      </c>
      <c r="I11" s="12">
        <v>28.0</v>
      </c>
      <c r="J11" s="12">
        <v>29.0</v>
      </c>
      <c r="K11" s="11">
        <v>107.0</v>
      </c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5.25" customHeight="1">
      <c r="A12" s="7"/>
      <c r="B12" s="7"/>
      <c r="C12" s="7"/>
      <c r="D12" s="7"/>
      <c r="E12" s="11"/>
      <c r="F12" s="11"/>
      <c r="G12" s="11"/>
      <c r="H12" s="11"/>
      <c r="I12" s="11"/>
      <c r="J12" s="11"/>
      <c r="K12" s="11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7"/>
      <c r="B13" s="7" t="s">
        <v>10</v>
      </c>
      <c r="C13" s="7"/>
      <c r="D13" s="7"/>
      <c r="E13" s="11">
        <v>55.0</v>
      </c>
      <c r="F13" s="11">
        <v>54.0</v>
      </c>
      <c r="G13" s="11">
        <v>40.0</v>
      </c>
      <c r="H13" s="11">
        <v>39.0</v>
      </c>
      <c r="I13" s="14">
        <v>37.0</v>
      </c>
      <c r="J13" s="11">
        <v>60.0</v>
      </c>
      <c r="K13" s="11">
        <v>75.0</v>
      </c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7"/>
      <c r="B14" s="15" t="s">
        <v>11</v>
      </c>
      <c r="C14" s="7"/>
      <c r="D14" s="7"/>
      <c r="E14" s="16">
        <v>1013.0</v>
      </c>
      <c r="F14" s="16">
        <v>1047.0</v>
      </c>
      <c r="G14" s="16">
        <v>1089.0</v>
      </c>
      <c r="H14" s="16">
        <v>1128.0</v>
      </c>
      <c r="I14" s="17">
        <v>858.0</v>
      </c>
      <c r="J14" s="16">
        <v>1196.0</v>
      </c>
      <c r="K14" s="16">
        <v>1229.0</v>
      </c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7"/>
      <c r="B15" s="7"/>
      <c r="C15" s="7"/>
      <c r="D15" s="7"/>
      <c r="E15" s="11"/>
      <c r="F15" s="11"/>
      <c r="G15" s="11"/>
      <c r="H15" s="11"/>
      <c r="I15" s="11"/>
      <c r="J15" s="11"/>
      <c r="K15" s="11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7"/>
      <c r="B16" s="7" t="s">
        <v>12</v>
      </c>
      <c r="C16" s="7"/>
      <c r="D16" s="7"/>
      <c r="E16" s="11">
        <v>450.0</v>
      </c>
      <c r="F16" s="11">
        <v>468.0</v>
      </c>
      <c r="G16" s="11">
        <v>488.0</v>
      </c>
      <c r="H16" s="11">
        <v>508.0</v>
      </c>
      <c r="I16" s="14">
        <v>272.0</v>
      </c>
      <c r="J16" s="11">
        <v>552.0</v>
      </c>
      <c r="K16" s="11">
        <v>574.0</v>
      </c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7.5" customHeight="1">
      <c r="A17" s="7"/>
      <c r="B17" s="7"/>
      <c r="C17" s="7"/>
      <c r="D17" s="7"/>
      <c r="E17" s="11"/>
      <c r="F17" s="11"/>
      <c r="G17" s="11"/>
      <c r="H17" s="11"/>
      <c r="I17" s="14">
        <v>312.0</v>
      </c>
      <c r="J17" s="11"/>
      <c r="K17" s="11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7"/>
      <c r="B18" s="7" t="s">
        <v>13</v>
      </c>
      <c r="C18" s="7"/>
      <c r="D18" s="7"/>
      <c r="E18" s="11">
        <v>250.0</v>
      </c>
      <c r="F18" s="11">
        <v>250.0</v>
      </c>
      <c r="G18" s="11">
        <v>250.0</v>
      </c>
      <c r="H18" s="11">
        <v>250.0</v>
      </c>
      <c r="I18" s="14">
        <v>272.0</v>
      </c>
      <c r="J18" s="11">
        <v>250.0</v>
      </c>
      <c r="K18" s="11">
        <v>250.0</v>
      </c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6.75" customHeight="1">
      <c r="A19" s="7"/>
      <c r="B19" s="7"/>
      <c r="C19" s="7"/>
      <c r="D19" s="7"/>
      <c r="E19" s="11"/>
      <c r="F19" s="11"/>
      <c r="G19" s="11"/>
      <c r="H19" s="11"/>
      <c r="I19" s="11"/>
      <c r="J19" s="11"/>
      <c r="K19" s="11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7"/>
      <c r="B20" s="7" t="s">
        <v>14</v>
      </c>
      <c r="C20" s="7"/>
      <c r="D20" s="7"/>
      <c r="E20" s="11">
        <v>90.0</v>
      </c>
      <c r="F20" s="11">
        <v>95.0</v>
      </c>
      <c r="G20" s="11">
        <v>100.0</v>
      </c>
      <c r="H20" s="11">
        <v>105.0</v>
      </c>
      <c r="I20" s="11">
        <v>110.0</v>
      </c>
      <c r="J20" s="11">
        <v>115.0</v>
      </c>
      <c r="K20" s="11">
        <v>120.0</v>
      </c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5.25" customHeight="1">
      <c r="A21" s="7"/>
      <c r="B21" s="7"/>
      <c r="C21" s="7"/>
      <c r="D21" s="7"/>
      <c r="E21" s="11"/>
      <c r="F21" s="11"/>
      <c r="G21" s="11"/>
      <c r="H21" s="11"/>
      <c r="I21" s="11"/>
      <c r="J21" s="13"/>
      <c r="K21" s="11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7"/>
      <c r="B22" s="7" t="s">
        <v>15</v>
      </c>
      <c r="C22" s="7"/>
      <c r="D22" s="7"/>
      <c r="E22" s="11">
        <v>187.0</v>
      </c>
      <c r="F22" s="11">
        <v>197.0</v>
      </c>
      <c r="G22" s="11">
        <v>211.0</v>
      </c>
      <c r="H22" s="11">
        <v>222.0</v>
      </c>
      <c r="I22" s="12">
        <v>187.0</v>
      </c>
      <c r="J22" s="12">
        <v>196.0</v>
      </c>
      <c r="K22" s="11">
        <v>239.0</v>
      </c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7"/>
      <c r="B23" s="7" t="s">
        <v>16</v>
      </c>
      <c r="C23" s="7"/>
      <c r="D23" s="7"/>
      <c r="E23" s="11">
        <v>36.0</v>
      </c>
      <c r="F23" s="11">
        <v>38.0</v>
      </c>
      <c r="G23" s="11">
        <v>41.0</v>
      </c>
      <c r="H23" s="11">
        <v>43.0</v>
      </c>
      <c r="I23" s="12">
        <v>46.0</v>
      </c>
      <c r="J23" s="12">
        <v>48.0</v>
      </c>
      <c r="K23" s="11">
        <v>46.0</v>
      </c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7"/>
      <c r="B24" s="15" t="s">
        <v>11</v>
      </c>
      <c r="C24" s="7"/>
      <c r="D24" s="7"/>
      <c r="E24" s="16">
        <v>1013.0</v>
      </c>
      <c r="F24" s="16">
        <v>1047.0</v>
      </c>
      <c r="G24" s="16">
        <v>1089.0</v>
      </c>
      <c r="H24" s="16">
        <v>1128.0</v>
      </c>
      <c r="I24" s="16">
        <v>1162.0</v>
      </c>
      <c r="J24" s="16">
        <v>1196.0</v>
      </c>
      <c r="K24" s="16">
        <v>1229.0</v>
      </c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7"/>
      <c r="B25" s="7"/>
      <c r="C25" s="7"/>
      <c r="D25" s="7"/>
      <c r="E25" s="11"/>
      <c r="F25" s="11"/>
      <c r="G25" s="11"/>
      <c r="H25" s="11"/>
      <c r="I25" s="11"/>
      <c r="J25" s="11"/>
      <c r="K25" s="11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0" t="s">
        <v>17</v>
      </c>
      <c r="B26" s="7"/>
      <c r="C26" s="7"/>
      <c r="D26" s="7"/>
      <c r="E26" s="11"/>
      <c r="F26" s="11"/>
      <c r="G26" s="11"/>
      <c r="H26" s="11"/>
      <c r="I26" s="11"/>
      <c r="J26" s="11"/>
      <c r="K26" s="11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7"/>
      <c r="B27" s="7" t="s">
        <v>18</v>
      </c>
      <c r="C27" s="7"/>
      <c r="D27" s="7"/>
      <c r="E27" s="11">
        <v>1200.0</v>
      </c>
      <c r="F27" s="11">
        <v>1260.0</v>
      </c>
      <c r="G27" s="11">
        <v>1355.0</v>
      </c>
      <c r="H27" s="11">
        <v>1422.0</v>
      </c>
      <c r="I27" s="11">
        <v>1465.0</v>
      </c>
      <c r="J27" s="11">
        <v>1502.0</v>
      </c>
      <c r="K27" s="11">
        <v>1532.0</v>
      </c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7"/>
      <c r="B28" s="18" t="s">
        <v>19</v>
      </c>
      <c r="C28" s="7"/>
      <c r="D28" s="7"/>
      <c r="E28" s="11">
        <v>720.0</v>
      </c>
      <c r="F28" s="11">
        <v>756.0</v>
      </c>
      <c r="G28" s="11">
        <v>813.0</v>
      </c>
      <c r="H28" s="11">
        <v>853.0</v>
      </c>
      <c r="I28" s="11">
        <v>879.0</v>
      </c>
      <c r="J28" s="11">
        <v>901.0</v>
      </c>
      <c r="K28" s="11">
        <v>919.0</v>
      </c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7"/>
      <c r="B29" s="15" t="s">
        <v>20</v>
      </c>
      <c r="C29" s="7"/>
      <c r="D29" s="7"/>
      <c r="E29" s="16">
        <v>480.0</v>
      </c>
      <c r="F29" s="16">
        <v>504.0</v>
      </c>
      <c r="G29" s="16">
        <v>542.0</v>
      </c>
      <c r="H29" s="16">
        <v>569.0</v>
      </c>
      <c r="I29" s="16">
        <v>586.0</v>
      </c>
      <c r="J29" s="16">
        <v>601.0</v>
      </c>
      <c r="K29" s="16">
        <v>613.0</v>
      </c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6.0" customHeight="1">
      <c r="A30" s="7"/>
      <c r="B30" s="7"/>
      <c r="C30" s="7"/>
      <c r="D30" s="7"/>
      <c r="E30" s="11"/>
      <c r="F30" s="11"/>
      <c r="G30" s="11"/>
      <c r="H30" s="11"/>
      <c r="I30" s="11"/>
      <c r="J30" s="11"/>
      <c r="K30" s="11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7"/>
      <c r="B31" s="18" t="s">
        <v>21</v>
      </c>
      <c r="C31" s="7"/>
      <c r="D31" s="7"/>
      <c r="E31" s="11">
        <v>225.0</v>
      </c>
      <c r="F31" s="11">
        <v>236.0</v>
      </c>
      <c r="G31" s="11">
        <v>254.0</v>
      </c>
      <c r="H31" s="11">
        <v>267.0</v>
      </c>
      <c r="I31" s="11">
        <v>275.0</v>
      </c>
      <c r="J31" s="11">
        <v>282.0</v>
      </c>
      <c r="K31" s="11">
        <v>287.0</v>
      </c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7"/>
      <c r="B32" s="18" t="s">
        <v>22</v>
      </c>
      <c r="C32" s="7"/>
      <c r="D32" s="7"/>
      <c r="E32" s="11">
        <v>120.0</v>
      </c>
      <c r="F32" s="11">
        <v>126.0</v>
      </c>
      <c r="G32" s="11">
        <v>135.0</v>
      </c>
      <c r="H32" s="11">
        <v>142.0</v>
      </c>
      <c r="I32" s="11">
        <v>146.0</v>
      </c>
      <c r="J32" s="11">
        <v>150.0</v>
      </c>
      <c r="K32" s="11">
        <v>153.0</v>
      </c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7"/>
      <c r="B33" s="15" t="s">
        <v>23</v>
      </c>
      <c r="C33" s="7"/>
      <c r="D33" s="7"/>
      <c r="E33" s="16">
        <v>135.0</v>
      </c>
      <c r="F33" s="16">
        <v>142.0</v>
      </c>
      <c r="G33" s="16">
        <v>152.0</v>
      </c>
      <c r="H33" s="16">
        <v>160.0</v>
      </c>
      <c r="I33" s="16">
        <v>165.0</v>
      </c>
      <c r="J33" s="16">
        <v>169.0</v>
      </c>
      <c r="K33" s="16">
        <v>172.0</v>
      </c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7"/>
      <c r="B34" s="18" t="s">
        <v>24</v>
      </c>
      <c r="C34" s="7"/>
      <c r="D34" s="7"/>
      <c r="E34" s="11">
        <v>30.0</v>
      </c>
      <c r="F34" s="11">
        <v>31.0</v>
      </c>
      <c r="G34" s="11">
        <v>33.0</v>
      </c>
      <c r="H34" s="11">
        <v>34.0</v>
      </c>
      <c r="I34" s="11">
        <v>36.0</v>
      </c>
      <c r="J34" s="11">
        <v>37.0</v>
      </c>
      <c r="K34" s="11">
        <v>39.0</v>
      </c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7"/>
      <c r="B35" s="15" t="s">
        <v>25</v>
      </c>
      <c r="C35" s="7"/>
      <c r="D35" s="7"/>
      <c r="E35" s="16">
        <v>105.0</v>
      </c>
      <c r="F35" s="16">
        <v>110.0</v>
      </c>
      <c r="G35" s="16">
        <v>120.0</v>
      </c>
      <c r="H35" s="16">
        <v>126.0</v>
      </c>
      <c r="I35" s="16">
        <v>129.0</v>
      </c>
      <c r="J35" s="16">
        <v>132.0</v>
      </c>
      <c r="K35" s="16">
        <v>133.0</v>
      </c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7"/>
      <c r="B36" s="18" t="s">
        <v>26</v>
      </c>
      <c r="C36" s="7"/>
      <c r="D36" s="7"/>
      <c r="E36" s="11">
        <v>15.0</v>
      </c>
      <c r="F36" s="11">
        <v>15.0</v>
      </c>
      <c r="G36" s="11">
        <v>15.0</v>
      </c>
      <c r="H36" s="11">
        <v>15.0</v>
      </c>
      <c r="I36" s="11">
        <v>15.0</v>
      </c>
      <c r="J36" s="11">
        <v>15.0</v>
      </c>
      <c r="K36" s="11">
        <v>15.0</v>
      </c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7"/>
      <c r="B37" s="15" t="s">
        <v>27</v>
      </c>
      <c r="C37" s="7"/>
      <c r="D37" s="7"/>
      <c r="E37" s="16">
        <v>90.0</v>
      </c>
      <c r="F37" s="16">
        <v>95.0</v>
      </c>
      <c r="G37" s="16">
        <v>105.0</v>
      </c>
      <c r="H37" s="16">
        <v>111.0</v>
      </c>
      <c r="I37" s="16">
        <v>114.0</v>
      </c>
      <c r="J37" s="16">
        <v>117.0</v>
      </c>
      <c r="K37" s="16">
        <v>118.0</v>
      </c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7"/>
      <c r="B38" s="18" t="s">
        <v>28</v>
      </c>
      <c r="C38" s="7"/>
      <c r="D38" s="7"/>
      <c r="E38" s="11">
        <v>23.0</v>
      </c>
      <c r="F38" s="11">
        <v>24.0</v>
      </c>
      <c r="G38" s="11">
        <v>26.0</v>
      </c>
      <c r="H38" s="11">
        <v>28.0</v>
      </c>
      <c r="I38" s="11">
        <v>29.0</v>
      </c>
      <c r="J38" s="11">
        <v>29.0</v>
      </c>
      <c r="K38" s="11">
        <v>30.0</v>
      </c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7"/>
      <c r="B39" s="15" t="s">
        <v>29</v>
      </c>
      <c r="C39" s="7"/>
      <c r="D39" s="7"/>
      <c r="E39" s="16">
        <v>68.0</v>
      </c>
      <c r="F39" s="16">
        <v>72.0</v>
      </c>
      <c r="G39" s="16">
        <v>78.0</v>
      </c>
      <c r="H39" s="16">
        <v>83.0</v>
      </c>
      <c r="I39" s="16">
        <v>86.0</v>
      </c>
      <c r="J39" s="16">
        <v>87.0</v>
      </c>
      <c r="K39" s="16">
        <v>89.0</v>
      </c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0" t="s">
        <v>30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9"/>
      <c r="B42" s="7" t="s">
        <v>31</v>
      </c>
      <c r="C42" s="7"/>
      <c r="D42" s="20">
        <v>0.25</v>
      </c>
      <c r="E42" s="21"/>
      <c r="F42" s="7" t="s">
        <v>32</v>
      </c>
      <c r="G42" s="7"/>
      <c r="H42" s="22">
        <v>0.06</v>
      </c>
      <c r="I42" s="23" t="s">
        <v>33</v>
      </c>
      <c r="J42" s="24"/>
      <c r="K42" s="22">
        <v>0.02</v>
      </c>
      <c r="L42" s="20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9"/>
      <c r="B43" s="7" t="s">
        <v>34</v>
      </c>
      <c r="C43" s="7"/>
      <c r="D43" s="25">
        <v>0.6</v>
      </c>
      <c r="E43" s="21"/>
      <c r="F43" s="7" t="s">
        <v>35</v>
      </c>
      <c r="G43" s="7"/>
      <c r="H43" s="22">
        <v>0.03</v>
      </c>
      <c r="I43" s="23" t="s">
        <v>36</v>
      </c>
      <c r="J43" s="24"/>
      <c r="K43" s="22">
        <v>0.09</v>
      </c>
      <c r="L43" s="2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7"/>
      <c r="B44" s="7" t="s">
        <v>37</v>
      </c>
      <c r="C44" s="7"/>
      <c r="D44" s="25">
        <v>0.4</v>
      </c>
      <c r="E44" s="21"/>
      <c r="F44" s="7" t="s">
        <v>38</v>
      </c>
      <c r="G44" s="7"/>
      <c r="H44" s="22">
        <v>0.02</v>
      </c>
      <c r="I44" s="21"/>
      <c r="J44" s="7"/>
      <c r="K44" s="7"/>
      <c r="L44" s="2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7"/>
      <c r="B45" s="7" t="s">
        <v>39</v>
      </c>
      <c r="C45" s="7"/>
      <c r="D45" s="27" t="s">
        <v>40</v>
      </c>
      <c r="E45" s="21"/>
      <c r="F45" s="7" t="s">
        <v>41</v>
      </c>
      <c r="G45" s="7"/>
      <c r="H45" s="22">
        <v>0.015</v>
      </c>
      <c r="I45" s="21"/>
      <c r="J45" s="7"/>
      <c r="K45" s="7"/>
      <c r="L45" s="2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2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29" t="s">
        <v>42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2.75" customHeight="1">
      <c r="A49" s="32"/>
      <c r="B49" s="32"/>
      <c r="C49" s="32"/>
      <c r="D49" s="32"/>
      <c r="E49" s="33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2.75" customHeight="1">
      <c r="A50" s="32" t="str">
        <f>B43</f>
        <v>Unlevered beta</v>
      </c>
      <c r="B50" s="32"/>
      <c r="C50" s="32"/>
      <c r="D50" s="32"/>
      <c r="E50" s="34">
        <f>+D43</f>
        <v>0.6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2.75" customHeight="1">
      <c r="A51" s="32" t="s">
        <v>43</v>
      </c>
      <c r="B51" s="32"/>
      <c r="C51" s="32"/>
      <c r="D51" s="32"/>
      <c r="E51" s="34">
        <f>E50*(1+(1-D42)*D44)</f>
        <v>0.78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2.75" customHeight="1">
      <c r="A52" s="32" t="s">
        <v>44</v>
      </c>
      <c r="B52" s="32"/>
      <c r="C52" s="32"/>
      <c r="D52" s="32"/>
      <c r="E52" s="35">
        <f>E51*H42+H43+H44</f>
        <v>0.0968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2.75" customHeight="1">
      <c r="A53" s="32" t="s">
        <v>45</v>
      </c>
      <c r="B53" s="32"/>
      <c r="C53" s="32"/>
      <c r="D53" s="32"/>
      <c r="E53" s="35">
        <f>H45+H43</f>
        <v>0.045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2.75" customHeight="1">
      <c r="A54" s="32" t="s">
        <v>46</v>
      </c>
      <c r="B54" s="32"/>
      <c r="C54" s="32"/>
      <c r="D54" s="32"/>
      <c r="E54" s="33">
        <f>1/(1+D44)</f>
        <v>0.7142857143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2.75" customHeight="1">
      <c r="A55" s="36" t="s">
        <v>42</v>
      </c>
      <c r="B55" s="36"/>
      <c r="C55" s="36"/>
      <c r="D55" s="36" t="s">
        <v>42</v>
      </c>
      <c r="E55" s="37">
        <f>E53*(1-D42)*(1-E54)+E54*E52</f>
        <v>0.07878571429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2.75" customHeight="1">
      <c r="A56" s="38"/>
      <c r="B56" s="38"/>
      <c r="C56" s="38"/>
      <c r="D56" s="38"/>
      <c r="E56" s="39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2.75" customHeight="1">
      <c r="A57" s="38"/>
      <c r="B57" s="38"/>
      <c r="C57" s="38"/>
      <c r="D57" s="38"/>
      <c r="E57" s="39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2.75" customHeight="1">
      <c r="A58" s="29" t="s">
        <v>47</v>
      </c>
      <c r="B58" s="30"/>
      <c r="C58" s="30"/>
      <c r="D58" s="30"/>
      <c r="E58" s="30"/>
      <c r="F58" s="40" t="s">
        <v>48</v>
      </c>
      <c r="G58" s="30"/>
      <c r="H58" s="30"/>
      <c r="I58" s="30"/>
      <c r="J58" s="30"/>
      <c r="K58" s="30"/>
      <c r="L58" s="30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2.75" customHeight="1">
      <c r="A59" s="32"/>
      <c r="B59" s="36"/>
      <c r="C59" s="36"/>
      <c r="D59" s="36"/>
      <c r="E59" s="4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2.75" customHeight="1">
      <c r="A60" s="32" t="s">
        <v>49</v>
      </c>
      <c r="B60" s="36"/>
      <c r="C60" s="32"/>
      <c r="D60" s="32"/>
      <c r="E60" s="42">
        <f>E35</f>
        <v>105</v>
      </c>
      <c r="F60" s="43">
        <v>120.0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2.75" customHeight="1">
      <c r="A61" s="32" t="s">
        <v>50</v>
      </c>
      <c r="B61" s="36"/>
      <c r="C61" s="32"/>
      <c r="D61" s="32"/>
      <c r="E61" s="42">
        <f>E35*D42</f>
        <v>26.25</v>
      </c>
      <c r="F61" s="44">
        <f>35%</f>
        <v>0.35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2.75" customHeight="1">
      <c r="A62" s="32" t="s">
        <v>51</v>
      </c>
      <c r="B62" s="36"/>
      <c r="C62" s="32"/>
      <c r="D62" s="32"/>
      <c r="E62" s="42">
        <f t="shared" ref="E62:F62" si="1">E60-E61</f>
        <v>78.75</v>
      </c>
      <c r="F62" s="44">
        <f t="shared" si="1"/>
        <v>119.65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2.75" customHeight="1">
      <c r="A63" s="32"/>
      <c r="B63" s="36"/>
      <c r="C63" s="32"/>
      <c r="D63" s="32"/>
      <c r="E63" s="42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2.75" customHeight="1">
      <c r="A64" s="45" t="s">
        <v>52</v>
      </c>
      <c r="B64" s="46"/>
      <c r="C64" s="45"/>
      <c r="D64" s="45"/>
      <c r="E64" s="47">
        <f>SUM(E6:E11)-SUM(E20:E23)</f>
        <v>645</v>
      </c>
      <c r="F64" s="48">
        <v>600.0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2.75" customHeight="1">
      <c r="A65" s="32" t="s">
        <v>47</v>
      </c>
      <c r="B65" s="36"/>
      <c r="C65" s="32"/>
      <c r="D65" s="32"/>
      <c r="E65" s="33">
        <f t="shared" ref="E65:F65" si="2">E62/E64</f>
        <v>0.1220930233</v>
      </c>
      <c r="F65" s="31">
        <f t="shared" si="2"/>
        <v>0.1994166667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2.75" customHeight="1">
      <c r="A66" s="32" t="s">
        <v>42</v>
      </c>
      <c r="B66" s="36"/>
      <c r="C66" s="32"/>
      <c r="D66" s="32"/>
      <c r="E66" s="33">
        <f>E55</f>
        <v>0.07878571429</v>
      </c>
      <c r="F66" s="31">
        <f>7%</f>
        <v>0.07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2.75" customHeight="1">
      <c r="A67" s="32" t="s">
        <v>53</v>
      </c>
      <c r="B67" s="36"/>
      <c r="C67" s="32"/>
      <c r="D67" s="32"/>
      <c r="E67" s="49">
        <f t="shared" ref="E67:F67" si="3">E64*(E65-E66)</f>
        <v>27.93321429</v>
      </c>
      <c r="F67" s="31">
        <f t="shared" si="3"/>
        <v>77.65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2.75" customHeight="1">
      <c r="A68" s="32"/>
      <c r="B68" s="36"/>
      <c r="C68" s="32"/>
      <c r="D68" s="32"/>
      <c r="E68" s="35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2.75" customHeight="1">
      <c r="A69" s="31"/>
      <c r="B69" s="31"/>
      <c r="C69" s="31"/>
      <c r="D69" s="31"/>
      <c r="E69" s="50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2.75" customHeight="1">
      <c r="A70" s="51" t="s">
        <v>54</v>
      </c>
      <c r="B70" s="30"/>
      <c r="C70" s="30"/>
      <c r="D70" s="30"/>
      <c r="E70" s="30"/>
      <c r="F70" s="52">
        <f t="shared" ref="F70:K70" si="4">+F3</f>
        <v>43465</v>
      </c>
      <c r="G70" s="52">
        <f t="shared" si="4"/>
        <v>43830</v>
      </c>
      <c r="H70" s="52">
        <f t="shared" si="4"/>
        <v>44196</v>
      </c>
      <c r="I70" s="52">
        <f t="shared" si="4"/>
        <v>44561</v>
      </c>
      <c r="J70" s="52">
        <f t="shared" si="4"/>
        <v>44926</v>
      </c>
      <c r="K70" s="52">
        <f t="shared" si="4"/>
        <v>45291</v>
      </c>
      <c r="L70" s="53" t="s">
        <v>55</v>
      </c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2.75" customHeight="1">
      <c r="A71" s="32"/>
      <c r="B71" s="32"/>
      <c r="C71" s="32"/>
      <c r="D71" s="32"/>
      <c r="E71" s="33"/>
      <c r="F71" s="32"/>
      <c r="G71" s="32"/>
      <c r="H71" s="32"/>
      <c r="I71" s="32"/>
      <c r="J71" s="32"/>
      <c r="K71" s="32"/>
      <c r="L71" s="32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2.75" customHeight="1">
      <c r="A72" s="32" t="s">
        <v>56</v>
      </c>
      <c r="B72" s="32"/>
      <c r="C72" s="32"/>
      <c r="D72" s="32"/>
      <c r="E72" s="54">
        <f t="shared" ref="E72:K72" si="5">SUM(E9:E11)-SUM(E22:E23)</f>
        <v>185</v>
      </c>
      <c r="F72" s="54">
        <f t="shared" si="5"/>
        <v>193</v>
      </c>
      <c r="G72" s="54">
        <f t="shared" si="5"/>
        <v>209</v>
      </c>
      <c r="H72" s="54">
        <f t="shared" si="5"/>
        <v>219</v>
      </c>
      <c r="I72" s="54">
        <f t="shared" si="5"/>
        <v>104</v>
      </c>
      <c r="J72" s="54">
        <f t="shared" si="5"/>
        <v>223</v>
      </c>
      <c r="K72" s="54">
        <f t="shared" si="5"/>
        <v>236</v>
      </c>
      <c r="L72" s="54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2.75" customHeight="1">
      <c r="A73" s="32" t="s">
        <v>57</v>
      </c>
      <c r="B73" s="32"/>
      <c r="C73" s="32"/>
      <c r="D73" s="32"/>
      <c r="E73" s="54"/>
      <c r="F73" s="54">
        <f t="shared" ref="F73:K73" si="6">F7-E7+F34</f>
        <v>46</v>
      </c>
      <c r="G73" s="54">
        <f t="shared" si="6"/>
        <v>57</v>
      </c>
      <c r="H73" s="54">
        <f t="shared" si="6"/>
        <v>51</v>
      </c>
      <c r="I73" s="54">
        <f t="shared" si="6"/>
        <v>46</v>
      </c>
      <c r="J73" s="54">
        <f t="shared" si="6"/>
        <v>46</v>
      </c>
      <c r="K73" s="54">
        <f t="shared" si="6"/>
        <v>47</v>
      </c>
      <c r="L73" s="54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2.75" customHeight="1">
      <c r="A74" s="32"/>
      <c r="B74" s="32"/>
      <c r="C74" s="32"/>
      <c r="D74" s="32"/>
      <c r="E74" s="54"/>
      <c r="F74" s="54"/>
      <c r="G74" s="54"/>
      <c r="H74" s="54"/>
      <c r="I74" s="54"/>
      <c r="J74" s="54"/>
      <c r="K74" s="54"/>
      <c r="L74" s="54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2.75" customHeight="1">
      <c r="A75" s="32" t="s">
        <v>25</v>
      </c>
      <c r="B75" s="32"/>
      <c r="C75" s="32"/>
      <c r="D75" s="32"/>
      <c r="E75" s="54">
        <f t="shared" ref="E75:K75" si="7">+E35</f>
        <v>105</v>
      </c>
      <c r="F75" s="54">
        <f t="shared" si="7"/>
        <v>110</v>
      </c>
      <c r="G75" s="54">
        <f t="shared" si="7"/>
        <v>120</v>
      </c>
      <c r="H75" s="54">
        <f t="shared" si="7"/>
        <v>126</v>
      </c>
      <c r="I75" s="54">
        <f t="shared" si="7"/>
        <v>129</v>
      </c>
      <c r="J75" s="54">
        <f t="shared" si="7"/>
        <v>132</v>
      </c>
      <c r="K75" s="54">
        <f t="shared" si="7"/>
        <v>133</v>
      </c>
      <c r="L75" s="54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2.75" customHeight="1">
      <c r="A76" s="55" t="s">
        <v>58</v>
      </c>
      <c r="B76" s="32"/>
      <c r="C76" s="32"/>
      <c r="D76" s="32"/>
      <c r="E76" s="54">
        <f t="shared" ref="E76:K76" si="8">E75*$D$42</f>
        <v>26.25</v>
      </c>
      <c r="F76" s="54">
        <f t="shared" si="8"/>
        <v>27.5</v>
      </c>
      <c r="G76" s="54">
        <f t="shared" si="8"/>
        <v>30</v>
      </c>
      <c r="H76" s="54">
        <f t="shared" si="8"/>
        <v>31.5</v>
      </c>
      <c r="I76" s="54">
        <f t="shared" si="8"/>
        <v>32.25</v>
      </c>
      <c r="J76" s="54">
        <f t="shared" si="8"/>
        <v>33</v>
      </c>
      <c r="K76" s="54">
        <f t="shared" si="8"/>
        <v>33.25</v>
      </c>
      <c r="L76" s="54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2.75" customHeight="1">
      <c r="A77" s="36" t="s">
        <v>51</v>
      </c>
      <c r="B77" s="32"/>
      <c r="C77" s="32"/>
      <c r="D77" s="32"/>
      <c r="E77" s="56">
        <f t="shared" ref="E77:K77" si="9">E75-E76</f>
        <v>78.75</v>
      </c>
      <c r="F77" s="56">
        <f t="shared" si="9"/>
        <v>82.5</v>
      </c>
      <c r="G77" s="56">
        <f t="shared" si="9"/>
        <v>90</v>
      </c>
      <c r="H77" s="56">
        <f t="shared" si="9"/>
        <v>94.5</v>
      </c>
      <c r="I77" s="56">
        <f t="shared" si="9"/>
        <v>96.75</v>
      </c>
      <c r="J77" s="56">
        <f t="shared" si="9"/>
        <v>99</v>
      </c>
      <c r="K77" s="56">
        <f t="shared" si="9"/>
        <v>99.75</v>
      </c>
      <c r="L77" s="56">
        <f>+K77*(1+F91)</f>
        <v>101.24625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2.75" customHeight="1">
      <c r="A78" s="55" t="s">
        <v>59</v>
      </c>
      <c r="B78" s="32"/>
      <c r="C78" s="32"/>
      <c r="D78" s="32"/>
      <c r="E78" s="54"/>
      <c r="F78" s="54">
        <f t="shared" ref="F78:K78" si="10">F72-E72</f>
        <v>8</v>
      </c>
      <c r="G78" s="54">
        <f t="shared" si="10"/>
        <v>16</v>
      </c>
      <c r="H78" s="54">
        <f t="shared" si="10"/>
        <v>10</v>
      </c>
      <c r="I78" s="54">
        <f t="shared" si="10"/>
        <v>-115</v>
      </c>
      <c r="J78" s="57">
        <f t="shared" si="10"/>
        <v>119</v>
      </c>
      <c r="K78" s="54">
        <f t="shared" si="10"/>
        <v>13</v>
      </c>
      <c r="L78" s="54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2.75" customHeight="1">
      <c r="A79" s="55" t="s">
        <v>60</v>
      </c>
      <c r="B79" s="32"/>
      <c r="C79" s="32"/>
      <c r="D79" s="32"/>
      <c r="E79" s="54"/>
      <c r="F79" s="54">
        <f t="shared" ref="F79:K79" si="11">+F20-E20</f>
        <v>5</v>
      </c>
      <c r="G79" s="54">
        <f t="shared" si="11"/>
        <v>5</v>
      </c>
      <c r="H79" s="54">
        <f t="shared" si="11"/>
        <v>5</v>
      </c>
      <c r="I79" s="54">
        <f t="shared" si="11"/>
        <v>5</v>
      </c>
      <c r="J79" s="54">
        <f t="shared" si="11"/>
        <v>5</v>
      </c>
      <c r="K79" s="54">
        <f t="shared" si="11"/>
        <v>5</v>
      </c>
      <c r="L79" s="54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2.75" customHeight="1">
      <c r="A80" s="55" t="s">
        <v>61</v>
      </c>
      <c r="B80" s="32"/>
      <c r="C80" s="32"/>
      <c r="D80" s="32"/>
      <c r="E80" s="54"/>
      <c r="F80" s="54">
        <f t="shared" ref="F80:K80" si="12">+F34</f>
        <v>31</v>
      </c>
      <c r="G80" s="54">
        <f t="shared" si="12"/>
        <v>33</v>
      </c>
      <c r="H80" s="54">
        <f t="shared" si="12"/>
        <v>34</v>
      </c>
      <c r="I80" s="54">
        <f t="shared" si="12"/>
        <v>36</v>
      </c>
      <c r="J80" s="54">
        <f t="shared" si="12"/>
        <v>37</v>
      </c>
      <c r="K80" s="54">
        <f t="shared" si="12"/>
        <v>39</v>
      </c>
      <c r="L80" s="54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2.75" customHeight="1">
      <c r="A81" s="55" t="s">
        <v>62</v>
      </c>
      <c r="B81" s="32"/>
      <c r="C81" s="32"/>
      <c r="D81" s="32"/>
      <c r="E81" s="54"/>
      <c r="F81" s="54">
        <f t="shared" ref="F81:K81" si="13">+F7-E7+F34</f>
        <v>46</v>
      </c>
      <c r="G81" s="54">
        <f t="shared" si="13"/>
        <v>57</v>
      </c>
      <c r="H81" s="54">
        <f t="shared" si="13"/>
        <v>51</v>
      </c>
      <c r="I81" s="54">
        <f t="shared" si="13"/>
        <v>46</v>
      </c>
      <c r="J81" s="54">
        <f t="shared" si="13"/>
        <v>46</v>
      </c>
      <c r="K81" s="54">
        <f t="shared" si="13"/>
        <v>47</v>
      </c>
      <c r="L81" s="54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2.75" customHeight="1">
      <c r="A82" s="36" t="s">
        <v>54</v>
      </c>
      <c r="B82" s="32"/>
      <c r="C82" s="32"/>
      <c r="D82" s="32"/>
      <c r="E82" s="54"/>
      <c r="F82" s="56">
        <f t="shared" ref="F82:K82" si="14">F77-F78-F81+F80+F79</f>
        <v>64.5</v>
      </c>
      <c r="G82" s="56">
        <f t="shared" si="14"/>
        <v>55</v>
      </c>
      <c r="H82" s="56">
        <f t="shared" si="14"/>
        <v>72.5</v>
      </c>
      <c r="I82" s="56">
        <f t="shared" si="14"/>
        <v>206.75</v>
      </c>
      <c r="J82" s="56">
        <f t="shared" si="14"/>
        <v>-24</v>
      </c>
      <c r="K82" s="56">
        <f t="shared" si="14"/>
        <v>83.75</v>
      </c>
      <c r="L82" s="56">
        <f>L77*(1-F91/F92)/(E55-F91)</f>
        <v>1289.670878</v>
      </c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2.75" customHeight="1">
      <c r="A83" s="32" t="s">
        <v>63</v>
      </c>
      <c r="B83" s="32"/>
      <c r="C83" s="32"/>
      <c r="D83" s="32"/>
      <c r="E83" s="33"/>
      <c r="F83" s="58">
        <f>1/(1+$E$55)</f>
        <v>0.926968152</v>
      </c>
      <c r="G83" s="58">
        <f t="shared" ref="G83:K83" si="15">F83*$F$83</f>
        <v>0.8592699549</v>
      </c>
      <c r="H83" s="58">
        <f t="shared" si="15"/>
        <v>0.7965158821</v>
      </c>
      <c r="I83" s="58">
        <f t="shared" si="15"/>
        <v>0.7383448553</v>
      </c>
      <c r="J83" s="58">
        <f t="shared" si="15"/>
        <v>0.6844221661</v>
      </c>
      <c r="K83" s="58">
        <f t="shared" si="15"/>
        <v>0.6344375505</v>
      </c>
      <c r="L83" s="58">
        <f>K83</f>
        <v>0.6344375505</v>
      </c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2.75" customHeight="1">
      <c r="A84" s="36" t="s">
        <v>64</v>
      </c>
      <c r="B84" s="32"/>
      <c r="C84" s="32"/>
      <c r="D84" s="32"/>
      <c r="E84" s="33"/>
      <c r="F84" s="56">
        <f t="shared" ref="F84:L84" si="16">F82*F83</f>
        <v>59.78944581</v>
      </c>
      <c r="G84" s="56">
        <f t="shared" si="16"/>
        <v>47.25984752</v>
      </c>
      <c r="H84" s="56">
        <f t="shared" si="16"/>
        <v>57.74740146</v>
      </c>
      <c r="I84" s="56">
        <f t="shared" si="16"/>
        <v>152.6527988</v>
      </c>
      <c r="J84" s="56">
        <f t="shared" si="16"/>
        <v>-16.42613199</v>
      </c>
      <c r="K84" s="56">
        <f t="shared" si="16"/>
        <v>53.13414486</v>
      </c>
      <c r="L84" s="56">
        <f t="shared" si="16"/>
        <v>818.2156326</v>
      </c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2.75" customHeight="1">
      <c r="A85" s="32"/>
      <c r="B85" s="32"/>
      <c r="C85" s="32"/>
      <c r="D85" s="32"/>
      <c r="E85" s="33"/>
      <c r="F85" s="32"/>
      <c r="G85" s="32"/>
      <c r="H85" s="32"/>
      <c r="I85" s="32"/>
      <c r="J85" s="32"/>
      <c r="K85" s="32"/>
      <c r="L85" s="32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2.75" customHeight="1">
      <c r="A86" s="36" t="s">
        <v>65</v>
      </c>
      <c r="B86" s="32"/>
      <c r="C86" s="32"/>
      <c r="D86" s="32"/>
      <c r="E86" s="33"/>
      <c r="F86" s="56">
        <f>SUM(F84:L84)</f>
        <v>1172.373139</v>
      </c>
      <c r="G86" s="32"/>
      <c r="H86" s="32"/>
      <c r="I86" s="32"/>
      <c r="J86" s="32"/>
      <c r="K86" s="32"/>
      <c r="L86" s="32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2.75" customHeight="1">
      <c r="A87" s="32" t="s">
        <v>10</v>
      </c>
      <c r="B87" s="32"/>
      <c r="C87" s="32"/>
      <c r="D87" s="32"/>
      <c r="E87" s="33"/>
      <c r="F87" s="54">
        <f>+E13</f>
        <v>55</v>
      </c>
      <c r="G87" s="32"/>
      <c r="H87" s="32"/>
      <c r="I87" s="32"/>
      <c r="J87" s="32"/>
      <c r="K87" s="32"/>
      <c r="L87" s="32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2.75" customHeight="1">
      <c r="A88" s="32" t="s">
        <v>66</v>
      </c>
      <c r="B88" s="32"/>
      <c r="C88" s="32"/>
      <c r="D88" s="32"/>
      <c r="E88" s="33"/>
      <c r="F88" s="54">
        <f>-E18</f>
        <v>-250</v>
      </c>
      <c r="G88" s="32"/>
      <c r="H88" s="32"/>
      <c r="I88" s="32"/>
      <c r="J88" s="32"/>
      <c r="K88" s="32"/>
      <c r="L88" s="32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2.75" customHeight="1">
      <c r="A89" s="36" t="s">
        <v>12</v>
      </c>
      <c r="B89" s="32"/>
      <c r="C89" s="32"/>
      <c r="D89" s="32"/>
      <c r="E89" s="33"/>
      <c r="F89" s="56">
        <f>+SUM(F86:F88)</f>
        <v>977.3731391</v>
      </c>
      <c r="G89" s="32"/>
      <c r="H89" s="32"/>
      <c r="I89" s="32"/>
      <c r="J89" s="32"/>
      <c r="K89" s="32"/>
      <c r="L89" s="32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2.75" customHeight="1">
      <c r="A90" s="32"/>
      <c r="B90" s="32"/>
      <c r="C90" s="32"/>
      <c r="D90" s="32"/>
      <c r="E90" s="33"/>
      <c r="F90" s="32"/>
      <c r="G90" s="32"/>
      <c r="H90" s="32"/>
      <c r="I90" s="32"/>
      <c r="J90" s="32"/>
      <c r="K90" s="32"/>
      <c r="L90" s="32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2.75" customHeight="1">
      <c r="A91" s="32" t="s">
        <v>33</v>
      </c>
      <c r="B91" s="32"/>
      <c r="C91" s="32"/>
      <c r="D91" s="32"/>
      <c r="E91" s="33"/>
      <c r="F91" s="35">
        <v>0.015</v>
      </c>
      <c r="G91" s="32"/>
      <c r="H91" s="32"/>
      <c r="I91" s="32"/>
      <c r="J91" s="32"/>
      <c r="K91" s="32"/>
      <c r="L91" s="32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2.75" customHeight="1">
      <c r="A92" s="32" t="s">
        <v>36</v>
      </c>
      <c r="B92" s="32"/>
      <c r="C92" s="32"/>
      <c r="D92" s="32"/>
      <c r="E92" s="33"/>
      <c r="F92" s="35">
        <v>0.08</v>
      </c>
      <c r="G92" s="32"/>
      <c r="H92" s="32"/>
      <c r="I92" s="32"/>
      <c r="J92" s="32"/>
      <c r="K92" s="32"/>
      <c r="L92" s="32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2.75" customHeight="1">
      <c r="A93" s="31"/>
      <c r="B93" s="31"/>
      <c r="C93" s="31"/>
      <c r="D93" s="31"/>
      <c r="E93" s="50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2.75" customHeight="1">
      <c r="A94" s="5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5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5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5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5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5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5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5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5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5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5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5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5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5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5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5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5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5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5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5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5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5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5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5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5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5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5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5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5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5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5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5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5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5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5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5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5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5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5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5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5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5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5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5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5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5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5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5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5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5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5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5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5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5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5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5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5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5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5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5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5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5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5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5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5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5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5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5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5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5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5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5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5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5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5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5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5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5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5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5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5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5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5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5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5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5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5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5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5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5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5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5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5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5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5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5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5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5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5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5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5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5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5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5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5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5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5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5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5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5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5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5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5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5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5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5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5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5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5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5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5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5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5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5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5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5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5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5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5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5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5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5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5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5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5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5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5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5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5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5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5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5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5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5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5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5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5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5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5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5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5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5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5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5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5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5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5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5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5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5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5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5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5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5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5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5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5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5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5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5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5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5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5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5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5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5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5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5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5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5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5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5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5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5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5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5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5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5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5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5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5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5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5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5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5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5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5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5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5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5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5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5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5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5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5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5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5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5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5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5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5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5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5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5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5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5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5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5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5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5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5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5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5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5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5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5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5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5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5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5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5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5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5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5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5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5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5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5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5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5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5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5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5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5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5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5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5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5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5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5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5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5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5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5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5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5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5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5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5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5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5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5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5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5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5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5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5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5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5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5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5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5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5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5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5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5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5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5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5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5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5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5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5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5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5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5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5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5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5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5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5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5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5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5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5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5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5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5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5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5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5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5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5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5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5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5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5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5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5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5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5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5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5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5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5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5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5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5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5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5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5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5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5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5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5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5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5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5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5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5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5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5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5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5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5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5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5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5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5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5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5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5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5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5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5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5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5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5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5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5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5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5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5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5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5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5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5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5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5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5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5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5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5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5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5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5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5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5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5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5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5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5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5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5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5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5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5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5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5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5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5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5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5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5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5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5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5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5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5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5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5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5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5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5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5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5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5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5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5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5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5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5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5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5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5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5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5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5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5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5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5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5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5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5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5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5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5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5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5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5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5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5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5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5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5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5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5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5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5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5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5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5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5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5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5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5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5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5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5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5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5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5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5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5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5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5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5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5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5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5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5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5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5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5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5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5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5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5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5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5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5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5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5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5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5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5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5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5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5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5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5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5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5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5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5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5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5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5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5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5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5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5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5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5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5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5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5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5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5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5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5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5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5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5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5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5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5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5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5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5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5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5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5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5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5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5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5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5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5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5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5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5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5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5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5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5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5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5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5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5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5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5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5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5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5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5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5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5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5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5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5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5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5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5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5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5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5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5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5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5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5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5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5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5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5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5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5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5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5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5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5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5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5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5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5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5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5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5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5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5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5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5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5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5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5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5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5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5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5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5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5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5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5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5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5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5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5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5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5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5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5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5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5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5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5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5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5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5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5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5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5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5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5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5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5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5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5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5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5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5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5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5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5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5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5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5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5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5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5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5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5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5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5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5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5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5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5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5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5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5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5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5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5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5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5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5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5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5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5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5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5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5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5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5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5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5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5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5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5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5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5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5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5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5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5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5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5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5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5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5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5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5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5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5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5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5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5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5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5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5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5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5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5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5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5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5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5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5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5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5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5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5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5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5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5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5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5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5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5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5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5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5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5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5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5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5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5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5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5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5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5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5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5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5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5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5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5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5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5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5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5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5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5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5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5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5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5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5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5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5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5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5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5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5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5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5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5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5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5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5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5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5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5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5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5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5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5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5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5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5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5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5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5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5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5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5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5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5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5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5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5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5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5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5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5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5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5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5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5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5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5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5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5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5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5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5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5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5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5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5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5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5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5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5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5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5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5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5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5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5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5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5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5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5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5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5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5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5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5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5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5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5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5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5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5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5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5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5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5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5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5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5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5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5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5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5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5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5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5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5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5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5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5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5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5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5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5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5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5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5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5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5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5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5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5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5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5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5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5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5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5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5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5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5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5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5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5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5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5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5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5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5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5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5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5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5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5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5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5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5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5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5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5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5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5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5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5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5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5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5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5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5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5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5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5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5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5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5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5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5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5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5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5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5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5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5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5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5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5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5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5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5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5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5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5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5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5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5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5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5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5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5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5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5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5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5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5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5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5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5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5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5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5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5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5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5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5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5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5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5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59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59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59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59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59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59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I42:J42"/>
    <mergeCell ref="I43:J43"/>
  </mergeCells>
  <printOptions/>
  <pageMargins bottom="0.75" footer="0.0" header="0.0" left="0.7" right="0.7" top="0.75"/>
  <pageSetup orientation="landscape"/>
  <drawing r:id="rId1"/>
</worksheet>
</file>