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S_ISABELA" sheetId="1" r:id="rId4"/>
  </sheets>
  <definedNames/>
  <calcPr/>
</workbook>
</file>

<file path=xl/sharedStrings.xml><?xml version="1.0" encoding="utf-8"?>
<sst xmlns="http://schemas.openxmlformats.org/spreadsheetml/2006/main" count="74" uniqueCount="56">
  <si>
    <t>APV Method</t>
  </si>
  <si>
    <t>Amounts in $m</t>
  </si>
  <si>
    <t>actual</t>
  </si>
  <si>
    <t>forecast</t>
  </si>
  <si>
    <t>Operating assets</t>
  </si>
  <si>
    <t>Tangible fixed assets</t>
  </si>
  <si>
    <t>Inventories</t>
  </si>
  <si>
    <t>Accounts receivable</t>
  </si>
  <si>
    <t>Other short term assets</t>
  </si>
  <si>
    <t xml:space="preserve">- Accounts payable </t>
  </si>
  <si>
    <t>- Other short term liabilities</t>
  </si>
  <si>
    <t>Operating profitability</t>
  </si>
  <si>
    <t>Revenues</t>
  </si>
  <si>
    <t>- Cost of goods sold</t>
  </si>
  <si>
    <t>Gross margin</t>
  </si>
  <si>
    <t>- Personnel cost</t>
  </si>
  <si>
    <t>- Other operating cost</t>
  </si>
  <si>
    <t>EBITDA</t>
  </si>
  <si>
    <t>- Depreciation</t>
  </si>
  <si>
    <t>EBIT</t>
  </si>
  <si>
    <t>Other items</t>
  </si>
  <si>
    <t>Tax rate</t>
  </si>
  <si>
    <t>Risk free rate</t>
  </si>
  <si>
    <t>Unlevered cost of capital</t>
  </si>
  <si>
    <t>Credit spread debt</t>
  </si>
  <si>
    <t>Target debt/ebitda multiple</t>
  </si>
  <si>
    <t>Long-term growth rate</t>
  </si>
  <si>
    <t>Bond rating</t>
  </si>
  <si>
    <t>BBB</t>
  </si>
  <si>
    <t>Long-term ROCB</t>
  </si>
  <si>
    <t>EVALUATIONS</t>
  </si>
  <si>
    <t>Free Cash flows</t>
  </si>
  <si>
    <t>TV</t>
  </si>
  <si>
    <t>NET WORKING CAPITAL</t>
  </si>
  <si>
    <t>-TAXES OVER EBIT</t>
  </si>
  <si>
    <t>NOPAT (EBIT - TAXES OVER EBIT)</t>
  </si>
  <si>
    <t>-INVESTMENTS NWC</t>
  </si>
  <si>
    <t>-</t>
  </si>
  <si>
    <t>DEPRECIATION</t>
  </si>
  <si>
    <t>INVESTMENT TANGIBLE TFA</t>
  </si>
  <si>
    <t>FCF</t>
  </si>
  <si>
    <t>DISCOUNT RATE</t>
  </si>
  <si>
    <t>PV OF FCF</t>
  </si>
  <si>
    <t>VALUE DURING PP</t>
  </si>
  <si>
    <t>TERMINAL VALUE</t>
  </si>
  <si>
    <t>PRESENT VALUE TERMINAL VALUE</t>
  </si>
  <si>
    <t>UNLEVERED FIRM VALUE</t>
  </si>
  <si>
    <t>DEBT MULTIPLE</t>
  </si>
  <si>
    <t>DEBT LEVEL</t>
  </si>
  <si>
    <t>INTEREST 4.5%</t>
  </si>
  <si>
    <t>TAX SHIELD</t>
  </si>
  <si>
    <t>PV TAX SHIELDS</t>
  </si>
  <si>
    <t>TERMINAL TAX SHIELD VALUE</t>
  </si>
  <si>
    <t>PRESENT VALUE TERMINAL TAX SHIELD VALUE</t>
  </si>
  <si>
    <t>VALUE OF FINANCING SIDE EFFECTS</t>
  </si>
  <si>
    <t>ENTERPRISE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</si>
</sst>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€&quot;\ * #,##0_-;_-&quot;€&quot;\ * #,##0\-;_-&quot;€&quot;\ * &quot;-&quot;??_-;_-@"/>
    <numFmt numFmtId="165" formatCode="0.0%"/>
    <numFmt numFmtId="166" formatCode="_-&quot;€&quot;\ * #,##0.00_-;_-&quot;€&quot;\ * #,##0.00\-;_-&quot;€&quot;\ * &quot;-&quot;??.00_-;_-@"/>
  </numFmts>
  <fonts count="17">
    <font>
      <sz val="11.0"/>
      <color theme="1"/>
      <name val="Calibri"/>
      <scheme val="minor"/>
    </font>
    <font>
      <b/>
      <sz val="12.0"/>
      <color theme="0"/>
      <name val="Times New Roman"/>
    </font>
    <font/>
    <font>
      <b/>
      <sz val="22.0"/>
      <color theme="0"/>
      <name val="Arial"/>
    </font>
    <font>
      <sz val="11.0"/>
      <color theme="1"/>
      <name val="Calibri"/>
    </font>
    <font>
      <sz val="10.0"/>
      <color theme="0"/>
      <name val="Garamond"/>
    </font>
    <font>
      <b/>
      <sz val="11.0"/>
      <color theme="0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u/>
      <sz val="12.0"/>
      <color theme="1"/>
      <name val="Times New Roman"/>
    </font>
    <font>
      <sz val="12.0"/>
      <color rgb="FFEA9999"/>
      <name val="Times New Roman"/>
    </font>
    <font>
      <sz val="12.0"/>
      <color rgb="FF45818E"/>
      <name val="Times New Roman"/>
    </font>
    <font>
      <sz val="10.0"/>
      <color theme="1"/>
      <name val="Garamond"/>
    </font>
    <font>
      <b/>
      <sz val="12.0"/>
      <color rgb="FFFFFFFF"/>
      <name val="Times New Roman"/>
    </font>
    <font>
      <b/>
      <sz val="11.0"/>
      <color rgb="FFFFFFFF"/>
      <name val="Arial"/>
    </font>
    <font>
      <sz val="9.0"/>
      <color rgb="FF000000"/>
      <name val="&quot;Google Sans Mono&quot;"/>
    </font>
    <font>
      <sz val="9.0"/>
      <color rgb="FF7E3794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3" fontId="4" numFmtId="0" xfId="0" applyBorder="1" applyFill="1" applyFont="1"/>
    <xf borderId="4" fillId="2" fontId="5" numFmtId="0" xfId="0" applyBorder="1" applyFont="1"/>
    <xf borderId="5" fillId="2" fontId="1" numFmtId="0" xfId="0" applyBorder="1" applyFont="1"/>
    <xf borderId="5" fillId="2" fontId="1" numFmtId="17" xfId="0" applyBorder="1" applyFont="1" applyNumberFormat="1"/>
    <xf borderId="5" fillId="2" fontId="6" numFmtId="17" xfId="0" applyBorder="1" applyFont="1" applyNumberFormat="1"/>
    <xf borderId="4" fillId="3" fontId="7" numFmtId="0" xfId="0" applyBorder="1" applyFont="1"/>
    <xf borderId="4" fillId="3" fontId="8" numFmtId="0" xfId="0" applyAlignment="1" applyBorder="1" applyFont="1">
      <alignment horizontal="right"/>
    </xf>
    <xf borderId="4" fillId="3" fontId="9" numFmtId="0" xfId="0" applyBorder="1" applyFont="1"/>
    <xf borderId="4" fillId="3" fontId="8" numFmtId="0" xfId="0" applyBorder="1" applyFont="1"/>
    <xf borderId="4" fillId="3" fontId="8" numFmtId="164" xfId="0" applyBorder="1" applyFont="1" applyNumberFormat="1"/>
    <xf borderId="4" fillId="3" fontId="10" numFmtId="0" xfId="0" applyBorder="1" applyFont="1"/>
    <xf quotePrefix="1" borderId="4" fillId="3" fontId="11" numFmtId="0" xfId="0" applyBorder="1" applyFont="1"/>
    <xf borderId="4" fillId="3" fontId="7" numFmtId="164" xfId="0" applyBorder="1" applyFont="1" applyNumberFormat="1"/>
    <xf quotePrefix="1" borderId="4" fillId="3" fontId="8" numFmtId="0" xfId="0" applyBorder="1" applyFont="1"/>
    <xf borderId="4" fillId="3" fontId="8" numFmtId="0" xfId="0" applyAlignment="1" applyBorder="1" applyFont="1">
      <alignment horizontal="center"/>
    </xf>
    <xf borderId="4" fillId="3" fontId="8" numFmtId="9" xfId="0" applyBorder="1" applyFont="1" applyNumberFormat="1"/>
    <xf borderId="4" fillId="3" fontId="12" numFmtId="0" xfId="0" applyBorder="1" applyFont="1"/>
    <xf borderId="4" fillId="3" fontId="8" numFmtId="165" xfId="0" applyBorder="1" applyFont="1" applyNumberFormat="1"/>
    <xf borderId="4" fillId="3" fontId="7" numFmtId="0" xfId="0" applyAlignment="1" applyBorder="1" applyFont="1">
      <alignment readingOrder="0"/>
    </xf>
    <xf borderId="6" fillId="2" fontId="8" numFmtId="0" xfId="0" applyAlignment="1" applyBorder="1" applyFont="1">
      <alignment vertical="bottom"/>
    </xf>
    <xf borderId="6" fillId="2" fontId="13" numFmtId="0" xfId="0" applyAlignment="1" applyBorder="1" applyFont="1">
      <alignment shrinkToFit="0" vertical="bottom" wrapText="0"/>
    </xf>
    <xf borderId="6" fillId="2" fontId="13" numFmtId="17" xfId="0" applyAlignment="1" applyBorder="1" applyFont="1" applyNumberFormat="1">
      <alignment horizontal="right" vertical="bottom"/>
    </xf>
    <xf borderId="6" fillId="2" fontId="14" numFmtId="17" xfId="0" applyAlignment="1" applyBorder="1" applyFont="1" applyNumberFormat="1">
      <alignment horizontal="right" vertical="bottom"/>
    </xf>
    <xf borderId="6" fillId="2" fontId="4" numFmtId="17" xfId="0" applyAlignment="1" applyBorder="1" applyFont="1" applyNumberFormat="1">
      <alignment vertical="bottom"/>
    </xf>
    <xf borderId="4" fillId="3" fontId="8" numFmtId="0" xfId="0" applyAlignment="1" applyBorder="1" applyFont="1">
      <alignment readingOrder="0"/>
    </xf>
    <xf borderId="4" fillId="3" fontId="8" numFmtId="166" xfId="0" applyBorder="1" applyFont="1" applyNumberFormat="1"/>
    <xf borderId="4" fillId="3" fontId="4" numFmtId="2" xfId="0" applyBorder="1" applyFont="1" applyNumberFormat="1"/>
    <xf borderId="4" fillId="3" fontId="8" numFmtId="2" xfId="0" applyBorder="1" applyFont="1" applyNumberFormat="1"/>
    <xf borderId="4" fillId="3" fontId="7" numFmtId="2" xfId="0" applyBorder="1" applyFont="1" applyNumberFormat="1"/>
    <xf borderId="0" fillId="4" fontId="15" numFmtId="2" xfId="0" applyAlignment="1" applyFill="1" applyFont="1" applyNumberFormat="1">
      <alignment horizontal="left"/>
    </xf>
    <xf borderId="4" fillId="3" fontId="8" numFmtId="0" xfId="0" applyAlignment="1" applyBorder="1" applyFont="1">
      <alignment readingOrder="0"/>
    </xf>
    <xf borderId="0" fillId="4" fontId="16" numFmtId="2" xfId="0" applyFont="1" applyNumberFormat="1"/>
    <xf borderId="4" fillId="3" fontId="12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55.86"/>
    <col customWidth="1" min="3" max="3" width="6.86"/>
    <col customWidth="1" min="4" max="4" width="13.43"/>
    <col customWidth="1" min="5" max="5" width="9.57"/>
    <col customWidth="1" min="6" max="6" width="12.14"/>
    <col customWidth="1" min="7" max="7" width="10.86"/>
    <col customWidth="1" min="8" max="8" width="9.57"/>
    <col customWidth="1" min="9" max="11" width="10.43"/>
    <col customWidth="1" min="12" max="12" width="11.29"/>
    <col customWidth="1" min="13" max="13" width="2.43"/>
    <col customWidth="1" min="14" max="26" width="8.71"/>
  </cols>
  <sheetData>
    <row r="1" ht="5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 t="s">
        <v>1</v>
      </c>
      <c r="B3" s="7"/>
      <c r="C3" s="7"/>
      <c r="D3" s="7"/>
      <c r="E3" s="8">
        <v>43070.0</v>
      </c>
      <c r="F3" s="8">
        <v>43435.0</v>
      </c>
      <c r="G3" s="8">
        <v>43800.0</v>
      </c>
      <c r="H3" s="8">
        <v>44166.0</v>
      </c>
      <c r="I3" s="8">
        <v>44531.0</v>
      </c>
      <c r="J3" s="8">
        <v>44896.0</v>
      </c>
      <c r="K3" s="8">
        <v>45261.0</v>
      </c>
      <c r="L3" s="9"/>
      <c r="M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0"/>
      <c r="B4" s="10"/>
      <c r="C4" s="10"/>
      <c r="D4" s="10"/>
      <c r="E4" s="11" t="s">
        <v>2</v>
      </c>
      <c r="F4" s="11" t="s">
        <v>3</v>
      </c>
      <c r="G4" s="11" t="s">
        <v>3</v>
      </c>
      <c r="H4" s="11" t="s">
        <v>3</v>
      </c>
      <c r="I4" s="11" t="s">
        <v>3</v>
      </c>
      <c r="J4" s="11" t="s">
        <v>3</v>
      </c>
      <c r="K4" s="11" t="s">
        <v>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2" t="s">
        <v>4</v>
      </c>
      <c r="B5" s="13"/>
      <c r="C5" s="13"/>
      <c r="D5" s="13"/>
      <c r="E5" s="11"/>
      <c r="F5" s="11"/>
      <c r="G5" s="11"/>
      <c r="H5" s="11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3"/>
      <c r="B6" s="13" t="s">
        <v>5</v>
      </c>
      <c r="C6" s="13"/>
      <c r="D6" s="13"/>
      <c r="E6" s="14">
        <v>120.0</v>
      </c>
      <c r="F6" s="14">
        <v>121.0</v>
      </c>
      <c r="G6" s="14">
        <v>122.0</v>
      </c>
      <c r="H6" s="14">
        <v>123.0</v>
      </c>
      <c r="I6" s="14">
        <v>125.0</v>
      </c>
      <c r="J6" s="14">
        <v>126.0</v>
      </c>
      <c r="K6" s="14">
        <v>127.0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3"/>
      <c r="B7" s="15" t="s">
        <v>6</v>
      </c>
      <c r="C7" s="13"/>
      <c r="D7" s="13"/>
      <c r="E7" s="14">
        <v>90.0</v>
      </c>
      <c r="F7" s="14">
        <v>96.0</v>
      </c>
      <c r="G7" s="14">
        <v>103.0</v>
      </c>
      <c r="H7" s="14">
        <v>110.0</v>
      </c>
      <c r="I7" s="14">
        <v>118.0</v>
      </c>
      <c r="J7" s="14">
        <v>126.0</v>
      </c>
      <c r="K7" s="14">
        <v>135.0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3"/>
      <c r="B8" s="15" t="s">
        <v>7</v>
      </c>
      <c r="C8" s="13"/>
      <c r="D8" s="13"/>
      <c r="E8" s="14">
        <v>180.0</v>
      </c>
      <c r="F8" s="14">
        <v>193.0</v>
      </c>
      <c r="G8" s="14">
        <v>206.0</v>
      </c>
      <c r="H8" s="14">
        <v>221.0</v>
      </c>
      <c r="I8" s="14">
        <v>236.0</v>
      </c>
      <c r="J8" s="14">
        <v>252.0</v>
      </c>
      <c r="K8" s="14">
        <v>270.0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3"/>
      <c r="B9" s="15" t="s">
        <v>8</v>
      </c>
      <c r="C9" s="13"/>
      <c r="D9" s="13"/>
      <c r="E9" s="14">
        <v>12.0</v>
      </c>
      <c r="F9" s="14">
        <v>13.0</v>
      </c>
      <c r="G9" s="14">
        <v>14.0</v>
      </c>
      <c r="H9" s="14">
        <v>15.0</v>
      </c>
      <c r="I9" s="14">
        <v>16.0</v>
      </c>
      <c r="J9" s="14">
        <v>17.0</v>
      </c>
      <c r="K9" s="14">
        <v>18.0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3"/>
      <c r="B10" s="16" t="s">
        <v>9</v>
      </c>
      <c r="C10" s="13"/>
      <c r="D10" s="13"/>
      <c r="E10" s="14">
        <v>135.0</v>
      </c>
      <c r="F10" s="14">
        <v>144.0</v>
      </c>
      <c r="G10" s="14">
        <v>155.0</v>
      </c>
      <c r="H10" s="14">
        <v>165.0</v>
      </c>
      <c r="I10" s="14">
        <v>177.0</v>
      </c>
      <c r="J10" s="14">
        <v>189.0</v>
      </c>
      <c r="K10" s="14">
        <v>203.0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3"/>
      <c r="B11" s="16" t="s">
        <v>10</v>
      </c>
      <c r="C11" s="13"/>
      <c r="D11" s="13"/>
      <c r="E11" s="14">
        <v>13.0</v>
      </c>
      <c r="F11" s="14">
        <v>14.0</v>
      </c>
      <c r="G11" s="14">
        <v>15.0</v>
      </c>
      <c r="H11" s="14">
        <v>16.0</v>
      </c>
      <c r="I11" s="14">
        <v>17.0</v>
      </c>
      <c r="J11" s="14">
        <v>19.0</v>
      </c>
      <c r="K11" s="14">
        <v>20.0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3"/>
      <c r="B12" s="10" t="s">
        <v>4</v>
      </c>
      <c r="C12" s="13"/>
      <c r="D12" s="13"/>
      <c r="E12" s="17">
        <f t="shared" ref="E12:K12" si="1">SUM(E6:E9)-SUM(E10:E11)</f>
        <v>254</v>
      </c>
      <c r="F12" s="17">
        <f t="shared" si="1"/>
        <v>265</v>
      </c>
      <c r="G12" s="17">
        <f t="shared" si="1"/>
        <v>275</v>
      </c>
      <c r="H12" s="17">
        <f t="shared" si="1"/>
        <v>288</v>
      </c>
      <c r="I12" s="17">
        <f t="shared" si="1"/>
        <v>301</v>
      </c>
      <c r="J12" s="17">
        <f t="shared" si="1"/>
        <v>313</v>
      </c>
      <c r="K12" s="17">
        <f t="shared" si="1"/>
        <v>327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2" t="s">
        <v>11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3"/>
      <c r="B15" s="13" t="s">
        <v>12</v>
      </c>
      <c r="C15" s="13"/>
      <c r="D15" s="13"/>
      <c r="E15" s="14">
        <v>1200.0</v>
      </c>
      <c r="F15" s="14">
        <v>1284.0</v>
      </c>
      <c r="G15" s="14">
        <v>1374.0</v>
      </c>
      <c r="H15" s="14">
        <v>1470.0</v>
      </c>
      <c r="I15" s="14">
        <v>1573.0</v>
      </c>
      <c r="J15" s="14">
        <v>1683.0</v>
      </c>
      <c r="K15" s="14">
        <v>1801.0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3"/>
      <c r="B16" s="18" t="s">
        <v>13</v>
      </c>
      <c r="C16" s="13"/>
      <c r="D16" s="13"/>
      <c r="E16" s="14">
        <v>900.0</v>
      </c>
      <c r="F16" s="14">
        <v>963.0</v>
      </c>
      <c r="G16" s="14">
        <v>1031.0</v>
      </c>
      <c r="H16" s="14">
        <v>1103.0</v>
      </c>
      <c r="I16" s="14">
        <v>1180.0</v>
      </c>
      <c r="J16" s="14">
        <v>1262.0</v>
      </c>
      <c r="K16" s="14">
        <v>1351.0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3"/>
      <c r="B17" s="10" t="s">
        <v>14</v>
      </c>
      <c r="C17" s="13"/>
      <c r="D17" s="13"/>
      <c r="E17" s="17">
        <f t="shared" ref="E17:K17" si="2">E15-E16</f>
        <v>300</v>
      </c>
      <c r="F17" s="17">
        <f t="shared" si="2"/>
        <v>321</v>
      </c>
      <c r="G17" s="17">
        <f t="shared" si="2"/>
        <v>343</v>
      </c>
      <c r="H17" s="17">
        <f t="shared" si="2"/>
        <v>367</v>
      </c>
      <c r="I17" s="17">
        <f t="shared" si="2"/>
        <v>393</v>
      </c>
      <c r="J17" s="17">
        <f t="shared" si="2"/>
        <v>421</v>
      </c>
      <c r="K17" s="17">
        <f t="shared" si="2"/>
        <v>450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3"/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3"/>
      <c r="B19" s="18" t="s">
        <v>15</v>
      </c>
      <c r="C19" s="13"/>
      <c r="D19" s="13"/>
      <c r="E19" s="14">
        <v>132.0</v>
      </c>
      <c r="F19" s="14">
        <v>141.0</v>
      </c>
      <c r="G19" s="14">
        <v>151.0</v>
      </c>
      <c r="H19" s="14">
        <v>162.0</v>
      </c>
      <c r="I19" s="14">
        <v>173.0</v>
      </c>
      <c r="J19" s="14">
        <v>185.0</v>
      </c>
      <c r="K19" s="14">
        <v>198.0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3"/>
      <c r="B20" s="18" t="s">
        <v>16</v>
      </c>
      <c r="C20" s="13"/>
      <c r="D20" s="13"/>
      <c r="E20" s="14">
        <v>48.0</v>
      </c>
      <c r="F20" s="14">
        <v>51.0</v>
      </c>
      <c r="G20" s="14">
        <v>55.0</v>
      </c>
      <c r="H20" s="14">
        <v>59.0</v>
      </c>
      <c r="I20" s="14">
        <v>63.0</v>
      </c>
      <c r="J20" s="14">
        <v>67.0</v>
      </c>
      <c r="K20" s="14">
        <v>72.0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3"/>
      <c r="B21" s="10" t="s">
        <v>17</v>
      </c>
      <c r="C21" s="13"/>
      <c r="D21" s="13"/>
      <c r="E21" s="17">
        <f t="shared" ref="E21:K21" si="3">E17-E19-E20</f>
        <v>120</v>
      </c>
      <c r="F21" s="17">
        <f t="shared" si="3"/>
        <v>129</v>
      </c>
      <c r="G21" s="17">
        <f t="shared" si="3"/>
        <v>137</v>
      </c>
      <c r="H21" s="17">
        <f t="shared" si="3"/>
        <v>146</v>
      </c>
      <c r="I21" s="17">
        <f t="shared" si="3"/>
        <v>157</v>
      </c>
      <c r="J21" s="17">
        <f t="shared" si="3"/>
        <v>169</v>
      </c>
      <c r="K21" s="17">
        <f t="shared" si="3"/>
        <v>180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3"/>
      <c r="B22" s="18" t="s">
        <v>18</v>
      </c>
      <c r="C22" s="13"/>
      <c r="D22" s="13"/>
      <c r="E22" s="14">
        <v>50.0</v>
      </c>
      <c r="F22" s="14">
        <v>52.0</v>
      </c>
      <c r="G22" s="14">
        <v>54.0</v>
      </c>
      <c r="H22" s="14">
        <v>56.0</v>
      </c>
      <c r="I22" s="14">
        <v>59.0</v>
      </c>
      <c r="J22" s="14">
        <v>62.0</v>
      </c>
      <c r="K22" s="14">
        <v>65.0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3"/>
      <c r="B23" s="10" t="s">
        <v>19</v>
      </c>
      <c r="C23" s="13"/>
      <c r="D23" s="13"/>
      <c r="E23" s="17">
        <f t="shared" ref="E23:K23" si="4">E21-E22</f>
        <v>70</v>
      </c>
      <c r="F23" s="17">
        <f t="shared" si="4"/>
        <v>77</v>
      </c>
      <c r="G23" s="17">
        <f t="shared" si="4"/>
        <v>83</v>
      </c>
      <c r="H23" s="17">
        <f t="shared" si="4"/>
        <v>90</v>
      </c>
      <c r="I23" s="17">
        <f t="shared" si="4"/>
        <v>98</v>
      </c>
      <c r="J23" s="17">
        <f t="shared" si="4"/>
        <v>107</v>
      </c>
      <c r="K23" s="17">
        <f t="shared" si="4"/>
        <v>115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2" t="s">
        <v>20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9"/>
      <c r="B26" s="13" t="s">
        <v>21</v>
      </c>
      <c r="C26" s="13"/>
      <c r="D26" s="13"/>
      <c r="E26" s="20">
        <v>0.25</v>
      </c>
      <c r="F26" s="13"/>
      <c r="G26" s="13" t="s">
        <v>22</v>
      </c>
      <c r="H26" s="13"/>
      <c r="I26" s="13"/>
      <c r="J26" s="20">
        <v>0.03</v>
      </c>
      <c r="K26" s="13"/>
      <c r="L26" s="21"/>
      <c r="M26" s="2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9"/>
      <c r="B27" s="13" t="s">
        <v>23</v>
      </c>
      <c r="C27" s="13"/>
      <c r="D27" s="13"/>
      <c r="E27" s="20">
        <v>0.1</v>
      </c>
      <c r="F27" s="13"/>
      <c r="G27" s="13" t="s">
        <v>24</v>
      </c>
      <c r="H27" s="13"/>
      <c r="I27" s="13"/>
      <c r="J27" s="22">
        <v>0.015</v>
      </c>
      <c r="K27" s="1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3"/>
      <c r="B28" s="13" t="s">
        <v>25</v>
      </c>
      <c r="C28" s="13"/>
      <c r="D28" s="13"/>
      <c r="E28" s="13">
        <v>4.0</v>
      </c>
      <c r="F28" s="13"/>
      <c r="G28" s="13" t="s">
        <v>26</v>
      </c>
      <c r="H28" s="13"/>
      <c r="I28" s="13"/>
      <c r="J28" s="20">
        <v>0.03</v>
      </c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3"/>
      <c r="B29" s="13" t="s">
        <v>27</v>
      </c>
      <c r="C29" s="13"/>
      <c r="D29" s="13"/>
      <c r="E29" s="11" t="s">
        <v>28</v>
      </c>
      <c r="F29" s="13"/>
      <c r="G29" s="13" t="s">
        <v>29</v>
      </c>
      <c r="H29" s="13"/>
      <c r="I29" s="13"/>
      <c r="J29" s="20">
        <v>0.15</v>
      </c>
      <c r="K29" s="1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3"/>
      <c r="B30" s="13"/>
      <c r="C30" s="13"/>
      <c r="D30" s="13"/>
      <c r="E30" s="13"/>
      <c r="F30" s="13"/>
      <c r="G30" s="13"/>
      <c r="H30" s="13"/>
      <c r="I30" s="13"/>
      <c r="J30" s="20"/>
      <c r="K30" s="1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3"/>
      <c r="B31" s="13"/>
      <c r="C31" s="13"/>
      <c r="D31" s="13"/>
      <c r="E31" s="13"/>
      <c r="F31" s="13"/>
      <c r="G31" s="13"/>
      <c r="H31" s="13"/>
      <c r="I31" s="13"/>
      <c r="J31" s="20"/>
      <c r="K31" s="1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23" t="s"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24"/>
      <c r="B33" s="25" t="s">
        <v>31</v>
      </c>
      <c r="C33" s="24"/>
      <c r="D33" s="24"/>
      <c r="E33" s="26">
        <v>43070.0</v>
      </c>
      <c r="F33" s="26">
        <v>43435.0</v>
      </c>
      <c r="G33" s="26">
        <v>43800.0</v>
      </c>
      <c r="H33" s="26">
        <v>44166.0</v>
      </c>
      <c r="I33" s="26">
        <v>44531.0</v>
      </c>
      <c r="J33" s="26">
        <v>44896.0</v>
      </c>
      <c r="K33" s="26">
        <v>45261.0</v>
      </c>
      <c r="L33" s="27" t="s">
        <v>32</v>
      </c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3"/>
      <c r="B34" s="29" t="s">
        <v>33</v>
      </c>
      <c r="C34" s="13"/>
      <c r="D34" s="13"/>
      <c r="E34" s="14">
        <f t="shared" ref="E34:K34" si="5">SUM(E7:E9)-SUM(E10:E11)</f>
        <v>134</v>
      </c>
      <c r="F34" s="14">
        <f t="shared" si="5"/>
        <v>144</v>
      </c>
      <c r="G34" s="14">
        <f t="shared" si="5"/>
        <v>153</v>
      </c>
      <c r="H34" s="14">
        <f t="shared" si="5"/>
        <v>165</v>
      </c>
      <c r="I34" s="14">
        <f t="shared" si="5"/>
        <v>176</v>
      </c>
      <c r="J34" s="14">
        <f t="shared" si="5"/>
        <v>187</v>
      </c>
      <c r="K34" s="14">
        <f t="shared" si="5"/>
        <v>200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3"/>
      <c r="B36" s="29" t="s">
        <v>19</v>
      </c>
      <c r="C36" s="13"/>
      <c r="D36" s="13"/>
      <c r="E36" s="14">
        <f t="shared" ref="E36:K36" si="6">E23</f>
        <v>70</v>
      </c>
      <c r="F36" s="14">
        <f t="shared" si="6"/>
        <v>77</v>
      </c>
      <c r="G36" s="14">
        <f t="shared" si="6"/>
        <v>83</v>
      </c>
      <c r="H36" s="14">
        <f t="shared" si="6"/>
        <v>90</v>
      </c>
      <c r="I36" s="14">
        <f t="shared" si="6"/>
        <v>98</v>
      </c>
      <c r="J36" s="14">
        <f t="shared" si="6"/>
        <v>107</v>
      </c>
      <c r="K36" s="14">
        <f t="shared" si="6"/>
        <v>115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3"/>
      <c r="B37" s="29" t="s">
        <v>34</v>
      </c>
      <c r="C37" s="13"/>
      <c r="D37" s="13"/>
      <c r="E37" s="13">
        <f>E26*E36</f>
        <v>17.5</v>
      </c>
      <c r="F37" s="13">
        <f>E26*F36</f>
        <v>19.25</v>
      </c>
      <c r="G37" s="13">
        <f>E26*G36</f>
        <v>20.75</v>
      </c>
      <c r="H37" s="13">
        <f>E26*H36</f>
        <v>22.5</v>
      </c>
      <c r="I37" s="13">
        <f>E$26*I36</f>
        <v>24.5</v>
      </c>
      <c r="J37" s="13">
        <f>E26*J36</f>
        <v>26.75</v>
      </c>
      <c r="K37" s="13">
        <f>E26*K36</f>
        <v>28.75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3"/>
      <c r="B38" s="23" t="s">
        <v>35</v>
      </c>
      <c r="C38" s="13"/>
      <c r="D38" s="13"/>
      <c r="E38" s="30">
        <f t="shared" ref="E38:K38" si="7">E36-E37</f>
        <v>52.5</v>
      </c>
      <c r="F38" s="30">
        <f t="shared" si="7"/>
        <v>57.75</v>
      </c>
      <c r="G38" s="30">
        <f t="shared" si="7"/>
        <v>62.25</v>
      </c>
      <c r="H38" s="30">
        <f t="shared" si="7"/>
        <v>67.5</v>
      </c>
      <c r="I38" s="30">
        <f t="shared" si="7"/>
        <v>73.5</v>
      </c>
      <c r="J38" s="30">
        <f t="shared" si="7"/>
        <v>80.25</v>
      </c>
      <c r="K38" s="30">
        <f t="shared" si="7"/>
        <v>86.25</v>
      </c>
      <c r="L38" s="31">
        <f>K38*(1+J28)</f>
        <v>88.8375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3"/>
      <c r="B39" s="29" t="s">
        <v>36</v>
      </c>
      <c r="C39" s="13"/>
      <c r="D39" s="13"/>
      <c r="E39" s="29" t="s">
        <v>37</v>
      </c>
      <c r="F39" s="14">
        <f t="shared" ref="F39:K39" si="8"> (SUM(F7:F9) -SUM(E7:E9))- (SUM(F10:F11)-SUM(E10:E11))</f>
        <v>10</v>
      </c>
      <c r="G39" s="14">
        <f t="shared" si="8"/>
        <v>9</v>
      </c>
      <c r="H39" s="14">
        <f t="shared" si="8"/>
        <v>12</v>
      </c>
      <c r="I39" s="14">
        <f t="shared" si="8"/>
        <v>11</v>
      </c>
      <c r="J39" s="14">
        <f t="shared" si="8"/>
        <v>11</v>
      </c>
      <c r="K39" s="14">
        <f t="shared" si="8"/>
        <v>13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3"/>
      <c r="B40" s="29" t="s">
        <v>38</v>
      </c>
      <c r="C40" s="13"/>
      <c r="D40" s="13"/>
      <c r="E40" s="14">
        <f t="shared" ref="E40:K40" si="9">E22</f>
        <v>50</v>
      </c>
      <c r="F40" s="14">
        <f t="shared" si="9"/>
        <v>52</v>
      </c>
      <c r="G40" s="14">
        <f t="shared" si="9"/>
        <v>54</v>
      </c>
      <c r="H40" s="14">
        <f t="shared" si="9"/>
        <v>56</v>
      </c>
      <c r="I40" s="14">
        <f t="shared" si="9"/>
        <v>59</v>
      </c>
      <c r="J40" s="14">
        <f t="shared" si="9"/>
        <v>62</v>
      </c>
      <c r="K40" s="14">
        <f t="shared" si="9"/>
        <v>65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3"/>
      <c r="B41" s="29" t="s">
        <v>39</v>
      </c>
      <c r="C41" s="13"/>
      <c r="D41" s="13"/>
      <c r="E41" s="13"/>
      <c r="F41" s="14">
        <f t="shared" ref="F41:K41" si="10">F6-E6+F40</f>
        <v>53</v>
      </c>
      <c r="G41" s="14">
        <f t="shared" si="10"/>
        <v>55</v>
      </c>
      <c r="H41" s="14">
        <f t="shared" si="10"/>
        <v>57</v>
      </c>
      <c r="I41" s="14">
        <f t="shared" si="10"/>
        <v>61</v>
      </c>
      <c r="J41" s="14">
        <f t="shared" si="10"/>
        <v>63</v>
      </c>
      <c r="K41" s="14">
        <f t="shared" si="10"/>
        <v>66</v>
      </c>
      <c r="L41" s="1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0"/>
      <c r="B42" s="23" t="s">
        <v>40</v>
      </c>
      <c r="C42" s="13"/>
      <c r="D42" s="13"/>
      <c r="E42" s="29" t="s">
        <v>37</v>
      </c>
      <c r="F42" s="30">
        <f t="shared" ref="F42:K42" si="11">F38+F40-F41-F39</f>
        <v>46.75</v>
      </c>
      <c r="G42" s="30">
        <f t="shared" si="11"/>
        <v>52.25</v>
      </c>
      <c r="H42" s="30">
        <f t="shared" si="11"/>
        <v>54.5</v>
      </c>
      <c r="I42" s="30">
        <f t="shared" si="11"/>
        <v>60.5</v>
      </c>
      <c r="J42" s="30">
        <f t="shared" si="11"/>
        <v>68.25</v>
      </c>
      <c r="K42" s="30">
        <f t="shared" si="11"/>
        <v>72.25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3"/>
      <c r="B43" s="29" t="s">
        <v>41</v>
      </c>
      <c r="C43" s="13"/>
      <c r="D43" s="13"/>
      <c r="E43" s="29" t="s">
        <v>37</v>
      </c>
      <c r="F43" s="32">
        <f>1/(1+$E$27)</f>
        <v>0.9090909091</v>
      </c>
      <c r="G43" s="32">
        <f t="shared" ref="G43:K43" si="12">F43/(1+$E$27)</f>
        <v>0.826446281</v>
      </c>
      <c r="H43" s="32">
        <f t="shared" si="12"/>
        <v>0.7513148009</v>
      </c>
      <c r="I43" s="32">
        <f t="shared" si="12"/>
        <v>0.6830134554</v>
      </c>
      <c r="J43" s="32">
        <f t="shared" si="12"/>
        <v>0.6209213231</v>
      </c>
      <c r="K43" s="32">
        <f t="shared" si="12"/>
        <v>0.5644739301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3"/>
      <c r="B44" s="23" t="s">
        <v>42</v>
      </c>
      <c r="C44" s="13"/>
      <c r="D44" s="13"/>
      <c r="E44" s="29" t="s">
        <v>37</v>
      </c>
      <c r="F44" s="32">
        <f t="shared" ref="F44:K44" si="13">F43*F42</f>
        <v>42.5</v>
      </c>
      <c r="G44" s="32">
        <f t="shared" si="13"/>
        <v>43.18181818</v>
      </c>
      <c r="H44" s="32">
        <f t="shared" si="13"/>
        <v>40.94665665</v>
      </c>
      <c r="I44" s="32">
        <f t="shared" si="13"/>
        <v>41.32231405</v>
      </c>
      <c r="J44" s="32">
        <f t="shared" si="13"/>
        <v>42.3778803</v>
      </c>
      <c r="K44" s="32">
        <f t="shared" si="13"/>
        <v>40.78324145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3"/>
      <c r="B46" s="23" t="s">
        <v>43</v>
      </c>
      <c r="C46" s="13"/>
      <c r="D46" s="33">
        <f>SUM(F44:K44)</f>
        <v>251.1119106</v>
      </c>
      <c r="E46" s="13"/>
      <c r="F46" s="13"/>
      <c r="G46" s="13"/>
      <c r="H46" s="13"/>
      <c r="I46" s="13"/>
      <c r="J46" s="13"/>
      <c r="K46" s="1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3"/>
      <c r="B48" s="29" t="s">
        <v>44</v>
      </c>
      <c r="C48" s="13"/>
      <c r="D48" s="32">
        <f>L38*(1-$J$28/$J$29)/($E$27-$J$28)</f>
        <v>1015.285714</v>
      </c>
      <c r="E48" s="13"/>
      <c r="F48" s="13"/>
      <c r="G48" s="13"/>
      <c r="H48" s="13"/>
      <c r="I48" s="13"/>
      <c r="J48" s="13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3"/>
      <c r="B49" s="23" t="s">
        <v>45</v>
      </c>
      <c r="C49" s="13"/>
      <c r="D49" s="32">
        <f>D48*K43</f>
        <v>573.1023173</v>
      </c>
      <c r="E49" s="13"/>
      <c r="F49" s="13"/>
      <c r="G49" s="13"/>
      <c r="H49" s="13"/>
      <c r="I49" s="13"/>
      <c r="J49" s="13"/>
      <c r="K49" s="1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3"/>
      <c r="B51" s="29" t="s">
        <v>43</v>
      </c>
      <c r="C51" s="13"/>
      <c r="D51" s="32">
        <f>D46</f>
        <v>251.1119106</v>
      </c>
      <c r="E51" s="13"/>
      <c r="F51" s="13"/>
      <c r="G51" s="13"/>
      <c r="H51" s="13"/>
      <c r="I51" s="13"/>
      <c r="J51" s="13"/>
      <c r="K51" s="1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3"/>
      <c r="B52" s="23" t="s">
        <v>46</v>
      </c>
      <c r="C52" s="13"/>
      <c r="D52" s="32">
        <f>SUM(D51,D49)</f>
        <v>824.2142279</v>
      </c>
      <c r="E52" s="13"/>
      <c r="F52" s="13"/>
      <c r="G52" s="13"/>
      <c r="H52" s="13"/>
      <c r="I52" s="13"/>
      <c r="J52" s="13"/>
      <c r="K52" s="1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3"/>
      <c r="B55" s="29" t="s">
        <v>47</v>
      </c>
      <c r="C55" s="13"/>
      <c r="D55" s="29">
        <v>4.0</v>
      </c>
      <c r="E55" s="29">
        <v>4.0</v>
      </c>
      <c r="F55" s="29">
        <v>4.0</v>
      </c>
      <c r="G55" s="29">
        <v>4.0</v>
      </c>
      <c r="H55" s="29">
        <v>4.0</v>
      </c>
      <c r="I55" s="29">
        <v>4.0</v>
      </c>
      <c r="J55" s="29">
        <v>4.0</v>
      </c>
      <c r="K55" s="29">
        <v>4.0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3"/>
      <c r="B56" s="29" t="s">
        <v>48</v>
      </c>
      <c r="C56" s="13"/>
      <c r="D56" s="29" t="s">
        <v>37</v>
      </c>
      <c r="E56" s="13">
        <f t="shared" ref="E56:K56" si="14">E21*D55</f>
        <v>480</v>
      </c>
      <c r="F56" s="13">
        <f t="shared" si="14"/>
        <v>516</v>
      </c>
      <c r="G56" s="13">
        <f t="shared" si="14"/>
        <v>548</v>
      </c>
      <c r="H56" s="13">
        <f t="shared" si="14"/>
        <v>584</v>
      </c>
      <c r="I56" s="13">
        <f t="shared" si="14"/>
        <v>628</v>
      </c>
      <c r="J56" s="13">
        <f t="shared" si="14"/>
        <v>676</v>
      </c>
      <c r="K56" s="13">
        <f t="shared" si="14"/>
        <v>720</v>
      </c>
      <c r="L56" s="1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3"/>
      <c r="B57" s="29" t="s">
        <v>49</v>
      </c>
      <c r="C57" s="13"/>
      <c r="D57" s="29" t="s">
        <v>37</v>
      </c>
      <c r="E57" s="29" t="s">
        <v>37</v>
      </c>
      <c r="F57" s="13">
        <f>AVERAGE(E56:F56)*(J26+J27)</f>
        <v>22.41</v>
      </c>
      <c r="G57" s="13">
        <f>AVERAGE(F56:G56)*(J26+J27)</f>
        <v>23.94</v>
      </c>
      <c r="H57" s="13">
        <f>AVERAGE(G56:H56)*(J26+J27)</f>
        <v>25.47</v>
      </c>
      <c r="I57" s="13">
        <f>AVERAGE(H56:I56)*(J26+J27)</f>
        <v>27.27</v>
      </c>
      <c r="J57" s="13">
        <f>AVERAGE(I56:J56)*(J26+J27)</f>
        <v>29.34</v>
      </c>
      <c r="K57" s="13">
        <f>AVERAGE(J56:K56)*(J26+J27)</f>
        <v>31.41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3"/>
      <c r="B58" s="29" t="s">
        <v>50</v>
      </c>
      <c r="C58" s="13"/>
      <c r="D58" s="13"/>
      <c r="E58" s="29" t="s">
        <v>37</v>
      </c>
      <c r="F58" s="13">
        <f>E$26*F57</f>
        <v>5.6025</v>
      </c>
      <c r="G58" s="13">
        <f>E$26*G57</f>
        <v>5.985</v>
      </c>
      <c r="H58" s="13">
        <f>E$26*H57</f>
        <v>6.3675</v>
      </c>
      <c r="I58" s="13">
        <f>E$26*I57</f>
        <v>6.8175</v>
      </c>
      <c r="J58" s="13">
        <f>E$26*J57</f>
        <v>7.335</v>
      </c>
      <c r="K58" s="13">
        <f>E$26*K57</f>
        <v>7.8525</v>
      </c>
      <c r="L58" s="34">
        <f>+K58*(1+$J$28)</f>
        <v>8.088075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3"/>
      <c r="B59" s="29" t="s">
        <v>41</v>
      </c>
      <c r="C59" s="13"/>
      <c r="D59" s="13"/>
      <c r="E59" s="29" t="s">
        <v>37</v>
      </c>
      <c r="F59" s="32">
        <f>1/(1+E27)</f>
        <v>0.9090909091</v>
      </c>
      <c r="G59" s="32">
        <f>F59/(1+E27)</f>
        <v>0.826446281</v>
      </c>
      <c r="H59" s="32">
        <f>G59/(1+E27)</f>
        <v>0.7513148009</v>
      </c>
      <c r="I59" s="32">
        <f>H59/(1+E27)</f>
        <v>0.6830134554</v>
      </c>
      <c r="J59" s="32">
        <f>I59/(1+E27)</f>
        <v>0.6209213231</v>
      </c>
      <c r="K59" s="32">
        <f>J59/(1+E27)</f>
        <v>0.5644739301</v>
      </c>
      <c r="L59" s="32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13"/>
      <c r="B60" s="23" t="s">
        <v>51</v>
      </c>
      <c r="C60" s="13"/>
      <c r="D60" s="13"/>
      <c r="E60" s="13"/>
      <c r="F60" s="32">
        <f t="shared" ref="F60:K60" si="15">F58*F59</f>
        <v>5.093181818</v>
      </c>
      <c r="G60" s="32">
        <f t="shared" si="15"/>
        <v>4.946280992</v>
      </c>
      <c r="H60" s="32">
        <f t="shared" si="15"/>
        <v>4.783996995</v>
      </c>
      <c r="I60" s="32">
        <f t="shared" si="15"/>
        <v>4.656444232</v>
      </c>
      <c r="J60" s="32">
        <f t="shared" si="15"/>
        <v>4.554457905</v>
      </c>
      <c r="K60" s="32">
        <f t="shared" si="15"/>
        <v>4.432531536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19"/>
      <c r="B62" s="23" t="s">
        <v>43</v>
      </c>
      <c r="C62" s="13"/>
      <c r="D62" s="32">
        <f>SUM(F60:K60)</f>
        <v>28.46689348</v>
      </c>
      <c r="E62" s="13"/>
      <c r="F62" s="13"/>
      <c r="G62" s="13"/>
      <c r="H62" s="13"/>
      <c r="I62" s="13"/>
      <c r="J62" s="13"/>
      <c r="K62" s="13"/>
      <c r="L62" s="21"/>
      <c r="M62" s="2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1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21"/>
      <c r="M63" s="2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19"/>
      <c r="B64" s="29" t="s">
        <v>52</v>
      </c>
      <c r="C64" s="13"/>
      <c r="D64" s="32">
        <f>L58/($E$27-$J$28)</f>
        <v>115.5439286</v>
      </c>
      <c r="E64" s="13"/>
      <c r="F64" s="13"/>
      <c r="G64" s="13"/>
      <c r="H64" s="13"/>
      <c r="I64" s="13"/>
      <c r="J64" s="13"/>
      <c r="K64" s="13"/>
      <c r="L64" s="21"/>
      <c r="M64" s="21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1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21"/>
      <c r="M65" s="2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19"/>
      <c r="B66" s="23" t="s">
        <v>53</v>
      </c>
      <c r="C66" s="13"/>
      <c r="D66" s="32">
        <f>D64*K59</f>
        <v>65.22153545</v>
      </c>
      <c r="E66" s="13"/>
      <c r="F66" s="13"/>
      <c r="G66" s="13"/>
      <c r="H66" s="13"/>
      <c r="I66" s="13"/>
      <c r="J66" s="13"/>
      <c r="K66" s="13"/>
      <c r="L66" s="21"/>
      <c r="M66" s="21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1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21"/>
      <c r="M67" s="2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1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21"/>
      <c r="M68" s="2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19"/>
      <c r="B69" s="35" t="s">
        <v>54</v>
      </c>
      <c r="C69" s="13"/>
      <c r="D69" s="36">
        <f>D62+D66</f>
        <v>93.68842893</v>
      </c>
      <c r="E69" s="13"/>
      <c r="F69" s="13"/>
      <c r="G69" s="13"/>
      <c r="H69" s="13"/>
      <c r="I69" s="13"/>
      <c r="J69" s="13"/>
      <c r="K69" s="13"/>
      <c r="L69" s="21"/>
      <c r="M69" s="2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21"/>
      <c r="M70" s="21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19"/>
      <c r="B71" s="23" t="s">
        <v>55</v>
      </c>
      <c r="C71" s="13"/>
      <c r="D71" s="32">
        <f>SUM(D52,D69)</f>
        <v>917.9026568</v>
      </c>
      <c r="E71" s="13"/>
      <c r="F71" s="13"/>
      <c r="G71" s="13"/>
      <c r="H71" s="13"/>
      <c r="I71" s="13"/>
      <c r="J71" s="13"/>
      <c r="K71" s="13"/>
      <c r="L71" s="21"/>
      <c r="M71" s="2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37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37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37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37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37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37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37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37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37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37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37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37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37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37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37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37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37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37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3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37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37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37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37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37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37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37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37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37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37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37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37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37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37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37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37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37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37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37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37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37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37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37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37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37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37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37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37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37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37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37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37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37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3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37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37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37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37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37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3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37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37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37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37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37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3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37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37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37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37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37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3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37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37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37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37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37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3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37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37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37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37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37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3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37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37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37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37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37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3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37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37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37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37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37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3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37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37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37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37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37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3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37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37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37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37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37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3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37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37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37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37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37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37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37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37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37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37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37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37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37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37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37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37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37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37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37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37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37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37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37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37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37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37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37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37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37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37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37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37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37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37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37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37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37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37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37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37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37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37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37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37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37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37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37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37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37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37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37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38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38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38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38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38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38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38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38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38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38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38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38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38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38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38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38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38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38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38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38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38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38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38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38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38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38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38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38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38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38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38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38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38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38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38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38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38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38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38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38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38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38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38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38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38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38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38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38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38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38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38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38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38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38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38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38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38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38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38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38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38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38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38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38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38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38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38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38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38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38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38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38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38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38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38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38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38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38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38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38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38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38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38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38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38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38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38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38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38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38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38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38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38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38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38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38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38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38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38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38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38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38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38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38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38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38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38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38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38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38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38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38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38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38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38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38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38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38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38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38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38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38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38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38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38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38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38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38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38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38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38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38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38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38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38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38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38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38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38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38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38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38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38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38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38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38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38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38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38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38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38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38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38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38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38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38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38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38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38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38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38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38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38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38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38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38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38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38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38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38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38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38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38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38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38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38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38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38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38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38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38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38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38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38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38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38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38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38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38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38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38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38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38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38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38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38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38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38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38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38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38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38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38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38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38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38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38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38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38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38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38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38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38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38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38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38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38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38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38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38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38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38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38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38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38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38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38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38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38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38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38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38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38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38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38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38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38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38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38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38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38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38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38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38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38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38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38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38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38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38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38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38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38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38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38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38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38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38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38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38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38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38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38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38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38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38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38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38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38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38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38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38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38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38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38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38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38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38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38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38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38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38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38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38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38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38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38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38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38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38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38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38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38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38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38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38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38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38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38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38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38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38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38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38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38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38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38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38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38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38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38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38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38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38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38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38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38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38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38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38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38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38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38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38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38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38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38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38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38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38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38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38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38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38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38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38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38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38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38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38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38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38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38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38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38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38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38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38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38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38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38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38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38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38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38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38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38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38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38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38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38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38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38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38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38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38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38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38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38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38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38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38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38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38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38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38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38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38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38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38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38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38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38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38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38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38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38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38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38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38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38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38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38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38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38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38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38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38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38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38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38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38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38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38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38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38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38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38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38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38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38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38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38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38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38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38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38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38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38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38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38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38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38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38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38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38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38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38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38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38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38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38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38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38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38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38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38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38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38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38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38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38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38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38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38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38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38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38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38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38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38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38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38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38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38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38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38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38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38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38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38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38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38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38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38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38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38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38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38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38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38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38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38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38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38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38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38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38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38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38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38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38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38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38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38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38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38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38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38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38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38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38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38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38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38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38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38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38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38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38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38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38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38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38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38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38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38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38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38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38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38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38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38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38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38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38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38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38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38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38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38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38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38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38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38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38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38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38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38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38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38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38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38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38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38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38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38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38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38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38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38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38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38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38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38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38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38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38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38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38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38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38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38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38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38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38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38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38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38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38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38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38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38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38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38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38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38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38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38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38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38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38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38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38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38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38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38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38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38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38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38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38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38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38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38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38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38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38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38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38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38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38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38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38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38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38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38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38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38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38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38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38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38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38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38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38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38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38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38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38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38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38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38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38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38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38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38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38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38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38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38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38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38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38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38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38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38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38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38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38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38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38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38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38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38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38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38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38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38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38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38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38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38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38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38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38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38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38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38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38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38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38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38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38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38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38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38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38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38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38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38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38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38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38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38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38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38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38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38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38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38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38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38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38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38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38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38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3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38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38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38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38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38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38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38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38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38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38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38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38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38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38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38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38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38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38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38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38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38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38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38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38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38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38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38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38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38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38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38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38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38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38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38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38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38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38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38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38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38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38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38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38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38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38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38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38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38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38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38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38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38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38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38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38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38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38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38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38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38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38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38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38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38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38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38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38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38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38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38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38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38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38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38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38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38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38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38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38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38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38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38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38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38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38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38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38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38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38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38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38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38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1:K1"/>
    <mergeCell ref="L1:M1"/>
    <mergeCell ref="A2:K2"/>
  </mergeCells>
  <printOptions/>
  <pageMargins bottom="0.75" footer="0.0" header="0.0" left="0.7" right="0.7" top="0.75"/>
  <pageSetup paperSize="9" orientation="portrait"/>
  <drawing r:id="rId1"/>
</worksheet>
</file>