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Master\S1\T-EmbHardw\Edge_detection\"/>
    </mc:Choice>
  </mc:AlternateContent>
  <xr:revisionPtr revIDLastSave="0" documentId="13_ncr:1_{DD332E3F-31C9-4F8A-99A1-63BD027780B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oft_opti" sheetId="1" r:id="rId1"/>
    <sheet name="cache_opti" sheetId="2" r:id="rId2"/>
    <sheet name="Evolution_op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3" l="1"/>
  <c r="N16" i="3" l="1"/>
  <c r="R16" i="3" l="1"/>
  <c r="L23" i="3"/>
  <c r="L24" i="3" s="1"/>
  <c r="L25" i="3" s="1"/>
  <c r="L26" i="3" s="1"/>
  <c r="K23" i="3"/>
  <c r="K24" i="3" s="1"/>
  <c r="K25" i="3" s="1"/>
  <c r="K26" i="3" s="1"/>
  <c r="K27" i="3" s="1"/>
  <c r="J23" i="3"/>
  <c r="J24" i="3" s="1"/>
  <c r="J25" i="3" s="1"/>
  <c r="J26" i="3" s="1"/>
  <c r="I27" i="3" s="1"/>
  <c r="E16" i="3"/>
  <c r="F16" i="3"/>
  <c r="G16" i="3"/>
  <c r="H16" i="3"/>
  <c r="I16" i="3"/>
  <c r="J16" i="3"/>
  <c r="K16" i="3"/>
  <c r="L16" i="3"/>
  <c r="M16" i="3"/>
  <c r="O16" i="3"/>
  <c r="P16" i="3"/>
  <c r="Q16" i="3"/>
  <c r="A3" i="3"/>
  <c r="G21" i="1"/>
  <c r="H21" i="1"/>
  <c r="I21" i="1"/>
  <c r="J21" i="1"/>
  <c r="K21" i="1"/>
  <c r="N21" i="1"/>
  <c r="O21" i="1"/>
  <c r="P21" i="1"/>
  <c r="Q21" i="1"/>
  <c r="R21" i="1"/>
  <c r="G22" i="1"/>
  <c r="H22" i="1"/>
  <c r="I22" i="1"/>
  <c r="J22" i="1"/>
  <c r="K22" i="1"/>
  <c r="N22" i="1"/>
  <c r="O22" i="1"/>
  <c r="P22" i="1"/>
  <c r="Q22" i="1"/>
  <c r="R22" i="1"/>
  <c r="F21" i="1"/>
  <c r="F22" i="1" s="1"/>
  <c r="E21" i="1"/>
  <c r="E22" i="1" s="1"/>
  <c r="C23" i="2"/>
  <c r="H17" i="3" l="1"/>
  <c r="H18" i="3" s="1"/>
  <c r="S17" i="3"/>
  <c r="S18" i="3" s="1"/>
  <c r="D17" i="3"/>
  <c r="D18" i="3" s="1"/>
  <c r="R17" i="3"/>
  <c r="R18" i="3" s="1"/>
  <c r="O17" i="3"/>
  <c r="O18" i="3" s="1"/>
  <c r="K17" i="3"/>
  <c r="K18" i="3" s="1"/>
  <c r="G17" i="3"/>
  <c r="G18" i="3" s="1"/>
  <c r="J27" i="3"/>
  <c r="L29" i="3" s="1"/>
  <c r="L27" i="3"/>
  <c r="N17" i="3"/>
  <c r="N18" i="3" s="1"/>
  <c r="J17" i="3"/>
  <c r="J18" i="3" s="1"/>
  <c r="F17" i="3"/>
  <c r="F18" i="3" s="1"/>
  <c r="Q17" i="3"/>
  <c r="Q18" i="3" s="1"/>
  <c r="M17" i="3"/>
  <c r="M18" i="3" s="1"/>
  <c r="I17" i="3"/>
  <c r="I18" i="3" s="1"/>
  <c r="E17" i="3"/>
  <c r="E18" i="3" s="1"/>
  <c r="P17" i="3"/>
  <c r="P18" i="3" s="1"/>
  <c r="L17" i="3"/>
  <c r="L18" i="3" s="1"/>
  <c r="D16" i="3"/>
  <c r="Q17" i="2"/>
  <c r="Q21" i="2" s="1"/>
  <c r="Q18" i="2"/>
  <c r="P17" i="2"/>
  <c r="P18" i="2"/>
  <c r="P21" i="2"/>
  <c r="P22" i="2" s="1"/>
  <c r="O18" i="2"/>
  <c r="O17" i="2"/>
  <c r="O21" i="2" s="1"/>
  <c r="N18" i="2"/>
  <c r="N17" i="2"/>
  <c r="N21" i="2" s="1"/>
  <c r="M17" i="2"/>
  <c r="M21" i="2" s="1"/>
  <c r="M18" i="2"/>
  <c r="L17" i="2"/>
  <c r="L21" i="2" s="1"/>
  <c r="L18" i="2"/>
  <c r="K17" i="2"/>
  <c r="K18" i="2"/>
  <c r="K29" i="3" l="1"/>
  <c r="K30" i="3" s="1"/>
  <c r="J29" i="3"/>
  <c r="J30" i="3" s="1"/>
  <c r="Q22" i="2"/>
  <c r="Q23" i="2"/>
  <c r="Q24" i="2" s="1"/>
  <c r="P23" i="2"/>
  <c r="P24" i="2" s="1"/>
  <c r="O23" i="2"/>
  <c r="O24" i="2" s="1"/>
  <c r="O22" i="2"/>
  <c r="N22" i="2"/>
  <c r="N23" i="2"/>
  <c r="N24" i="2" s="1"/>
  <c r="M22" i="2"/>
  <c r="M23" i="2"/>
  <c r="M24" i="2" s="1"/>
  <c r="L22" i="2"/>
  <c r="L23" i="2"/>
  <c r="L24" i="2" s="1"/>
  <c r="D31" i="2"/>
  <c r="D30" i="2"/>
  <c r="J17" i="2"/>
  <c r="J21" i="2" s="1"/>
  <c r="J18" i="2"/>
  <c r="K21" i="2"/>
  <c r="K22" i="2" s="1"/>
  <c r="I17" i="2"/>
  <c r="I21" i="2" s="1"/>
  <c r="I18" i="2"/>
  <c r="H18" i="2"/>
  <c r="H17" i="2"/>
  <c r="H21" i="2" s="1"/>
  <c r="G17" i="2"/>
  <c r="G18" i="2"/>
  <c r="G21" i="2"/>
  <c r="G22" i="2" s="1"/>
  <c r="K23" i="2" l="1"/>
  <c r="K24" i="2" s="1"/>
  <c r="J22" i="2"/>
  <c r="J23" i="2"/>
  <c r="J24" i="2" s="1"/>
  <c r="I22" i="2"/>
  <c r="I23" i="2"/>
  <c r="I24" i="2" s="1"/>
  <c r="H23" i="2"/>
  <c r="H24" i="2" s="1"/>
  <c r="H22" i="2"/>
  <c r="G23" i="2"/>
  <c r="G24" i="2" s="1"/>
  <c r="F17" i="2"/>
  <c r="F21" i="2" s="1"/>
  <c r="F18" i="2"/>
  <c r="D23" i="2"/>
  <c r="D21" i="2"/>
  <c r="D22" i="2"/>
  <c r="D24" i="2"/>
  <c r="E17" i="2"/>
  <c r="E21" i="2" s="1"/>
  <c r="E18" i="2"/>
  <c r="D17" i="2"/>
  <c r="D18" i="2"/>
  <c r="C17" i="2"/>
  <c r="C18" i="2"/>
  <c r="F23" i="2" l="1"/>
  <c r="F24" i="2" s="1"/>
  <c r="F22" i="2"/>
  <c r="E23" i="2"/>
  <c r="E24" i="2" s="1"/>
  <c r="E22" i="2"/>
  <c r="C21" i="2"/>
  <c r="B5" i="2" l="1"/>
  <c r="C24" i="2"/>
  <c r="C22" i="2"/>
  <c r="K20" i="1"/>
  <c r="K17" i="1"/>
  <c r="K18" i="1"/>
  <c r="H18" i="1"/>
  <c r="J17" i="1"/>
  <c r="J20" i="1" s="1"/>
  <c r="J18" i="1"/>
  <c r="H20" i="1"/>
  <c r="I17" i="1"/>
  <c r="I20" i="1" s="1"/>
  <c r="I18" i="1"/>
  <c r="H17" i="1" l="1"/>
  <c r="R17" i="1"/>
  <c r="R20" i="1" s="1"/>
  <c r="R18" i="1"/>
  <c r="Q17" i="1"/>
  <c r="Q20" i="1" s="1"/>
  <c r="Q18" i="1"/>
  <c r="P17" i="1"/>
  <c r="P20" i="1" s="1"/>
  <c r="P18" i="1"/>
  <c r="O17" i="1"/>
  <c r="O20" i="1" s="1"/>
  <c r="O18" i="1"/>
  <c r="N18" i="1"/>
  <c r="N17" i="1"/>
  <c r="N20" i="1" s="1"/>
  <c r="E17" i="1"/>
  <c r="E20" i="1" s="1"/>
  <c r="F17" i="1"/>
  <c r="F20" i="1" s="1"/>
  <c r="G17" i="1"/>
  <c r="G20" i="1" s="1"/>
  <c r="F18" i="1"/>
  <c r="G18" i="1"/>
  <c r="E18" i="1"/>
</calcChain>
</file>

<file path=xl/sharedStrings.xml><?xml version="1.0" encoding="utf-8"?>
<sst xmlns="http://schemas.openxmlformats.org/spreadsheetml/2006/main" count="127" uniqueCount="78">
  <si>
    <t xml:space="preserve"> -O1</t>
  </si>
  <si>
    <t xml:space="preserve"> -O2</t>
  </si>
  <si>
    <t xml:space="preserve"> -O3</t>
  </si>
  <si>
    <t>sobel_mac</t>
  </si>
  <si>
    <t xml:space="preserve"> -O0</t>
  </si>
  <si>
    <t>without inner loop</t>
  </si>
  <si>
    <t>without  outer loop</t>
  </si>
  <si>
    <r>
      <t xml:space="preserve">sobel_x          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</si>
  <si>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sobel_y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</si>
  <si>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sobel_threshold     </t>
    </r>
    <r>
      <rPr>
        <sz val="11"/>
        <color theme="1"/>
        <rFont val="Calibri"/>
        <family val="2"/>
        <scheme val="minor"/>
      </rPr>
      <t>(time [s])</t>
    </r>
  </si>
  <si>
    <t>Fonctions</t>
  </si>
  <si>
    <r>
      <t xml:space="preserve">Total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</si>
  <si>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conv_grayscale    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(time [s])</t>
    </r>
  </si>
  <si>
    <t>Cycles/pixel</t>
  </si>
  <si>
    <t>In-lining</t>
  </si>
  <si>
    <t>sobel_complete</t>
  </si>
  <si>
    <t>Pas vraiment d'amélioration car le nombre de caclul ne change uniquement des appels de fonctioncs</t>
  </si>
  <si>
    <t>Change opti : Clikc droite app -&gt; propriété -&gt; NIOS 2 App propriété</t>
  </si>
  <si>
    <t xml:space="preserve"> -O3 + sobel_x_y</t>
  </si>
  <si>
    <t xml:space="preserve"> -O3 + sobel_x_y_threshold</t>
  </si>
  <si>
    <t>same (black)</t>
  </si>
  <si>
    <t>change conv_gray</t>
  </si>
  <si>
    <t>image / seconde</t>
  </si>
  <si>
    <t>Seconde / image</t>
  </si>
  <si>
    <t>Cycles / pixel</t>
  </si>
  <si>
    <t>Cycles / image</t>
  </si>
  <si>
    <t>sec / inst</t>
  </si>
  <si>
    <t>sobel_complet     (time [s])</t>
  </si>
  <si>
    <t xml:space="preserve">512 * 384 = 196 608 </t>
  </si>
  <si>
    <t>(16 bits)</t>
  </si>
  <si>
    <t>sobel_x_y</t>
  </si>
  <si>
    <t>sobel_res</t>
  </si>
  <si>
    <t>(8 bits)</t>
  </si>
  <si>
    <t>Reverse write cache / main</t>
  </si>
  <si>
    <t>64Kb =&gt; no possible</t>
  </si>
  <si>
    <t>Dcache = 32KB</t>
  </si>
  <si>
    <t>Dcache = 16KB</t>
  </si>
  <si>
    <t>Dcache = 8KB</t>
  </si>
  <si>
    <t>Dcache = 4KB</t>
  </si>
  <si>
    <t>Dcache = 2KB</t>
  </si>
  <si>
    <t>Dcache = 1KB</t>
  </si>
  <si>
    <t>196 608 * 2 = 393 216 B</t>
  </si>
  <si>
    <t>393 216 / 1024 = 384 KB</t>
  </si>
  <si>
    <t>384/32 = 12</t>
  </si>
  <si>
    <t>384/16 = 24KB</t>
  </si>
  <si>
    <t>Sobel_2 (32KB)</t>
  </si>
  <si>
    <t>Sobel_3 (32KB)</t>
  </si>
  <si>
    <t>Gray_sobel  (32KB)</t>
  </si>
  <si>
    <t>read pixel from main mem</t>
  </si>
  <si>
    <t>read pixel from cache</t>
  </si>
  <si>
    <t>only visible  (32KB)</t>
  </si>
  <si>
    <t>only visible + 8x8 (32KB)</t>
  </si>
  <si>
    <t>with gray best (32KB)</t>
  </si>
  <si>
    <t>Mhz</t>
  </si>
  <si>
    <t>sec/inst</t>
  </si>
  <si>
    <t>Mode</t>
  </si>
  <si>
    <t>base</t>
  </si>
  <si>
    <t>sobel_complet</t>
  </si>
  <si>
    <t>Optimisation</t>
  </si>
  <si>
    <t>32KB</t>
  </si>
  <si>
    <t>Cache</t>
  </si>
  <si>
    <t>Div 16</t>
  </si>
  <si>
    <t>Only visible</t>
  </si>
  <si>
    <t>Div 64 + only visible</t>
  </si>
  <si>
    <t>-</t>
  </si>
  <si>
    <t>with gray best</t>
  </si>
  <si>
    <t>red</t>
  </si>
  <si>
    <t>green</t>
  </si>
  <si>
    <t>blue</t>
  </si>
  <si>
    <t>Time only grayscale CI</t>
  </si>
  <si>
    <t>Time only grayscale base</t>
  </si>
  <si>
    <t>Time only grayscale sol 1</t>
  </si>
  <si>
    <t>CI grayscale</t>
  </si>
  <si>
    <t>CI +threshold</t>
  </si>
  <si>
    <t>unrolling loop</t>
  </si>
  <si>
    <t>modif. conv_gray</t>
  </si>
  <si>
    <t xml:space="preserve"> Cache (32KB)</t>
  </si>
  <si>
    <t>384/64 = 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</si>
</sst>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11" fontId="0" fillId="0" borderId="9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1" fontId="0" fillId="0" borderId="10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0" xfId="0" applyFont="1"/>
    <xf numFmtId="1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7" xfId="0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1" fontId="0" fillId="0" borderId="25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1">
                <a:effectLst/>
              </a:rPr>
              <a:t>Optimisation en O0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/ pixel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(Evolution_opti!$D$14,Evolution_opti!$H$14,Evolution_opti!$I$14)</c:f>
              <c:strCache>
                <c:ptCount val="3"/>
                <c:pt idx="0">
                  <c:v>base</c:v>
                </c:pt>
                <c:pt idx="1">
                  <c:v>unrolling loop</c:v>
                </c:pt>
                <c:pt idx="2">
                  <c:v>sobel_complet</c:v>
                </c:pt>
              </c:strCache>
            </c:strRef>
          </c:cat>
          <c:val>
            <c:numRef>
              <c:f>(Evolution_opti!$D$16,Evolution_opti!$H$16,Evolution_opti!$I$16)</c:f>
              <c:numCache>
                <c:formatCode>0</c:formatCode>
                <c:ptCount val="3"/>
                <c:pt idx="0">
                  <c:v>8407.9532521565761</c:v>
                </c:pt>
                <c:pt idx="1">
                  <c:v>5339.3316802978516</c:v>
                </c:pt>
                <c:pt idx="2">
                  <c:v>5006.3968811035156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D52-8F57-774D553F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85968"/>
        <c:axId val="410887280"/>
      </c:barChart>
      <c:lineChart>
        <c:grouping val="standard"/>
        <c:varyColors val="0"/>
        <c:ser>
          <c:idx val="1"/>
          <c:order val="1"/>
          <c:tx>
            <c:v>Image /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(Evolution_opti!$D$14,Evolution_opti!$H$14,Evolution_opti!$I$14)</c:f>
              <c:strCache>
                <c:ptCount val="3"/>
                <c:pt idx="0">
                  <c:v>base</c:v>
                </c:pt>
                <c:pt idx="1">
                  <c:v>unrolling loop</c:v>
                </c:pt>
                <c:pt idx="2">
                  <c:v>sobel_complet</c:v>
                </c:pt>
              </c:strCache>
            </c:strRef>
          </c:cat>
          <c:val>
            <c:numRef>
              <c:f>(Evolution_opti!$D$18,Evolution_opti!$H$18,Evolution_opti!$I$18)</c:f>
              <c:numCache>
                <c:formatCode>0.000</c:formatCode>
                <c:ptCount val="3"/>
                <c:pt idx="0">
                  <c:v>3.0246737037511153E-2</c:v>
                </c:pt>
                <c:pt idx="1">
                  <c:v>4.7630146667996462E-2</c:v>
                </c:pt>
                <c:pt idx="2">
                  <c:v>5.0797640914479525E-2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6-4D52-8F57-774D553F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81048"/>
        <c:axId val="410874816"/>
      </c:lineChart>
      <c:catAx>
        <c:axId val="4108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87280"/>
        <c:crosses val="autoZero"/>
        <c:auto val="1"/>
        <c:lblAlgn val="ctr"/>
        <c:lblOffset val="100"/>
        <c:noMultiLvlLbl val="0"/>
      </c:catAx>
      <c:valAx>
        <c:axId val="4108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85968"/>
        <c:crosses val="autoZero"/>
        <c:crossBetween val="between"/>
      </c:valAx>
      <c:valAx>
        <c:axId val="410874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881048"/>
        <c:crosses val="max"/>
        <c:crossBetween val="between"/>
      </c:valAx>
      <c:catAx>
        <c:axId val="410881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874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1" i="0" baseline="0">
                <a:effectLst/>
              </a:rPr>
              <a:t>Optimisation du compilateur</a:t>
            </a:r>
            <a:endParaRPr lang="fr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/ pixel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(Evolution_opti!$I$12,Evolution_opti!$E$12,Evolution_opti!$F$12,Evolution_opti!$J$12)</c:f>
              <c:strCache>
                <c:ptCount val="4"/>
                <c:pt idx="0">
                  <c:v> -O0</c:v>
                </c:pt>
                <c:pt idx="1">
                  <c:v> -O1</c:v>
                </c:pt>
                <c:pt idx="2">
                  <c:v> -O2</c:v>
                </c:pt>
                <c:pt idx="3">
                  <c:v> -O3</c:v>
                </c:pt>
              </c:strCache>
            </c:strRef>
          </c:cat>
          <c:val>
            <c:numRef>
              <c:f>(Evolution_opti!$I$16,Evolution_opti!$E$16,Evolution_opti!$F$16,Evolution_opti!$J$16)</c:f>
              <c:numCache>
                <c:formatCode>0</c:formatCode>
                <c:ptCount val="4"/>
                <c:pt idx="0">
                  <c:v>5006.3968811035156</c:v>
                </c:pt>
                <c:pt idx="1">
                  <c:v>1660.7251739501953</c:v>
                </c:pt>
                <c:pt idx="2">
                  <c:v>1426.6702219645183</c:v>
                </c:pt>
                <c:pt idx="3">
                  <c:v>453.66006469726563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4186-BB09-E673E5D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08416"/>
        <c:axId val="415108088"/>
      </c:barChart>
      <c:lineChart>
        <c:grouping val="standard"/>
        <c:varyColors val="0"/>
        <c:ser>
          <c:idx val="1"/>
          <c:order val="1"/>
          <c:tx>
            <c:v>Image /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(Evolution_opti!$D$12,Evolution_opti!$E$12,Evolution_opti!$F$12,Evolution_opti!$G$12)</c:f>
              <c:strCache>
                <c:ptCount val="4"/>
                <c:pt idx="0">
                  <c:v> -O0</c:v>
                </c:pt>
                <c:pt idx="1">
                  <c:v> -O1</c:v>
                </c:pt>
                <c:pt idx="2">
                  <c:v> -O2</c:v>
                </c:pt>
                <c:pt idx="3">
                  <c:v> -O3</c:v>
                </c:pt>
              </c:strCache>
            </c:strRef>
          </c:cat>
          <c:val>
            <c:numRef>
              <c:f>(Evolution_opti!$I$18,Evolution_opti!$E$18,Evolution_opti!$F$18,Evolution_opti!$J$18)</c:f>
              <c:numCache>
                <c:formatCode>0.000</c:formatCode>
                <c:ptCount val="4"/>
                <c:pt idx="0">
                  <c:v>5.0797640914479525E-2</c:v>
                </c:pt>
                <c:pt idx="1">
                  <c:v>0.15313379662738433</c:v>
                </c:pt>
                <c:pt idx="2">
                  <c:v>0.17825643735065744</c:v>
                </c:pt>
                <c:pt idx="3">
                  <c:v>0.56058086402507956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6-4186-BB09-E673E5D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13664"/>
        <c:axId val="415113336"/>
      </c:lineChart>
      <c:catAx>
        <c:axId val="4151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08088"/>
        <c:crosses val="autoZero"/>
        <c:auto val="1"/>
        <c:lblAlgn val="ctr"/>
        <c:lblOffset val="100"/>
        <c:noMultiLvlLbl val="0"/>
      </c:catAx>
      <c:valAx>
        <c:axId val="4151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08416"/>
        <c:crosses val="autoZero"/>
        <c:crossBetween val="between"/>
      </c:valAx>
      <c:valAx>
        <c:axId val="415113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13664"/>
        <c:crosses val="max"/>
        <c:crossBetween val="between"/>
      </c:valAx>
      <c:catAx>
        <c:axId val="4151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13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1" i="0" baseline="0">
                <a:effectLst/>
              </a:rPr>
              <a:t>Optimisation avancées</a:t>
            </a:r>
            <a:endParaRPr lang="fr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/ pixel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(Evolution_opti!$J$14,Evolution_opti!$K$14,Evolution_opti!$L$14,Evolution_opti!$O$14)</c:f>
              <c:strCache>
                <c:ptCount val="4"/>
                <c:pt idx="0">
                  <c:v>sobel_complet</c:v>
                </c:pt>
                <c:pt idx="1">
                  <c:v>modif. conv_gray</c:v>
                </c:pt>
                <c:pt idx="2">
                  <c:v> Cache (32KB)</c:v>
                </c:pt>
                <c:pt idx="3">
                  <c:v>Div 64 + only visible</c:v>
                </c:pt>
              </c:strCache>
            </c:strRef>
          </c:cat>
          <c:val>
            <c:numRef>
              <c:f>(Evolution_opti!$J$16,Evolution_opti!$K$16,Evolution_opti!$L$16,Evolution_opti!$O$16)</c:f>
              <c:numCache>
                <c:formatCode>0</c:formatCode>
                <c:ptCount val="4"/>
                <c:pt idx="0">
                  <c:v>453.66006469726563</c:v>
                </c:pt>
                <c:pt idx="1">
                  <c:v>290.53176371256512</c:v>
                </c:pt>
                <c:pt idx="2">
                  <c:v>87.116861979166671</c:v>
                </c:pt>
                <c:pt idx="3">
                  <c:v>37.102996826171875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307-BD0C-C8833057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22576"/>
        <c:axId val="319224872"/>
      </c:barChart>
      <c:lineChart>
        <c:grouping val="standard"/>
        <c:varyColors val="0"/>
        <c:ser>
          <c:idx val="1"/>
          <c:order val="1"/>
          <c:tx>
            <c:v>Image /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(Evolution_opti!$J$14,Evolution_opti!$K$14,Evolution_opti!$L$14,Evolution_opti!$O$14)</c:f>
              <c:strCache>
                <c:ptCount val="4"/>
                <c:pt idx="0">
                  <c:v>sobel_complet</c:v>
                </c:pt>
                <c:pt idx="1">
                  <c:v>modif. conv_gray</c:v>
                </c:pt>
                <c:pt idx="2">
                  <c:v> Cache (32KB)</c:v>
                </c:pt>
                <c:pt idx="3">
                  <c:v>Div 64 + only visible</c:v>
                </c:pt>
              </c:strCache>
            </c:strRef>
          </c:cat>
          <c:val>
            <c:numRef>
              <c:f>(Evolution_opti!$J$18,Evolution_opti!$K$18,Evolution_opti!$L$18,Evolution_opti!$O$18)</c:f>
              <c:numCache>
                <c:formatCode>0.000</c:formatCode>
                <c:ptCount val="4"/>
                <c:pt idx="0">
                  <c:v>0.56058086402507956</c:v>
                </c:pt>
                <c:pt idx="1">
                  <c:v>0.87533682304448135</c:v>
                </c:pt>
                <c:pt idx="2">
                  <c:v>2.9192184528235616</c:v>
                </c:pt>
                <c:pt idx="3">
                  <c:v>6.8542482493564538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9-4307-BD0C-C8833057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29136"/>
        <c:axId val="319229464"/>
      </c:lineChart>
      <c:catAx>
        <c:axId val="3192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224872"/>
        <c:crosses val="autoZero"/>
        <c:auto val="1"/>
        <c:lblAlgn val="ctr"/>
        <c:lblOffset val="100"/>
        <c:noMultiLvlLbl val="0"/>
      </c:catAx>
      <c:valAx>
        <c:axId val="3192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222576"/>
        <c:crosses val="autoZero"/>
        <c:crossBetween val="between"/>
      </c:valAx>
      <c:valAx>
        <c:axId val="31922946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229136"/>
        <c:crosses val="max"/>
        <c:crossBetween val="between"/>
      </c:valAx>
      <c:catAx>
        <c:axId val="31922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29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1" i="0" baseline="0">
                <a:effectLst/>
              </a:rPr>
              <a:t>Optimisation finales</a:t>
            </a:r>
            <a:endParaRPr lang="fr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/ pixel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(Evolution_opti!$O$14,Evolution_opti!$P$14,Evolution_opti!$Q$14,Evolution_opti!$R$14)</c:f>
              <c:strCache>
                <c:ptCount val="4"/>
                <c:pt idx="0">
                  <c:v>Div 64 + only visible</c:v>
                </c:pt>
                <c:pt idx="1">
                  <c:v>with gray best</c:v>
                </c:pt>
                <c:pt idx="2">
                  <c:v>CI grayscale</c:v>
                </c:pt>
                <c:pt idx="3">
                  <c:v>CI +threshold</c:v>
                </c:pt>
              </c:strCache>
            </c:strRef>
          </c:cat>
          <c:val>
            <c:numRef>
              <c:f>(Evolution_opti!$O$16,Evolution_opti!$P$16,Evolution_opti!$Q$16,Evolution_opti!$R$16)</c:f>
              <c:numCache>
                <c:formatCode>0</c:formatCode>
                <c:ptCount val="4"/>
                <c:pt idx="0">
                  <c:v>37.102996826171875</c:v>
                </c:pt>
                <c:pt idx="1">
                  <c:v>99.656005859375</c:v>
                </c:pt>
                <c:pt idx="2">
                  <c:v>36.897384643554688</c:v>
                </c:pt>
                <c:pt idx="3">
                  <c:v>31.790730794270832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CF5-B612-C8CA7646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24112"/>
        <c:axId val="525724768"/>
      </c:barChart>
      <c:lineChart>
        <c:grouping val="standard"/>
        <c:varyColors val="0"/>
        <c:ser>
          <c:idx val="1"/>
          <c:order val="1"/>
          <c:tx>
            <c:v>Image /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(Evolution_opti!$O$14,Evolution_opti!$P$14,Evolution_opti!$Q$14,Evolution_opti!$R$14)</c:f>
              <c:strCache>
                <c:ptCount val="4"/>
                <c:pt idx="0">
                  <c:v>Div 64 + only visible</c:v>
                </c:pt>
                <c:pt idx="1">
                  <c:v>with gray best</c:v>
                </c:pt>
                <c:pt idx="2">
                  <c:v>CI grayscale</c:v>
                </c:pt>
                <c:pt idx="3">
                  <c:v>CI +threshold</c:v>
                </c:pt>
              </c:strCache>
            </c:strRef>
          </c:cat>
          <c:val>
            <c:numRef>
              <c:f>(Evolution_opti!$O$18,Evolution_opti!$P$18,Evolution_opti!$Q$18,Evolution_opti!$R$18)</c:f>
              <c:numCache>
                <c:formatCode>0.000</c:formatCode>
                <c:ptCount val="4"/>
                <c:pt idx="0">
                  <c:v>6.8542482493564538</c:v>
                </c:pt>
                <c:pt idx="1">
                  <c:v>2.5519099310535185</c:v>
                </c:pt>
                <c:pt idx="2">
                  <c:v>6.8924438276166722</c:v>
                </c:pt>
                <c:pt idx="3">
                  <c:v>7.9996006599350569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8-4CF5-B612-C8CA7646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17224"/>
        <c:axId val="525718536"/>
      </c:lineChart>
      <c:catAx>
        <c:axId val="5257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724768"/>
        <c:crosses val="autoZero"/>
        <c:auto val="1"/>
        <c:lblAlgn val="ctr"/>
        <c:lblOffset val="100"/>
        <c:noMultiLvlLbl val="0"/>
      </c:catAx>
      <c:valAx>
        <c:axId val="5257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724112"/>
        <c:crosses val="autoZero"/>
        <c:crossBetween val="between"/>
      </c:valAx>
      <c:valAx>
        <c:axId val="525718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717224"/>
        <c:crosses val="max"/>
        <c:crossBetween val="between"/>
      </c:valAx>
      <c:catAx>
        <c:axId val="52571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718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237564</xdr:colOff>
      <xdr:row>28</xdr:row>
      <xdr:rowOff>170553</xdr:rowOff>
    </xdr:from>
    <xdr:to>
      <xdr:col>11</xdr:col>
      <xdr:colOff>588084</xdr:colOff>
      <xdr:row>43</xdr:row>
      <xdr:rowOff>178173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A7A767-5F5C-46D1-BABE-46600350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155251</xdr:colOff>
      <xdr:row>29</xdr:row>
      <xdr:rowOff>31784</xdr:rowOff>
    </xdr:from>
    <xdr:to>
      <xdr:col>17</xdr:col>
      <xdr:colOff>777891</xdr:colOff>
      <xdr:row>44</xdr:row>
      <xdr:rowOff>72533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5431B2-995D-405C-B451-AE6E8873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431202</xdr:colOff>
      <xdr:row>29</xdr:row>
      <xdr:rowOff>65665</xdr:rowOff>
    </xdr:from>
    <xdr:to>
      <xdr:col>23</xdr:col>
      <xdr:colOff>248322</xdr:colOff>
      <xdr:row>44</xdr:row>
      <xdr:rowOff>68355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7B4E61-5667-4B91-A0F7-8EB1628A4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22410</xdr:colOff>
      <xdr:row>9</xdr:row>
      <xdr:rowOff>161365</xdr:rowOff>
    </xdr:from>
    <xdr:to>
      <xdr:col>25</xdr:col>
      <xdr:colOff>649940</xdr:colOff>
      <xdr:row>23</xdr:row>
      <xdr:rowOff>26894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A10D931-7385-4F7E-AFC3-2E199680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22"/>
  <sheetViews>
    <sheetView topLeftCell="C1" workbookViewId="0">
      <selection activeCell="I18" sqref="I18"/>
    </sheetView>
  </sheetViews>
  <sheetFormatPr baseColWidth="10" defaultColWidth="8.88671875" defaultRowHeight="14.4" x14ac:dyDescent="0.3"/>
  <cols>
    <col min="4" max="4" width="18.77734375" customWidth="1"/>
    <col min="5" max="5" width="13.33203125" customWidth="1"/>
    <col min="7" max="7" width="11.33203125" customWidth="1"/>
    <col min="8" max="8" width="15.5546875" customWidth="1"/>
    <col min="9" max="9" width="14.21875" customWidth="1"/>
    <col min="11" max="11" width="14.21875" customWidth="1"/>
    <col min="12" max="12" width="13" customWidth="1"/>
  </cols>
  <sheetData>
    <row r="2" spans="4:22" ht="43.2" customHeight="1" x14ac:dyDescent="0.3">
      <c r="D2" t="s">
        <v>17</v>
      </c>
      <c r="N2" t="s">
        <v>4</v>
      </c>
      <c r="O2" s="1" t="s">
        <v>5</v>
      </c>
      <c r="P2" s="1" t="s">
        <v>6</v>
      </c>
      <c r="Q2" t="s">
        <v>14</v>
      </c>
      <c r="R2" s="1" t="s">
        <v>15</v>
      </c>
      <c r="S2" s="17" t="s">
        <v>16</v>
      </c>
      <c r="T2" s="17"/>
      <c r="U2" s="17"/>
      <c r="V2" s="17"/>
    </row>
    <row r="3" spans="4:22" x14ac:dyDescent="0.3">
      <c r="D3" s="26">
        <v>1.9999299999999999E-8</v>
      </c>
      <c r="M3" s="23" t="s">
        <v>3</v>
      </c>
    </row>
    <row r="6" spans="4:22" ht="12" customHeight="1" thickBot="1" x14ac:dyDescent="0.35">
      <c r="D6" s="2"/>
      <c r="E6" s="2"/>
      <c r="F6" s="2"/>
      <c r="G6" s="2"/>
    </row>
    <row r="7" spans="4:22" ht="16.8" customHeight="1" x14ac:dyDescent="0.3">
      <c r="D7" s="58" t="s">
        <v>10</v>
      </c>
      <c r="E7" s="60" t="s">
        <v>0</v>
      </c>
      <c r="F7" s="62" t="s">
        <v>1</v>
      </c>
      <c r="G7" s="64" t="s">
        <v>2</v>
      </c>
      <c r="H7" s="50" t="s">
        <v>18</v>
      </c>
      <c r="I7" s="50" t="s">
        <v>19</v>
      </c>
      <c r="J7" s="50" t="s">
        <v>20</v>
      </c>
      <c r="K7" s="50" t="s">
        <v>21</v>
      </c>
    </row>
    <row r="8" spans="4:22" ht="20.399999999999999" customHeight="1" thickBot="1" x14ac:dyDescent="0.35">
      <c r="D8" s="59"/>
      <c r="E8" s="61"/>
      <c r="F8" s="63"/>
      <c r="G8" s="65"/>
      <c r="H8" s="51"/>
      <c r="I8" s="51"/>
      <c r="J8" s="51"/>
      <c r="K8" s="51"/>
    </row>
    <row r="9" spans="4:22" ht="14.4" customHeight="1" x14ac:dyDescent="0.3">
      <c r="D9" s="52" t="s">
        <v>12</v>
      </c>
      <c r="E9" s="11">
        <v>41023261</v>
      </c>
      <c r="F9" s="12">
        <v>35440075</v>
      </c>
      <c r="G9" s="12">
        <v>36949267</v>
      </c>
      <c r="H9" s="13">
        <v>22187483</v>
      </c>
      <c r="I9" s="13">
        <v>44472010</v>
      </c>
      <c r="J9" s="13">
        <v>22104370</v>
      </c>
      <c r="K9" s="13">
        <v>13870962</v>
      </c>
      <c r="N9">
        <v>105606950</v>
      </c>
      <c r="O9">
        <v>105607137</v>
      </c>
      <c r="P9">
        <v>105605880</v>
      </c>
      <c r="Q9">
        <v>119092890</v>
      </c>
      <c r="R9">
        <v>106238207</v>
      </c>
    </row>
    <row r="10" spans="4:22" ht="14.4" customHeight="1" x14ac:dyDescent="0.3">
      <c r="D10" s="56"/>
      <c r="E10" s="19">
        <v>0.82</v>
      </c>
      <c r="F10" s="4">
        <v>0.70899999999999996</v>
      </c>
      <c r="G10" s="4">
        <v>0.73899999999999999</v>
      </c>
      <c r="H10" s="6">
        <v>0.44400000000000001</v>
      </c>
      <c r="I10" s="21">
        <v>0.88900000000000001</v>
      </c>
      <c r="J10" s="21">
        <v>0.442</v>
      </c>
      <c r="K10" s="21">
        <v>0.27700000000000002</v>
      </c>
      <c r="N10">
        <v>2.1120000000000001</v>
      </c>
      <c r="O10">
        <v>2.1120000000000001</v>
      </c>
      <c r="P10">
        <v>2.1120000000000001</v>
      </c>
      <c r="Q10">
        <v>2.3820000000000001</v>
      </c>
      <c r="R10">
        <v>2.125</v>
      </c>
    </row>
    <row r="11" spans="4:22" ht="14.4" customHeight="1" x14ac:dyDescent="0.3">
      <c r="D11" s="57" t="s">
        <v>7</v>
      </c>
      <c r="E11" s="20">
        <v>126245013</v>
      </c>
      <c r="F11" s="3">
        <v>106851659</v>
      </c>
      <c r="G11" s="3">
        <v>28779259</v>
      </c>
      <c r="H11" s="55">
        <v>37592632</v>
      </c>
      <c r="I11" s="45">
        <v>44721188</v>
      </c>
      <c r="J11" s="45">
        <v>43249907</v>
      </c>
      <c r="K11" s="45">
        <v>43249907</v>
      </c>
      <c r="N11">
        <v>722141975</v>
      </c>
      <c r="O11">
        <v>537022512</v>
      </c>
      <c r="P11">
        <v>419821493</v>
      </c>
      <c r="Q11">
        <v>403997638</v>
      </c>
      <c r="R11">
        <v>775887240</v>
      </c>
    </row>
    <row r="12" spans="4:22" ht="14.4" customHeight="1" x14ac:dyDescent="0.3">
      <c r="D12" s="56"/>
      <c r="E12" s="19">
        <v>2.5249999999999999</v>
      </c>
      <c r="F12" s="4">
        <v>2.137</v>
      </c>
      <c r="G12" s="4">
        <v>0.57599999999999996</v>
      </c>
      <c r="H12" s="55"/>
      <c r="I12" s="45"/>
      <c r="J12" s="45"/>
      <c r="K12" s="45"/>
      <c r="N12">
        <v>14.443</v>
      </c>
      <c r="O12">
        <v>10.74</v>
      </c>
      <c r="P12">
        <v>8.3960000000000008</v>
      </c>
      <c r="Q12">
        <v>8.08</v>
      </c>
      <c r="R12">
        <v>15.518000000000001</v>
      </c>
    </row>
    <row r="13" spans="4:22" ht="16.8" customHeight="1" x14ac:dyDescent="0.3">
      <c r="D13" s="57" t="s">
        <v>8</v>
      </c>
      <c r="E13" s="20">
        <v>126528413</v>
      </c>
      <c r="F13" s="3">
        <v>106908952</v>
      </c>
      <c r="G13" s="3">
        <v>26495106</v>
      </c>
      <c r="H13" s="54">
        <v>0.752</v>
      </c>
      <c r="I13" s="46"/>
      <c r="J13" s="46"/>
      <c r="K13" s="46"/>
      <c r="N13">
        <v>722357147</v>
      </c>
      <c r="O13">
        <v>537032049</v>
      </c>
      <c r="P13">
        <v>422010236</v>
      </c>
      <c r="Q13">
        <v>394611300</v>
      </c>
    </row>
    <row r="14" spans="4:22" ht="14.4" customHeight="1" x14ac:dyDescent="0.3">
      <c r="D14" s="56"/>
      <c r="E14" s="19">
        <v>2.5310000000000001</v>
      </c>
      <c r="F14" s="4">
        <v>2.1379999999999999</v>
      </c>
      <c r="G14" s="4">
        <v>0.53</v>
      </c>
      <c r="H14" s="54"/>
      <c r="I14" s="47">
        <v>0.89400000000000002</v>
      </c>
      <c r="J14" s="47">
        <v>0.86499999999999999</v>
      </c>
      <c r="K14" s="47">
        <v>0.86499999999999999</v>
      </c>
      <c r="N14">
        <v>14.446999999999999</v>
      </c>
      <c r="O14">
        <v>10.741</v>
      </c>
      <c r="P14">
        <v>8.44</v>
      </c>
      <c r="Q14">
        <v>7.8920000000000003</v>
      </c>
    </row>
    <row r="15" spans="4:22" ht="14.4" customHeight="1" x14ac:dyDescent="0.3">
      <c r="D15" s="57" t="s">
        <v>9</v>
      </c>
      <c r="E15" s="20">
        <v>32715168</v>
      </c>
      <c r="F15" s="3">
        <v>31294093</v>
      </c>
      <c r="G15" s="3">
        <v>31212364</v>
      </c>
      <c r="H15" s="5">
        <v>30387171</v>
      </c>
      <c r="I15" s="48"/>
      <c r="J15" s="48"/>
      <c r="K15" s="48"/>
      <c r="N15">
        <v>102964801</v>
      </c>
      <c r="O15">
        <v>103208846</v>
      </c>
      <c r="P15">
        <v>102317714</v>
      </c>
      <c r="Q15">
        <v>101950302</v>
      </c>
      <c r="R15">
        <v>102172231</v>
      </c>
    </row>
    <row r="16" spans="4:22" ht="15" customHeight="1" thickBot="1" x14ac:dyDescent="0.35">
      <c r="D16" s="53"/>
      <c r="E16" s="22">
        <v>0.65400000000000003</v>
      </c>
      <c r="F16" s="7">
        <v>0.626</v>
      </c>
      <c r="G16" s="7">
        <v>0.624</v>
      </c>
      <c r="H16" s="8">
        <v>0.60799999999999998</v>
      </c>
      <c r="I16" s="49"/>
      <c r="J16" s="49"/>
      <c r="K16" s="49"/>
      <c r="N16">
        <v>2.0590000000000002</v>
      </c>
      <c r="O16">
        <v>2.0640000000000001</v>
      </c>
      <c r="P16">
        <v>2.0459999999999998</v>
      </c>
      <c r="Q16">
        <v>2.0390000000000001</v>
      </c>
      <c r="R16">
        <v>2.0430000000000001</v>
      </c>
    </row>
    <row r="17" spans="4:18" ht="14.4" customHeight="1" thickBot="1" x14ac:dyDescent="0.35">
      <c r="D17" s="52" t="s">
        <v>11</v>
      </c>
      <c r="E17" s="18">
        <f t="shared" ref="E17:G18" si="0">SUM(E9,E11,E13,E15)</f>
        <v>326511855</v>
      </c>
      <c r="F17" s="9">
        <f t="shared" si="0"/>
        <v>280494779</v>
      </c>
      <c r="G17" s="10">
        <f t="shared" si="0"/>
        <v>123435996</v>
      </c>
      <c r="H17" s="10">
        <f>SUM(H9,H11,H15)</f>
        <v>90167286</v>
      </c>
      <c r="I17" s="25">
        <f>SUM(I9,I11)</f>
        <v>89193198</v>
      </c>
      <c r="J17" s="25">
        <f>SUM(J9,J11)</f>
        <v>65354277</v>
      </c>
      <c r="K17" s="25">
        <f>SUM(K9,K11)</f>
        <v>57120869</v>
      </c>
      <c r="M17" s="13"/>
      <c r="N17" s="13">
        <f t="shared" ref="N17:O17" si="1">SUM(N9,N11,N13,N15)</f>
        <v>1653070873</v>
      </c>
      <c r="O17" s="13">
        <f t="shared" si="1"/>
        <v>1282870544</v>
      </c>
      <c r="P17" s="13">
        <f t="shared" ref="P17:Q17" si="2">SUM(P9,P11,P13,P15)</f>
        <v>1049755323</v>
      </c>
      <c r="Q17" s="13">
        <f t="shared" si="2"/>
        <v>1019652130</v>
      </c>
      <c r="R17" s="13">
        <f t="shared" ref="R17" si="3">SUM(R9,R11,R13,R15)</f>
        <v>984297678</v>
      </c>
    </row>
    <row r="18" spans="4:18" ht="15" customHeight="1" thickBot="1" x14ac:dyDescent="0.35">
      <c r="D18" s="53"/>
      <c r="E18" s="14">
        <f t="shared" si="0"/>
        <v>6.5299999999999994</v>
      </c>
      <c r="F18" s="15">
        <f t="shared" si="0"/>
        <v>5.61</v>
      </c>
      <c r="G18" s="16">
        <f t="shared" si="0"/>
        <v>2.4689999999999999</v>
      </c>
      <c r="H18" s="16">
        <f>SUM(H10,H13,H16)</f>
        <v>1.8039999999999998</v>
      </c>
      <c r="I18" s="16">
        <f>SUM(I10,I14)</f>
        <v>1.7829999999999999</v>
      </c>
      <c r="J18" s="16">
        <f>SUM(J10,J14)</f>
        <v>1.3069999999999999</v>
      </c>
      <c r="K18" s="16">
        <f>SUM(K10,K14)</f>
        <v>1.1419999999999999</v>
      </c>
      <c r="N18" s="16">
        <f t="shared" ref="N18:O18" si="4">SUM(N10,N12,N14,N16)</f>
        <v>33.061</v>
      </c>
      <c r="O18" s="16">
        <f t="shared" si="4"/>
        <v>25.657</v>
      </c>
      <c r="P18" s="16">
        <f t="shared" ref="P18:Q18" si="5">SUM(P10,P12,P14,P16)</f>
        <v>20.994</v>
      </c>
      <c r="Q18" s="16">
        <f t="shared" si="5"/>
        <v>20.393000000000001</v>
      </c>
      <c r="R18" s="16">
        <f t="shared" ref="R18" si="6">SUM(R10,R12,R14,R16)</f>
        <v>19.686</v>
      </c>
    </row>
    <row r="20" spans="4:18" x14ac:dyDescent="0.3">
      <c r="D20" s="23" t="s">
        <v>13</v>
      </c>
      <c r="E20" s="24">
        <f t="shared" ref="E20:K20" si="7">E17/(512*384)</f>
        <v>1660.7251739501953</v>
      </c>
      <c r="F20" s="24">
        <f t="shared" si="7"/>
        <v>1426.6702219645183</v>
      </c>
      <c r="G20" s="24">
        <f t="shared" si="7"/>
        <v>627.82794189453125</v>
      </c>
      <c r="H20" s="24">
        <f t="shared" si="7"/>
        <v>458.61453247070313</v>
      </c>
      <c r="I20" s="24">
        <f t="shared" si="7"/>
        <v>453.66006469726563</v>
      </c>
      <c r="J20" s="24">
        <f t="shared" si="7"/>
        <v>332.40904235839844</v>
      </c>
      <c r="K20" s="24">
        <f t="shared" si="7"/>
        <v>290.53176371256512</v>
      </c>
      <c r="M20" s="23"/>
      <c r="N20" s="24">
        <f t="shared" ref="N20:Q20" si="8">N17/(512*384)</f>
        <v>8407.9532521565761</v>
      </c>
      <c r="O20" s="24">
        <f t="shared" si="8"/>
        <v>6525.017008463542</v>
      </c>
      <c r="P20" s="24">
        <f t="shared" si="8"/>
        <v>5339.3316802978516</v>
      </c>
      <c r="Q20" s="24">
        <f t="shared" si="8"/>
        <v>5186.2189229329424</v>
      </c>
      <c r="R20" s="24">
        <f t="shared" ref="R20" si="9">R17/(512*384)</f>
        <v>5006.3968811035156</v>
      </c>
    </row>
    <row r="21" spans="4:18" x14ac:dyDescent="0.3">
      <c r="D21" s="23" t="s">
        <v>23</v>
      </c>
      <c r="E21" s="28">
        <f>$D$3*E17</f>
        <v>6.5300085417014992</v>
      </c>
      <c r="F21" s="28">
        <f>$D$3*F17</f>
        <v>5.6096992336547</v>
      </c>
      <c r="G21" s="28">
        <f t="shared" ref="G21:R21" si="10">$D$3*G17</f>
        <v>2.4686335148028</v>
      </c>
      <c r="H21" s="28">
        <f t="shared" si="10"/>
        <v>1.8032826028997999</v>
      </c>
      <c r="I21" s="28">
        <f t="shared" si="10"/>
        <v>1.7838015247613999</v>
      </c>
      <c r="J21" s="28">
        <f t="shared" si="10"/>
        <v>1.3070397920060999</v>
      </c>
      <c r="K21" s="28">
        <f t="shared" si="10"/>
        <v>1.1423773953917</v>
      </c>
      <c r="L21" s="28"/>
      <c r="M21" s="28"/>
      <c r="N21" s="28">
        <f t="shared" si="10"/>
        <v>33.060260310388898</v>
      </c>
      <c r="O21" s="28">
        <f t="shared" si="10"/>
        <v>25.656512870619199</v>
      </c>
      <c r="P21" s="28">
        <f t="shared" si="10"/>
        <v>20.9943716312739</v>
      </c>
      <c r="Q21" s="28">
        <f t="shared" si="10"/>
        <v>20.392328843508999</v>
      </c>
      <c r="R21" s="28">
        <f t="shared" si="10"/>
        <v>19.685264551625398</v>
      </c>
    </row>
    <row r="22" spans="4:18" x14ac:dyDescent="0.3">
      <c r="D22" s="23" t="s">
        <v>22</v>
      </c>
      <c r="E22" s="29">
        <f>1/E21</f>
        <v>0.15313915649786178</v>
      </c>
      <c r="F22" s="29">
        <f>1/F21</f>
        <v>0.17826267654433647</v>
      </c>
      <c r="G22" s="29">
        <f t="shared" ref="G22:R22" si="11">1/G21</f>
        <v>0.4050824044977297</v>
      </c>
      <c r="H22" s="29">
        <f t="shared" si="11"/>
        <v>0.55454425079681502</v>
      </c>
      <c r="I22" s="29">
        <f t="shared" si="11"/>
        <v>0.56060048504205606</v>
      </c>
      <c r="J22" s="29">
        <f t="shared" si="11"/>
        <v>0.76508764776408056</v>
      </c>
      <c r="K22" s="29">
        <f t="shared" si="11"/>
        <v>0.87536746090561302</v>
      </c>
      <c r="L22" s="29"/>
      <c r="M22" s="29"/>
      <c r="N22" s="29">
        <f t="shared" si="11"/>
        <v>3.0247795710361021E-2</v>
      </c>
      <c r="O22" s="29">
        <f t="shared" si="11"/>
        <v>3.8976458143115761E-2</v>
      </c>
      <c r="P22" s="29">
        <f t="shared" si="11"/>
        <v>4.7631813781478814E-2</v>
      </c>
      <c r="Q22" s="29">
        <f t="shared" si="11"/>
        <v>4.9038047967645736E-2</v>
      </c>
      <c r="R22" s="29">
        <f t="shared" si="11"/>
        <v>5.079941889414083E-2</v>
      </c>
    </row>
  </sheetData>
  <mergeCells count="21">
    <mergeCell ref="I14:I16"/>
    <mergeCell ref="I11:I13"/>
    <mergeCell ref="I7:I8"/>
    <mergeCell ref="D17:D18"/>
    <mergeCell ref="H7:H8"/>
    <mergeCell ref="H13:H14"/>
    <mergeCell ref="H11:H12"/>
    <mergeCell ref="D9:D10"/>
    <mergeCell ref="D11:D12"/>
    <mergeCell ref="D15:D16"/>
    <mergeCell ref="D13:D14"/>
    <mergeCell ref="D7:D8"/>
    <mergeCell ref="E7:E8"/>
    <mergeCell ref="F7:F8"/>
    <mergeCell ref="G7:G8"/>
    <mergeCell ref="J11:J13"/>
    <mergeCell ref="J14:J16"/>
    <mergeCell ref="J7:J8"/>
    <mergeCell ref="K11:K13"/>
    <mergeCell ref="K14:K16"/>
    <mergeCell ref="K7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44B9-38D7-4B92-B2FA-FB5B2593DAAB}">
  <dimension ref="A4:Q32"/>
  <sheetViews>
    <sheetView tabSelected="1" topLeftCell="B10" workbookViewId="0">
      <selection activeCell="M29" sqref="M29"/>
    </sheetView>
  </sheetViews>
  <sheetFormatPr baseColWidth="10" defaultRowHeight="14.4" x14ac:dyDescent="0.3"/>
  <cols>
    <col min="2" max="2" width="20" customWidth="1"/>
    <col min="3" max="3" width="13.44140625" customWidth="1"/>
    <col min="4" max="4" width="15.44140625" customWidth="1"/>
    <col min="5" max="5" width="12.77734375" customWidth="1"/>
    <col min="6" max="6" width="12.44140625" customWidth="1"/>
    <col min="7" max="7" width="12.88671875" customWidth="1"/>
    <col min="8" max="8" width="12.33203125" customWidth="1"/>
    <col min="9" max="9" width="11.21875" customWidth="1"/>
    <col min="12" max="12" width="11.21875" customWidth="1"/>
    <col min="16" max="16" width="14.5546875" customWidth="1"/>
  </cols>
  <sheetData>
    <row r="4" spans="1:17" x14ac:dyDescent="0.3">
      <c r="A4" s="77" t="s">
        <v>26</v>
      </c>
      <c r="B4" s="26">
        <v>1.9999299999999999E-8</v>
      </c>
    </row>
    <row r="5" spans="1:17" ht="14.4" customHeight="1" x14ac:dyDescent="0.3">
      <c r="A5" s="77"/>
      <c r="B5" s="27">
        <f>C18/C17</f>
        <v>1.9995747696426576E-8</v>
      </c>
      <c r="M5" s="66" t="s">
        <v>49</v>
      </c>
      <c r="N5" s="66" t="s">
        <v>48</v>
      </c>
      <c r="O5" s="66" t="s">
        <v>49</v>
      </c>
      <c r="P5" s="66" t="s">
        <v>49</v>
      </c>
      <c r="Q5" s="66" t="s">
        <v>49</v>
      </c>
    </row>
    <row r="6" spans="1:17" ht="15" thickBot="1" x14ac:dyDescent="0.35">
      <c r="M6" s="67"/>
      <c r="N6" s="67"/>
      <c r="O6" s="67"/>
      <c r="P6" s="67"/>
      <c r="Q6" s="67"/>
    </row>
    <row r="7" spans="1:17" ht="16.2" customHeight="1" x14ac:dyDescent="0.3">
      <c r="B7" s="58" t="s">
        <v>10</v>
      </c>
      <c r="C7" s="60" t="s">
        <v>2</v>
      </c>
      <c r="D7" s="68" t="s">
        <v>33</v>
      </c>
      <c r="E7" s="68" t="s">
        <v>35</v>
      </c>
      <c r="F7" s="68" t="s">
        <v>36</v>
      </c>
      <c r="G7" s="68" t="s">
        <v>37</v>
      </c>
      <c r="H7" s="68" t="s">
        <v>38</v>
      </c>
      <c r="I7" s="68" t="s">
        <v>39</v>
      </c>
      <c r="J7" s="68" t="s">
        <v>40</v>
      </c>
      <c r="K7" s="68" t="s">
        <v>45</v>
      </c>
      <c r="L7" s="68" t="s">
        <v>46</v>
      </c>
      <c r="M7" s="68" t="s">
        <v>47</v>
      </c>
      <c r="N7" s="68" t="s">
        <v>47</v>
      </c>
      <c r="O7" s="68" t="s">
        <v>50</v>
      </c>
      <c r="P7" s="68" t="s">
        <v>51</v>
      </c>
      <c r="Q7" s="68" t="s">
        <v>52</v>
      </c>
    </row>
    <row r="8" spans="1:17" ht="24" customHeight="1" thickBot="1" x14ac:dyDescent="0.35">
      <c r="B8" s="59"/>
      <c r="C8" s="61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24" customHeight="1" x14ac:dyDescent="0.3">
      <c r="B9" s="52" t="s">
        <v>12</v>
      </c>
      <c r="C9" s="11">
        <v>14059110</v>
      </c>
      <c r="D9" s="11">
        <v>14143186</v>
      </c>
      <c r="E9" s="11">
        <v>5146110</v>
      </c>
      <c r="F9" s="11">
        <v>5200636</v>
      </c>
      <c r="G9" s="11">
        <v>5467616</v>
      </c>
      <c r="H9" s="11">
        <v>5682706</v>
      </c>
      <c r="I9" s="11">
        <v>6018719</v>
      </c>
      <c r="J9" s="11">
        <v>6986879</v>
      </c>
      <c r="K9" s="11">
        <v>5237668</v>
      </c>
      <c r="L9" s="11">
        <v>5133728</v>
      </c>
      <c r="M9" s="11">
        <v>16900625</v>
      </c>
      <c r="N9" s="11">
        <v>20379891</v>
      </c>
      <c r="O9" s="11">
        <v>8185165</v>
      </c>
      <c r="P9" s="11">
        <v>6984911</v>
      </c>
      <c r="Q9" s="11">
        <v>19593168</v>
      </c>
    </row>
    <row r="10" spans="1:17" ht="21" customHeight="1" x14ac:dyDescent="0.3">
      <c r="B10" s="56"/>
      <c r="C10" s="19">
        <v>0.28100000000000003</v>
      </c>
      <c r="D10" s="19">
        <v>0.28299999999999997</v>
      </c>
      <c r="E10" s="19">
        <v>0.10299999999999999</v>
      </c>
      <c r="F10" s="19">
        <v>0.104</v>
      </c>
      <c r="G10" s="19">
        <v>0.109</v>
      </c>
      <c r="H10" s="19">
        <v>0.114</v>
      </c>
      <c r="I10" s="19">
        <v>0.12</v>
      </c>
      <c r="J10" s="19">
        <v>0.14000000000000001</v>
      </c>
      <c r="K10" s="19">
        <v>0.105</v>
      </c>
      <c r="L10" s="19">
        <v>0.10299999999999999</v>
      </c>
      <c r="M10" s="19">
        <v>0.33800000000000002</v>
      </c>
      <c r="N10" s="19">
        <v>0.40799999999999997</v>
      </c>
      <c r="O10" s="19">
        <v>0.16400000000000001</v>
      </c>
      <c r="P10" s="19">
        <v>0.14000000000000001</v>
      </c>
      <c r="Q10" s="19">
        <v>0.39200000000000002</v>
      </c>
    </row>
    <row r="11" spans="1:17" ht="14.4" customHeight="1" x14ac:dyDescent="0.3">
      <c r="B11" s="57" t="s">
        <v>27</v>
      </c>
      <c r="C11" s="70">
        <v>44403320</v>
      </c>
      <c r="D11" s="70">
        <v>45042498</v>
      </c>
      <c r="E11" s="70">
        <v>11981762</v>
      </c>
      <c r="F11" s="70">
        <v>12066883</v>
      </c>
      <c r="G11" s="70">
        <v>12251381</v>
      </c>
      <c r="H11" s="70">
        <v>12493836</v>
      </c>
      <c r="I11" s="70">
        <v>13004573</v>
      </c>
      <c r="J11" s="70">
        <v>29626738</v>
      </c>
      <c r="K11" s="70">
        <v>14558273</v>
      </c>
      <c r="L11" s="70">
        <v>14689013</v>
      </c>
      <c r="M11" s="70"/>
      <c r="N11" s="70"/>
      <c r="O11" s="70"/>
      <c r="P11" s="70"/>
      <c r="Q11" s="70"/>
    </row>
    <row r="12" spans="1:17" ht="14.4" customHeight="1" x14ac:dyDescent="0.3">
      <c r="B12" s="76"/>
      <c r="C12" s="71"/>
      <c r="D12" s="71"/>
      <c r="E12" s="71"/>
      <c r="F12" s="71"/>
      <c r="G12" s="71"/>
      <c r="H12" s="71"/>
      <c r="I12" s="71"/>
      <c r="J12" s="71"/>
      <c r="K12" s="71"/>
      <c r="L12" s="71">
        <v>14689013</v>
      </c>
      <c r="M12" s="71"/>
      <c r="N12" s="71"/>
      <c r="O12" s="71"/>
      <c r="P12" s="71"/>
      <c r="Q12" s="71"/>
    </row>
    <row r="13" spans="1:17" ht="14.4" customHeight="1" x14ac:dyDescent="0.3">
      <c r="B13" s="76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17" ht="14.4" customHeight="1" x14ac:dyDescent="0.3">
      <c r="B14" s="76"/>
      <c r="C14" s="73">
        <v>0.88800000000000001</v>
      </c>
      <c r="D14" s="73">
        <v>0.90100000000000002</v>
      </c>
      <c r="E14" s="73">
        <v>0.24</v>
      </c>
      <c r="F14" s="73">
        <v>0.24099999999999999</v>
      </c>
      <c r="G14" s="73">
        <v>0.245</v>
      </c>
      <c r="H14" s="73">
        <v>0.25</v>
      </c>
      <c r="I14" s="73">
        <v>0.26</v>
      </c>
      <c r="J14" s="73">
        <v>0.59299999999999997</v>
      </c>
      <c r="K14" s="73">
        <v>0.29099999999999998</v>
      </c>
      <c r="L14" s="73">
        <v>0.29399999999999998</v>
      </c>
      <c r="M14" s="73"/>
      <c r="N14" s="73"/>
      <c r="O14" s="73"/>
      <c r="P14" s="73"/>
      <c r="Q14" s="73"/>
    </row>
    <row r="15" spans="1:17" ht="14.4" customHeight="1" x14ac:dyDescent="0.3">
      <c r="B15" s="76"/>
      <c r="C15" s="74"/>
      <c r="D15" s="74"/>
      <c r="E15" s="74"/>
      <c r="F15" s="74"/>
      <c r="G15" s="74"/>
      <c r="H15" s="74"/>
      <c r="I15" s="74"/>
      <c r="J15" s="74"/>
      <c r="K15" s="74"/>
      <c r="L15" s="74">
        <v>0.29399999999999998</v>
      </c>
      <c r="M15" s="74"/>
      <c r="N15" s="74"/>
      <c r="O15" s="74"/>
      <c r="P15" s="74"/>
      <c r="Q15" s="74"/>
    </row>
    <row r="16" spans="1:17" ht="15" customHeight="1" thickBot="1" x14ac:dyDescent="0.35">
      <c r="B16" s="53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 x14ac:dyDescent="0.3">
      <c r="B17" s="52" t="s">
        <v>11</v>
      </c>
      <c r="C17" s="18">
        <f t="shared" ref="C17:J17" si="0">SUM(C9,C11,)</f>
        <v>58462430</v>
      </c>
      <c r="D17" s="18">
        <f t="shared" si="0"/>
        <v>59185684</v>
      </c>
      <c r="E17" s="18">
        <f t="shared" si="0"/>
        <v>17127872</v>
      </c>
      <c r="F17" s="18">
        <f t="shared" si="0"/>
        <v>17267519</v>
      </c>
      <c r="G17" s="30">
        <f t="shared" si="0"/>
        <v>17718997</v>
      </c>
      <c r="H17" s="30">
        <f t="shared" si="0"/>
        <v>18176542</v>
      </c>
      <c r="I17" s="30">
        <f t="shared" si="0"/>
        <v>19023292</v>
      </c>
      <c r="J17" s="30">
        <f t="shared" si="0"/>
        <v>36613617</v>
      </c>
      <c r="K17" s="31">
        <f t="shared" ref="K17:L17" si="1">SUM(K9,K11,)</f>
        <v>19795941</v>
      </c>
      <c r="L17" s="31">
        <f t="shared" si="1"/>
        <v>19822741</v>
      </c>
      <c r="M17" s="31">
        <f>SUM(M9,M11,)</f>
        <v>16900625</v>
      </c>
      <c r="N17" s="31">
        <f>SUM(N9,N11,)</f>
        <v>20379891</v>
      </c>
      <c r="O17" s="31">
        <f>SUM(O9,O11,)</f>
        <v>8185165</v>
      </c>
      <c r="P17" s="31">
        <f>SUM(P9,P11,)</f>
        <v>6984911</v>
      </c>
      <c r="Q17" s="31">
        <f>SUM(Q9,Q11,)</f>
        <v>19593168</v>
      </c>
    </row>
    <row r="18" spans="1:17" ht="15" thickBot="1" x14ac:dyDescent="0.35">
      <c r="B18" s="53"/>
      <c r="C18" s="14">
        <f t="shared" ref="C18:J18" si="2">SUM(C10,C14,)</f>
        <v>1.169</v>
      </c>
      <c r="D18" s="14">
        <f t="shared" si="2"/>
        <v>1.1839999999999999</v>
      </c>
      <c r="E18" s="14">
        <f t="shared" si="2"/>
        <v>0.34299999999999997</v>
      </c>
      <c r="F18" s="14">
        <f t="shared" si="2"/>
        <v>0.34499999999999997</v>
      </c>
      <c r="G18" s="14">
        <f t="shared" si="2"/>
        <v>0.35399999999999998</v>
      </c>
      <c r="H18" s="14">
        <f t="shared" si="2"/>
        <v>0.36399999999999999</v>
      </c>
      <c r="I18" s="14">
        <f t="shared" si="2"/>
        <v>0.38</v>
      </c>
      <c r="J18" s="14">
        <f t="shared" si="2"/>
        <v>0.73299999999999998</v>
      </c>
      <c r="K18" s="14">
        <f t="shared" ref="K18:L18" si="3">SUM(K10,K14,)</f>
        <v>0.39599999999999996</v>
      </c>
      <c r="L18" s="14">
        <f t="shared" si="3"/>
        <v>0.39699999999999996</v>
      </c>
      <c r="M18" s="14">
        <f t="shared" ref="M18:N18" si="4">SUM(M10,M14,)</f>
        <v>0.33800000000000002</v>
      </c>
      <c r="N18" s="14">
        <f t="shared" si="4"/>
        <v>0.40799999999999997</v>
      </c>
      <c r="O18" s="14">
        <f t="shared" ref="O18:P18" si="5">SUM(O10,O14,)</f>
        <v>0.16400000000000001</v>
      </c>
      <c r="P18" s="14">
        <f t="shared" si="5"/>
        <v>0.14000000000000001</v>
      </c>
      <c r="Q18" s="14">
        <f t="shared" ref="Q18" si="6">SUM(Q10,Q14,)</f>
        <v>0.39200000000000002</v>
      </c>
    </row>
    <row r="21" spans="1:17" x14ac:dyDescent="0.3">
      <c r="B21" s="23" t="s">
        <v>25</v>
      </c>
      <c r="C21" s="24">
        <f>C17</f>
        <v>58462430</v>
      </c>
      <c r="D21" s="24">
        <f t="shared" ref="D21:E21" si="7">D17</f>
        <v>59185684</v>
      </c>
      <c r="E21" s="24">
        <f t="shared" si="7"/>
        <v>17127872</v>
      </c>
      <c r="F21" s="24">
        <f t="shared" ref="F21:G21" si="8">F17</f>
        <v>17267519</v>
      </c>
      <c r="G21" s="24">
        <f t="shared" si="8"/>
        <v>17718997</v>
      </c>
      <c r="H21" s="24">
        <f t="shared" ref="H21:I21" si="9">H17</f>
        <v>18176542</v>
      </c>
      <c r="I21" s="24">
        <f t="shared" si="9"/>
        <v>19023292</v>
      </c>
      <c r="J21" s="24">
        <f t="shared" ref="J21" si="10">J17</f>
        <v>36613617</v>
      </c>
      <c r="K21" s="24">
        <f t="shared" ref="K21:L21" si="11">K17</f>
        <v>19795941</v>
      </c>
      <c r="L21" s="24">
        <f t="shared" si="11"/>
        <v>19822741</v>
      </c>
      <c r="M21" s="24">
        <f t="shared" ref="M21:N21" si="12">M17</f>
        <v>16900625</v>
      </c>
      <c r="N21" s="24">
        <f t="shared" si="12"/>
        <v>20379891</v>
      </c>
      <c r="O21" s="24">
        <f t="shared" ref="O21:P21" si="13">O17</f>
        <v>8185165</v>
      </c>
      <c r="P21" s="24">
        <f t="shared" si="13"/>
        <v>6984911</v>
      </c>
      <c r="Q21" s="24">
        <f t="shared" ref="Q21" si="14">Q17</f>
        <v>19593168</v>
      </c>
    </row>
    <row r="22" spans="1:17" x14ac:dyDescent="0.3">
      <c r="B22" s="23" t="s">
        <v>24</v>
      </c>
      <c r="C22" s="24">
        <f>C21/(512*384)</f>
        <v>297.35529581705731</v>
      </c>
      <c r="D22" s="24">
        <f t="shared" ref="D22:F22" si="15">D21/(512*384)</f>
        <v>301.03395589192706</v>
      </c>
      <c r="E22" s="24">
        <f t="shared" si="15"/>
        <v>87.116861979166671</v>
      </c>
      <c r="F22" s="24">
        <f t="shared" si="15"/>
        <v>87.827143351236984</v>
      </c>
      <c r="G22" s="24">
        <f t="shared" ref="G22:H22" si="16">G21/(512*384)</f>
        <v>90.123479207356766</v>
      </c>
      <c r="H22" s="24">
        <f t="shared" si="16"/>
        <v>92.450673421223954</v>
      </c>
      <c r="I22" s="24">
        <f t="shared" ref="I22" si="17">I21/(512*384)</f>
        <v>96.757466634114579</v>
      </c>
      <c r="J22" s="24">
        <f t="shared" ref="J22" si="18">J21/(512*384)</f>
        <v>186.22648620605469</v>
      </c>
      <c r="K22" s="24">
        <f t="shared" ref="K22:L22" si="19">K21/(512*384)</f>
        <v>100.68736267089844</v>
      </c>
      <c r="L22" s="24">
        <f t="shared" si="19"/>
        <v>100.82367451985677</v>
      </c>
      <c r="M22" s="24">
        <f t="shared" ref="M22:N22" si="20">M21/(512*384)</f>
        <v>85.961023966471359</v>
      </c>
      <c r="N22" s="24">
        <f t="shared" si="20"/>
        <v>103.65748596191406</v>
      </c>
      <c r="O22" s="24">
        <f t="shared" ref="O22:P22" si="21">O21/(512*384)</f>
        <v>41.631902058919273</v>
      </c>
      <c r="P22" s="24">
        <f t="shared" si="21"/>
        <v>35.527094523111977</v>
      </c>
      <c r="Q22" s="24">
        <f t="shared" ref="Q22" si="22">Q21/(512*384)</f>
        <v>99.656005859375</v>
      </c>
    </row>
    <row r="23" spans="1:17" x14ac:dyDescent="0.3">
      <c r="B23" s="23" t="s">
        <v>23</v>
      </c>
      <c r="C23" s="28">
        <f>B4*C21</f>
        <v>1.169207676299</v>
      </c>
      <c r="D23" s="28">
        <f>B4*D21</f>
        <v>1.1836722500212</v>
      </c>
      <c r="E23" s="28">
        <f t="shared" ref="E23:K23" si="23">$B$4*E21</f>
        <v>0.3425454504896</v>
      </c>
      <c r="F23" s="28">
        <f t="shared" si="23"/>
        <v>0.34533829273669997</v>
      </c>
      <c r="G23" s="28">
        <f t="shared" si="23"/>
        <v>0.35436753670209997</v>
      </c>
      <c r="H23" s="28">
        <f t="shared" si="23"/>
        <v>0.3635181164206</v>
      </c>
      <c r="I23" s="28">
        <f t="shared" si="23"/>
        <v>0.38045252369559995</v>
      </c>
      <c r="J23" s="28">
        <f t="shared" si="23"/>
        <v>0.73224671046809997</v>
      </c>
      <c r="K23" s="28">
        <f t="shared" si="23"/>
        <v>0.3959049628413</v>
      </c>
      <c r="L23" s="28">
        <f t="shared" ref="L23:M23" si="24">$B$4*L21</f>
        <v>0.39644094408129998</v>
      </c>
      <c r="M23" s="28">
        <f t="shared" si="24"/>
        <v>0.33800066956249997</v>
      </c>
      <c r="N23" s="28">
        <f t="shared" ref="N23:O23" si="25">$B$4*N21</f>
        <v>0.40758355407629998</v>
      </c>
      <c r="O23" s="28">
        <f t="shared" si="25"/>
        <v>0.1636975703845</v>
      </c>
      <c r="P23" s="28">
        <f t="shared" ref="P23:Q23" si="26">$B$4*P21</f>
        <v>0.13969333056229999</v>
      </c>
      <c r="Q23" s="28">
        <f t="shared" si="26"/>
        <v>0.39184964478239998</v>
      </c>
    </row>
    <row r="24" spans="1:17" x14ac:dyDescent="0.3">
      <c r="B24" s="23" t="s">
        <v>22</v>
      </c>
      <c r="C24" s="29">
        <f>1/C23</f>
        <v>0.85528005013223263</v>
      </c>
      <c r="D24" s="29">
        <f t="shared" ref="D24:F24" si="27">1/D23</f>
        <v>0.84482845651073568</v>
      </c>
      <c r="E24" s="29">
        <f t="shared" si="27"/>
        <v>2.9193206290455782</v>
      </c>
      <c r="F24" s="29">
        <f t="shared" si="27"/>
        <v>2.895711309844347</v>
      </c>
      <c r="G24" s="29">
        <f t="shared" ref="G24:H24" si="28">1/G23</f>
        <v>2.8219289196364867</v>
      </c>
      <c r="H24" s="29">
        <f t="shared" si="28"/>
        <v>2.7508945354541114</v>
      </c>
      <c r="I24" s="29">
        <f t="shared" ref="I24" si="29">1/I23</f>
        <v>2.6284488542389064</v>
      </c>
      <c r="J24" s="29">
        <f t="shared" ref="J24" si="30">1/J23</f>
        <v>1.3656599417984885</v>
      </c>
      <c r="K24" s="29">
        <f t="shared" ref="K24:L24" si="31">1/K23</f>
        <v>2.525858713220662</v>
      </c>
      <c r="L24" s="29">
        <f t="shared" si="31"/>
        <v>2.5224437963070874</v>
      </c>
      <c r="M24" s="29">
        <f t="shared" ref="M24:N24" si="32">1/M23</f>
        <v>2.9585740208573439</v>
      </c>
      <c r="N24" s="29">
        <f t="shared" si="32"/>
        <v>2.4534846659019003</v>
      </c>
      <c r="O24" s="29">
        <f t="shared" ref="O24:P24" si="33">1/O23</f>
        <v>6.1088261582084344</v>
      </c>
      <c r="P24" s="29">
        <f t="shared" si="33"/>
        <v>7.1585378913564037</v>
      </c>
      <c r="Q24" s="29">
        <f t="shared" ref="Q24" si="34">1/Q23</f>
        <v>2.5519992510273042</v>
      </c>
    </row>
    <row r="29" spans="1:17" x14ac:dyDescent="0.3">
      <c r="A29" t="s">
        <v>30</v>
      </c>
      <c r="B29" t="s">
        <v>28</v>
      </c>
      <c r="C29" t="s">
        <v>29</v>
      </c>
      <c r="D29" t="s">
        <v>41</v>
      </c>
      <c r="F29" t="s">
        <v>42</v>
      </c>
      <c r="I29" t="s">
        <v>43</v>
      </c>
      <c r="K29" t="s">
        <v>44</v>
      </c>
      <c r="M29" t="s">
        <v>34</v>
      </c>
    </row>
    <row r="30" spans="1:17" x14ac:dyDescent="0.3">
      <c r="B30">
        <v>384</v>
      </c>
      <c r="D30">
        <f>B30*2</f>
        <v>768</v>
      </c>
      <c r="K30" t="s">
        <v>77</v>
      </c>
    </row>
    <row r="31" spans="1:17" x14ac:dyDescent="0.3">
      <c r="B31">
        <v>512</v>
      </c>
      <c r="D31">
        <f>B31*2</f>
        <v>1024</v>
      </c>
    </row>
    <row r="32" spans="1:17" x14ac:dyDescent="0.3">
      <c r="A32" t="s">
        <v>31</v>
      </c>
      <c r="C32" t="s">
        <v>32</v>
      </c>
    </row>
  </sheetData>
  <mergeCells count="55">
    <mergeCell ref="J7:J8"/>
    <mergeCell ref="K7:K8"/>
    <mergeCell ref="J11:J13"/>
    <mergeCell ref="K11:K13"/>
    <mergeCell ref="J14:J16"/>
    <mergeCell ref="K14:K16"/>
    <mergeCell ref="A4:A5"/>
    <mergeCell ref="H7:H8"/>
    <mergeCell ref="I7:I8"/>
    <mergeCell ref="B9:B10"/>
    <mergeCell ref="G11:G13"/>
    <mergeCell ref="H11:H13"/>
    <mergeCell ref="I11:I13"/>
    <mergeCell ref="B7:B8"/>
    <mergeCell ref="C7:C8"/>
    <mergeCell ref="D7:D8"/>
    <mergeCell ref="E7:E8"/>
    <mergeCell ref="F7:F8"/>
    <mergeCell ref="G14:G16"/>
    <mergeCell ref="H14:H16"/>
    <mergeCell ref="I14:I16"/>
    <mergeCell ref="B17:B18"/>
    <mergeCell ref="G7:G8"/>
    <mergeCell ref="B11:B16"/>
    <mergeCell ref="C11:C13"/>
    <mergeCell ref="C14:C16"/>
    <mergeCell ref="D11:D13"/>
    <mergeCell ref="E11:E13"/>
    <mergeCell ref="F11:F13"/>
    <mergeCell ref="D14:D16"/>
    <mergeCell ref="E14:E16"/>
    <mergeCell ref="F14:F16"/>
    <mergeCell ref="L14:L16"/>
    <mergeCell ref="M14:M16"/>
    <mergeCell ref="N14:N16"/>
    <mergeCell ref="O14:O16"/>
    <mergeCell ref="L7:L8"/>
    <mergeCell ref="M7:M8"/>
    <mergeCell ref="N7:N8"/>
    <mergeCell ref="L11:L13"/>
    <mergeCell ref="M11:M13"/>
    <mergeCell ref="N11:N13"/>
    <mergeCell ref="N5:N6"/>
    <mergeCell ref="M5:M6"/>
    <mergeCell ref="O5:O6"/>
    <mergeCell ref="O7:O8"/>
    <mergeCell ref="O11:O13"/>
    <mergeCell ref="P5:P6"/>
    <mergeCell ref="P7:P8"/>
    <mergeCell ref="P11:P13"/>
    <mergeCell ref="P14:P16"/>
    <mergeCell ref="Q11:Q13"/>
    <mergeCell ref="Q14:Q16"/>
    <mergeCell ref="Q5:Q6"/>
    <mergeCell ref="Q7:Q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81CA-F4A1-4584-BB22-A6B6B25E59AB}">
  <dimension ref="A2:S34"/>
  <sheetViews>
    <sheetView topLeftCell="A14" zoomScale="85" zoomScaleNormal="85" workbookViewId="0">
      <selection activeCell="G16" sqref="G16"/>
    </sheetView>
  </sheetViews>
  <sheetFormatPr baseColWidth="10" defaultRowHeight="14.4" x14ac:dyDescent="0.3"/>
  <cols>
    <col min="3" max="3" width="18.21875" customWidth="1"/>
    <col min="11" max="11" width="15.33203125" customWidth="1"/>
  </cols>
  <sheetData>
    <row r="2" spans="1:19" x14ac:dyDescent="0.3">
      <c r="A2">
        <v>50000000</v>
      </c>
      <c r="B2" t="s">
        <v>53</v>
      </c>
    </row>
    <row r="3" spans="1:19" x14ac:dyDescent="0.3">
      <c r="A3">
        <f>1/A2</f>
        <v>2E-8</v>
      </c>
      <c r="B3" t="s">
        <v>54</v>
      </c>
    </row>
    <row r="11" spans="1:19" ht="15" thickBot="1" x14ac:dyDescent="0.35"/>
    <row r="12" spans="1:19" x14ac:dyDescent="0.3">
      <c r="C12" s="35" t="s">
        <v>58</v>
      </c>
      <c r="D12" s="36" t="s">
        <v>4</v>
      </c>
      <c r="E12" s="36" t="s">
        <v>0</v>
      </c>
      <c r="F12" s="36" t="s">
        <v>1</v>
      </c>
      <c r="G12" s="36" t="s">
        <v>2</v>
      </c>
      <c r="H12" s="36" t="s">
        <v>4</v>
      </c>
      <c r="I12" s="36" t="s">
        <v>4</v>
      </c>
      <c r="J12" s="36" t="s">
        <v>2</v>
      </c>
      <c r="K12" s="36" t="s">
        <v>2</v>
      </c>
      <c r="L12" s="36" t="s">
        <v>2</v>
      </c>
      <c r="M12" s="36" t="s">
        <v>2</v>
      </c>
      <c r="N12" s="36" t="s">
        <v>2</v>
      </c>
      <c r="O12" s="36" t="s">
        <v>2</v>
      </c>
      <c r="P12" s="36" t="s">
        <v>2</v>
      </c>
      <c r="Q12" s="36" t="s">
        <v>2</v>
      </c>
      <c r="R12" s="36" t="s">
        <v>2</v>
      </c>
      <c r="S12" s="36" t="s">
        <v>4</v>
      </c>
    </row>
    <row r="13" spans="1:19" ht="14.4" customHeight="1" x14ac:dyDescent="0.3">
      <c r="C13" s="37" t="s">
        <v>60</v>
      </c>
      <c r="D13" s="4" t="s">
        <v>64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4" t="s">
        <v>64</v>
      </c>
      <c r="K13" s="4" t="s">
        <v>64</v>
      </c>
      <c r="L13" s="4" t="s">
        <v>59</v>
      </c>
      <c r="M13" s="4" t="s">
        <v>59</v>
      </c>
      <c r="N13" s="4" t="s">
        <v>59</v>
      </c>
      <c r="O13" s="4" t="s">
        <v>59</v>
      </c>
      <c r="P13" s="4" t="s">
        <v>59</v>
      </c>
      <c r="Q13" s="4" t="s">
        <v>59</v>
      </c>
      <c r="R13" s="4" t="s">
        <v>59</v>
      </c>
      <c r="S13" s="4" t="s">
        <v>59</v>
      </c>
    </row>
    <row r="14" spans="1:19" ht="40.200000000000003" customHeight="1" thickBot="1" x14ac:dyDescent="0.35">
      <c r="C14" s="41" t="s">
        <v>55</v>
      </c>
      <c r="D14" s="42" t="s">
        <v>56</v>
      </c>
      <c r="E14" s="42" t="s">
        <v>56</v>
      </c>
      <c r="F14" s="42" t="s">
        <v>56</v>
      </c>
      <c r="G14" s="42" t="s">
        <v>56</v>
      </c>
      <c r="H14" s="42" t="s">
        <v>74</v>
      </c>
      <c r="I14" s="42" t="s">
        <v>57</v>
      </c>
      <c r="J14" s="42" t="s">
        <v>57</v>
      </c>
      <c r="K14" s="42" t="s">
        <v>75</v>
      </c>
      <c r="L14" s="42" t="s">
        <v>76</v>
      </c>
      <c r="M14" s="42" t="s">
        <v>61</v>
      </c>
      <c r="N14" s="42" t="s">
        <v>62</v>
      </c>
      <c r="O14" s="42" t="s">
        <v>63</v>
      </c>
      <c r="P14" s="42" t="s">
        <v>65</v>
      </c>
      <c r="Q14" s="42" t="s">
        <v>72</v>
      </c>
      <c r="R14" s="42" t="s">
        <v>73</v>
      </c>
      <c r="S14" s="42" t="s">
        <v>73</v>
      </c>
    </row>
    <row r="15" spans="1:19" ht="15" customHeight="1" x14ac:dyDescent="0.3">
      <c r="C15" s="43" t="s">
        <v>25</v>
      </c>
      <c r="D15" s="44">
        <v>1653070873</v>
      </c>
      <c r="E15" s="44">
        <v>326511855</v>
      </c>
      <c r="F15" s="44">
        <v>280494779</v>
      </c>
      <c r="G15" s="44">
        <v>123435996</v>
      </c>
      <c r="H15" s="44">
        <v>1049755323</v>
      </c>
      <c r="I15" s="44">
        <v>984297678</v>
      </c>
      <c r="J15" s="44">
        <v>89193198</v>
      </c>
      <c r="K15" s="44">
        <v>57120869</v>
      </c>
      <c r="L15" s="44">
        <v>17127872</v>
      </c>
      <c r="M15" s="44">
        <v>16900625</v>
      </c>
      <c r="N15" s="44">
        <v>8185165</v>
      </c>
      <c r="O15" s="44">
        <v>7294746</v>
      </c>
      <c r="P15" s="44">
        <v>19593168</v>
      </c>
      <c r="Q15" s="44">
        <v>7254321</v>
      </c>
      <c r="R15" s="44">
        <v>6250312</v>
      </c>
      <c r="S15" s="44">
        <v>85597229</v>
      </c>
    </row>
    <row r="16" spans="1:19" x14ac:dyDescent="0.3">
      <c r="C16" s="38" t="s">
        <v>24</v>
      </c>
      <c r="D16" s="33">
        <f>D15/(512*384)</f>
        <v>8407.9532521565761</v>
      </c>
      <c r="E16" s="33">
        <f t="shared" ref="E16:Q16" si="0">E15/(512*384)</f>
        <v>1660.7251739501953</v>
      </c>
      <c r="F16" s="33">
        <f t="shared" si="0"/>
        <v>1426.6702219645183</v>
      </c>
      <c r="G16" s="33">
        <f t="shared" si="0"/>
        <v>627.82794189453125</v>
      </c>
      <c r="H16" s="33">
        <f t="shared" si="0"/>
        <v>5339.3316802978516</v>
      </c>
      <c r="I16" s="33">
        <f t="shared" si="0"/>
        <v>5006.3968811035156</v>
      </c>
      <c r="J16" s="33">
        <f t="shared" si="0"/>
        <v>453.66006469726563</v>
      </c>
      <c r="K16" s="33">
        <f t="shared" si="0"/>
        <v>290.53176371256512</v>
      </c>
      <c r="L16" s="33">
        <f t="shared" si="0"/>
        <v>87.116861979166671</v>
      </c>
      <c r="M16" s="33">
        <f t="shared" si="0"/>
        <v>85.961023966471359</v>
      </c>
      <c r="N16" s="33">
        <f>N15/(512*384)</f>
        <v>41.631902058919273</v>
      </c>
      <c r="O16" s="33">
        <f>O15/(512*384)</f>
        <v>37.102996826171875</v>
      </c>
      <c r="P16" s="33">
        <f t="shared" si="0"/>
        <v>99.656005859375</v>
      </c>
      <c r="Q16" s="33">
        <f t="shared" si="0"/>
        <v>36.897384643554688</v>
      </c>
      <c r="R16" s="33">
        <f>R15/(512*384)</f>
        <v>31.790730794270832</v>
      </c>
      <c r="S16" s="33">
        <f t="shared" ref="S16" si="1">S15/(512*384)</f>
        <v>435.37002054850262</v>
      </c>
    </row>
    <row r="17" spans="3:19" x14ac:dyDescent="0.3">
      <c r="C17" s="38" t="s">
        <v>23</v>
      </c>
      <c r="D17" s="34">
        <f>$A$3*D15</f>
        <v>33.061417460000001</v>
      </c>
      <c r="E17" s="34">
        <f t="shared" ref="E17:Q17" si="2">$A$3*E15</f>
        <v>6.5302370999999999</v>
      </c>
      <c r="F17" s="34">
        <f t="shared" si="2"/>
        <v>5.6098955799999999</v>
      </c>
      <c r="G17" s="34">
        <f t="shared" si="2"/>
        <v>2.4687199199999998</v>
      </c>
      <c r="H17" s="34">
        <f t="shared" si="2"/>
        <v>20.995106459999999</v>
      </c>
      <c r="I17" s="34">
        <f t="shared" si="2"/>
        <v>19.685953560000002</v>
      </c>
      <c r="J17" s="34">
        <f t="shared" si="2"/>
        <v>1.7838639600000001</v>
      </c>
      <c r="K17" s="34">
        <f t="shared" si="2"/>
        <v>1.1424173799999999</v>
      </c>
      <c r="L17" s="34">
        <f t="shared" si="2"/>
        <v>0.34255743999999999</v>
      </c>
      <c r="M17" s="34">
        <f t="shared" si="2"/>
        <v>0.33801249999999999</v>
      </c>
      <c r="N17" s="34">
        <f t="shared" si="2"/>
        <v>0.1637033</v>
      </c>
      <c r="O17" s="34">
        <f>$A$3*O15</f>
        <v>0.14589492000000001</v>
      </c>
      <c r="P17" s="34">
        <f t="shared" si="2"/>
        <v>0.39186335999999999</v>
      </c>
      <c r="Q17" s="34">
        <f t="shared" si="2"/>
        <v>0.14508641999999999</v>
      </c>
      <c r="R17" s="34">
        <f>$A$3*R15</f>
        <v>0.12500623999999999</v>
      </c>
      <c r="S17" s="34">
        <f t="shared" ref="S17" si="3">$A$3*S15</f>
        <v>1.7119445799999999</v>
      </c>
    </row>
    <row r="18" spans="3:19" ht="15" thickBot="1" x14ac:dyDescent="0.35">
      <c r="C18" s="39" t="s">
        <v>22</v>
      </c>
      <c r="D18" s="40">
        <f>1/D17</f>
        <v>3.0246737037511153E-2</v>
      </c>
      <c r="E18" s="40">
        <f t="shared" ref="E18:R18" si="4">1/E17</f>
        <v>0.15313379662738433</v>
      </c>
      <c r="F18" s="40">
        <f t="shared" si="4"/>
        <v>0.17825643735065744</v>
      </c>
      <c r="G18" s="40">
        <f t="shared" si="4"/>
        <v>0.40506822661357228</v>
      </c>
      <c r="H18" s="40">
        <f t="shared" si="4"/>
        <v>4.7630146667996462E-2</v>
      </c>
      <c r="I18" s="40">
        <f t="shared" si="4"/>
        <v>5.0797640914479525E-2</v>
      </c>
      <c r="J18" s="40">
        <f t="shared" si="4"/>
        <v>0.56058086402507956</v>
      </c>
      <c r="K18" s="40">
        <f t="shared" si="4"/>
        <v>0.87533682304448135</v>
      </c>
      <c r="L18" s="40">
        <f t="shared" si="4"/>
        <v>2.9192184528235616</v>
      </c>
      <c r="M18" s="40">
        <f t="shared" si="4"/>
        <v>2.9584704707666138</v>
      </c>
      <c r="N18" s="40">
        <f t="shared" si="4"/>
        <v>6.1086123492928976</v>
      </c>
      <c r="O18" s="40">
        <f t="shared" si="4"/>
        <v>6.8542482493564538</v>
      </c>
      <c r="P18" s="40">
        <f t="shared" si="4"/>
        <v>2.5519099310535185</v>
      </c>
      <c r="Q18" s="40">
        <f t="shared" si="4"/>
        <v>6.8924438276166722</v>
      </c>
      <c r="R18" s="40">
        <f t="shared" si="4"/>
        <v>7.9996006599350569</v>
      </c>
      <c r="S18" s="40">
        <f t="shared" ref="S18" si="5">1/S17</f>
        <v>0.58413105872854831</v>
      </c>
    </row>
    <row r="19" spans="3:19" x14ac:dyDescent="0.3"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3:19" ht="15" thickBot="1" x14ac:dyDescent="0.35">
      <c r="C20" s="1"/>
      <c r="P20">
        <v>19962920</v>
      </c>
      <c r="Q20">
        <v>6368439</v>
      </c>
      <c r="R20">
        <v>6250312</v>
      </c>
    </row>
    <row r="21" spans="3:19" x14ac:dyDescent="0.3">
      <c r="J21">
        <v>12770</v>
      </c>
      <c r="R21" s="44">
        <v>6009623</v>
      </c>
    </row>
    <row r="22" spans="3:19" x14ac:dyDescent="0.3">
      <c r="J22" t="s">
        <v>66</v>
      </c>
      <c r="K22" t="s">
        <v>67</v>
      </c>
      <c r="L22" t="s">
        <v>68</v>
      </c>
      <c r="Q22">
        <v>0.14499999999999999</v>
      </c>
    </row>
    <row r="23" spans="3:19" x14ac:dyDescent="0.3">
      <c r="J23">
        <f>J21</f>
        <v>12770</v>
      </c>
      <c r="K23">
        <f>J21</f>
        <v>12770</v>
      </c>
      <c r="L23">
        <f>J21</f>
        <v>12770</v>
      </c>
      <c r="Q23">
        <v>7254321</v>
      </c>
    </row>
    <row r="24" spans="3:19" x14ac:dyDescent="0.3">
      <c r="J24">
        <f>_xlfn.BITRSHIFT(J23,11)</f>
        <v>6</v>
      </c>
      <c r="K24">
        <f>_xlfn.BITRSHIFT(K23,5)</f>
        <v>399</v>
      </c>
      <c r="L24">
        <f>_xlfn.BITRSHIFT(L23,0)</f>
        <v>12770</v>
      </c>
      <c r="N24">
        <v>20</v>
      </c>
      <c r="O24">
        <v>50</v>
      </c>
      <c r="P24">
        <v>4000</v>
      </c>
      <c r="Q24">
        <v>21250</v>
      </c>
      <c r="R24">
        <v>21282</v>
      </c>
    </row>
    <row r="25" spans="3:19" x14ac:dyDescent="0.3">
      <c r="J25">
        <f>_xlfn.BITAND(J24,31)</f>
        <v>6</v>
      </c>
      <c r="K25">
        <f>_xlfn.BITAND(K24,63)</f>
        <v>15</v>
      </c>
      <c r="L25">
        <f t="shared" ref="L25" si="6">_xlfn.BITAND(L24,31)</f>
        <v>2</v>
      </c>
      <c r="N25">
        <v>0</v>
      </c>
      <c r="O25">
        <v>288</v>
      </c>
      <c r="P25">
        <v>27144</v>
      </c>
      <c r="Q25">
        <v>102672</v>
      </c>
      <c r="R25">
        <v>102960</v>
      </c>
    </row>
    <row r="26" spans="3:19" x14ac:dyDescent="0.3">
      <c r="J26">
        <f>_xlfn.BITLSHIFT(J25,3)</f>
        <v>48</v>
      </c>
      <c r="K26">
        <f>_xlfn.BITLSHIFT(K25,2)</f>
        <v>60</v>
      </c>
      <c r="L26">
        <f>_xlfn.BITLSHIFT(L25,3)</f>
        <v>16</v>
      </c>
    </row>
    <row r="27" spans="3:19" x14ac:dyDescent="0.3">
      <c r="I27">
        <f>J26*21</f>
        <v>1008</v>
      </c>
      <c r="J27">
        <f>J26*1197</f>
        <v>57456</v>
      </c>
      <c r="K27">
        <f>K26*72</f>
        <v>4320</v>
      </c>
      <c r="L27">
        <f>L26*7</f>
        <v>112</v>
      </c>
    </row>
    <row r="29" spans="3:19" x14ac:dyDescent="0.3">
      <c r="J29">
        <f>SUM(I27,K27,L27)</f>
        <v>5440</v>
      </c>
      <c r="K29">
        <f>SUM(J27:L27)</f>
        <v>61888</v>
      </c>
      <c r="L29">
        <f>SUM(J27,K27)</f>
        <v>61776</v>
      </c>
    </row>
    <row r="30" spans="3:19" x14ac:dyDescent="0.3">
      <c r="J30">
        <f>J29/100</f>
        <v>54.4</v>
      </c>
      <c r="K30">
        <f>K29/100</f>
        <v>618.88</v>
      </c>
    </row>
    <row r="32" spans="3:19" x14ac:dyDescent="0.3">
      <c r="D32" t="s">
        <v>70</v>
      </c>
      <c r="F32">
        <v>46250857</v>
      </c>
      <c r="G32">
        <v>0.92500000000000004</v>
      </c>
    </row>
    <row r="33" spans="4:7" x14ac:dyDescent="0.3">
      <c r="D33" t="s">
        <v>71</v>
      </c>
      <c r="F33">
        <v>5117274</v>
      </c>
      <c r="G33">
        <v>0.10199999999999999</v>
      </c>
    </row>
    <row r="34" spans="4:7" x14ac:dyDescent="0.3">
      <c r="D34" t="s">
        <v>69</v>
      </c>
      <c r="F34">
        <v>4355330</v>
      </c>
      <c r="G34">
        <v>8.6999999999999994E-2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Soft_opti</vt:lpstr>
      <vt:lpstr>cache_opti</vt:lpstr>
      <vt:lpstr>Evolution_opti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2020-12-14T13:08:24Z</dcterms:modified>
</cp:coreProperties>
</file>