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tables/table1.xml" ContentType="application/vnd.openxmlformats-officedocument.spreadsheetml.table+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telefundsup\Documents\Data Assistant Files\Caller Portal\Portfolio Edition\"/>
    </mc:Choice>
  </mc:AlternateContent>
  <bookViews>
    <workbookView xWindow="0" yWindow="0" windowWidth="28800" windowHeight="11010" tabRatio="893"/>
  </bookViews>
  <sheets>
    <sheet name="CALLER Portal" sheetId="1" r:id="rId1"/>
    <sheet name="Overall" sheetId="76" r:id="rId2"/>
    <sheet name="Caller Portal Instructions" sheetId="75" r:id="rId3"/>
    <sheet name="-" sheetId="77" state="hidden" r:id="rId4"/>
    <sheet name="18.Sep.01" sheetId="147" r:id="rId5"/>
    <sheet name="18.Sep.08" sheetId="82" r:id="rId6"/>
    <sheet name="18.Sep.15" sheetId="83" r:id="rId7"/>
    <sheet name="18.Sep.22" sheetId="84" r:id="rId8"/>
    <sheet name="18.Sep.29" sheetId="85" r:id="rId9"/>
    <sheet name="18.Oct.06" sheetId="86" r:id="rId10"/>
    <sheet name="18.Oct.13" sheetId="87" r:id="rId11"/>
    <sheet name="18.Oct.20" sheetId="88" r:id="rId12"/>
    <sheet name="18.Oct.27" sheetId="89" r:id="rId13"/>
    <sheet name="18.Nov.03" sheetId="90" r:id="rId14"/>
    <sheet name="18.Nov.10" sheetId="91" r:id="rId15"/>
    <sheet name="18.Nov.17" sheetId="92" r:id="rId16"/>
    <sheet name="18.Nov.24" sheetId="93" r:id="rId17"/>
    <sheet name="18.Dec.01" sheetId="94" r:id="rId18"/>
    <sheet name="18.Dec.08" sheetId="95" r:id="rId19"/>
    <sheet name="18.Dec.15" sheetId="96" r:id="rId20"/>
    <sheet name="19.Jan.05" sheetId="97" r:id="rId21"/>
    <sheet name="19.Jan.12" sheetId="98" r:id="rId22"/>
    <sheet name="19.Jan.19" sheetId="99" r:id="rId23"/>
    <sheet name="19.Jan.26" sheetId="100" r:id="rId24"/>
    <sheet name="19.Feb.02" sheetId="101" r:id="rId25"/>
    <sheet name="19.Feb.09" sheetId="102" r:id="rId26"/>
    <sheet name="19.Feb.16" sheetId="103" r:id="rId27"/>
    <sheet name="19.Feb.23" sheetId="104" r:id="rId28"/>
    <sheet name="19.Mar.02" sheetId="105" r:id="rId29"/>
    <sheet name="19.Mar.09" sheetId="106" r:id="rId30"/>
    <sheet name="19.Mar.16" sheetId="107" r:id="rId31"/>
    <sheet name="19.Mar.23" sheetId="108" r:id="rId32"/>
    <sheet name="19.Mar.30" sheetId="109" r:id="rId33"/>
    <sheet name="19.Apr.06" sheetId="110" r:id="rId34"/>
    <sheet name="19.Apr.13" sheetId="111" r:id="rId35"/>
    <sheet name="19.Apr.20" sheetId="112" r:id="rId36"/>
    <sheet name="19.Apr.27" sheetId="113" r:id="rId37"/>
    <sheet name="19.May.04" sheetId="114" r:id="rId38"/>
    <sheet name="19.May.11" sheetId="115" r:id="rId39"/>
    <sheet name="19.May.18" sheetId="116" r:id="rId40"/>
    <sheet name="19.May.25" sheetId="117" r:id="rId41"/>
    <sheet name="19.Jun.01" sheetId="118" r:id="rId42"/>
    <sheet name="19.Jun.08" sheetId="119" r:id="rId43"/>
    <sheet name="19.Jun.15" sheetId="120" r:id="rId44"/>
    <sheet name="19.Jun.22" sheetId="121" r:id="rId45"/>
    <sheet name="19.Jun.29" sheetId="122" r:id="rId46"/>
    <sheet name="19.Jul.06" sheetId="123" r:id="rId47"/>
    <sheet name="19.Jul.13" sheetId="124" r:id="rId48"/>
    <sheet name="19.Jul.20" sheetId="125" r:id="rId49"/>
    <sheet name="19.Jul.27" sheetId="126" r:id="rId50"/>
    <sheet name="19.Aug.03" sheetId="127" r:id="rId51"/>
    <sheet name="19.Aug.10" sheetId="128" r:id="rId52"/>
    <sheet name="19.Aug.17" sheetId="129" r:id="rId53"/>
    <sheet name="19.Aug.24" sheetId="130" r:id="rId54"/>
    <sheet name="19.Aug.31" sheetId="131" r:id="rId55"/>
    <sheet name="19.Sep.07" sheetId="132" r:id="rId56"/>
    <sheet name="19.Sep.14" sheetId="133" r:id="rId57"/>
    <sheet name="19.Sep.21" sheetId="134" r:id="rId58"/>
    <sheet name="19.Sep.28" sheetId="135" r:id="rId59"/>
    <sheet name="19.Oct.05" sheetId="136" r:id="rId60"/>
    <sheet name="19.Oct.12" sheetId="137" r:id="rId61"/>
    <sheet name="19.Oct.19" sheetId="138" r:id="rId62"/>
    <sheet name="19.Oct.26" sheetId="139" r:id="rId63"/>
    <sheet name="19.Nov.02" sheetId="140" r:id="rId64"/>
    <sheet name="19.Nov.09" sheetId="141" r:id="rId65"/>
    <sheet name="19.Nov.16" sheetId="142" r:id="rId66"/>
    <sheet name="19.Nov.23" sheetId="143" r:id="rId67"/>
    <sheet name="19.Nov.30" sheetId="144" r:id="rId68"/>
    <sheet name="19.Dec.07" sheetId="145" r:id="rId69"/>
    <sheet name="19.Dec.14" sheetId="146" r:id="rId70"/>
  </sheets>
  <definedNames>
    <definedName name="_xlnm._FilterDatabase" localSheetId="1" hidden="1">Overall!$A$1:$S$1</definedName>
    <definedName name="Active_Caller">Overall!$AB$1:OFFSET(Overall!$AB$1,COUNTA(Overall!$AB$1:$AB$150),0,1,1)</definedName>
    <definedName name="SheetList">'Caller Portal Instructions'!$D$25:$BA$25</definedName>
    <definedName name="ShtList">'Caller Portal Instructions'!$D$21:$BA$21</definedName>
  </definedNames>
  <calcPr calcId="162913"/>
  <pivotCaches>
    <pivotCache cacheId="4" r:id="rId71"/>
  </pivotCaches>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Z3" i="76" l="1"/>
  <c r="Z125" i="76" l="1"/>
  <c r="Z12" i="76" l="1"/>
  <c r="Z95" i="76"/>
  <c r="Z37" i="76"/>
  <c r="Z162" i="76"/>
  <c r="Z17" i="76"/>
  <c r="Z168" i="76"/>
  <c r="Z31" i="76"/>
  <c r="Z152" i="76"/>
  <c r="Z33" i="76" l="1"/>
  <c r="Z153" i="76"/>
  <c r="Z148" i="76"/>
  <c r="Z155" i="76"/>
  <c r="Z97" i="76"/>
  <c r="Z96" i="76"/>
  <c r="Z115" i="76"/>
  <c r="Z143" i="76"/>
  <c r="Z104" i="76"/>
  <c r="Z142" i="76"/>
  <c r="Z65" i="76"/>
  <c r="Z119" i="76"/>
  <c r="Z74" i="76"/>
  <c r="Z41" i="76"/>
  <c r="Z25" i="76"/>
  <c r="Z126" i="76"/>
  <c r="Z83" i="76"/>
  <c r="Z6" i="76"/>
  <c r="Z70" i="76"/>
  <c r="Z144" i="76"/>
  <c r="D13" i="1" l="1"/>
  <c r="E13" i="1"/>
  <c r="F13" i="1"/>
  <c r="G13" i="1"/>
  <c r="H13" i="1"/>
  <c r="I13" i="1"/>
  <c r="J13" i="1"/>
  <c r="K13" i="1"/>
  <c r="L13" i="1"/>
  <c r="M13" i="1"/>
  <c r="N13" i="1"/>
  <c r="O13" i="1"/>
  <c r="P13" i="1"/>
  <c r="Q13" i="1"/>
  <c r="R13" i="1"/>
  <c r="S13" i="1"/>
  <c r="T13" i="1"/>
  <c r="U13" i="1"/>
  <c r="V13" i="1"/>
  <c r="W13" i="1"/>
  <c r="X13" i="1"/>
  <c r="Y13" i="1"/>
  <c r="Z13" i="1"/>
  <c r="AA13" i="1"/>
  <c r="AB13" i="1"/>
  <c r="AC13" i="1"/>
  <c r="AD13" i="1"/>
  <c r="AE13" i="1"/>
  <c r="AF13" i="1"/>
  <c r="AG13" i="1"/>
  <c r="AH13" i="1"/>
  <c r="AI13" i="1"/>
  <c r="AJ13" i="1"/>
  <c r="AK13" i="1"/>
  <c r="AL13" i="1"/>
  <c r="AM13" i="1"/>
  <c r="AN13" i="1"/>
  <c r="AO13" i="1"/>
  <c r="AP13" i="1"/>
  <c r="AQ13" i="1"/>
  <c r="AR13" i="1"/>
  <c r="AS13" i="1"/>
  <c r="AT13" i="1"/>
  <c r="AU13" i="1"/>
  <c r="AV13" i="1"/>
  <c r="AW13" i="1"/>
  <c r="AX13" i="1"/>
  <c r="AY13" i="1"/>
  <c r="AZ13" i="1"/>
  <c r="C13" i="1"/>
  <c r="E25" i="75"/>
  <c r="F25" i="75"/>
  <c r="G25" i="75"/>
  <c r="H25" i="75"/>
  <c r="I25" i="75"/>
  <c r="J25" i="75"/>
  <c r="K25" i="75"/>
  <c r="L25" i="75"/>
  <c r="M25" i="75"/>
  <c r="N25" i="75"/>
  <c r="O25" i="75"/>
  <c r="P25" i="75"/>
  <c r="Q25" i="75"/>
  <c r="R25" i="75"/>
  <c r="S25" i="75"/>
  <c r="T25" i="75"/>
  <c r="U25" i="75"/>
  <c r="V25" i="75"/>
  <c r="W25" i="75"/>
  <c r="X25" i="75"/>
  <c r="Y25" i="75"/>
  <c r="Z25" i="75"/>
  <c r="AA25" i="75"/>
  <c r="AB25" i="75"/>
  <c r="AC25" i="75"/>
  <c r="AD25" i="75"/>
  <c r="AE25" i="75"/>
  <c r="AF25" i="75"/>
  <c r="AG25" i="75"/>
  <c r="AH25" i="75"/>
  <c r="AI25" i="75"/>
  <c r="AJ25" i="75"/>
  <c r="AK25" i="75"/>
  <c r="AL25" i="75"/>
  <c r="AM25" i="75"/>
  <c r="AN25" i="75"/>
  <c r="AO25" i="75"/>
  <c r="AP25" i="75"/>
  <c r="AQ25" i="75"/>
  <c r="AR25" i="75"/>
  <c r="AS25" i="75"/>
  <c r="AT25" i="75"/>
  <c r="AU25" i="75"/>
  <c r="AV25" i="75"/>
  <c r="AW25" i="75"/>
  <c r="AX25" i="75"/>
  <c r="AY25" i="75"/>
  <c r="AZ25" i="75"/>
  <c r="BA25" i="75"/>
  <c r="D25" i="75"/>
  <c r="E71" i="75"/>
  <c r="F71" i="75"/>
  <c r="G71" i="75"/>
  <c r="H71" i="75"/>
  <c r="I71" i="75"/>
  <c r="J71" i="75"/>
  <c r="K71" i="75"/>
  <c r="L71" i="75"/>
  <c r="M71" i="75"/>
  <c r="N71" i="75"/>
  <c r="O71" i="75"/>
  <c r="P71" i="75"/>
  <c r="Q71" i="75"/>
  <c r="R71" i="75"/>
  <c r="S71" i="75"/>
  <c r="T71" i="75"/>
  <c r="U71" i="75"/>
  <c r="V71" i="75"/>
  <c r="W71" i="75"/>
  <c r="X71" i="75"/>
  <c r="Y71" i="75"/>
  <c r="Z71" i="75"/>
  <c r="AA71" i="75"/>
  <c r="AB71" i="75"/>
  <c r="AC71" i="75"/>
  <c r="AD71" i="75"/>
  <c r="AE71" i="75"/>
  <c r="AF71" i="75"/>
  <c r="AG71" i="75"/>
  <c r="AH71" i="75"/>
  <c r="AI71" i="75"/>
  <c r="AJ71" i="75"/>
  <c r="AK71" i="75"/>
  <c r="AL71" i="75"/>
  <c r="AM71" i="75"/>
  <c r="AN71" i="75"/>
  <c r="AO71" i="75"/>
  <c r="AP71" i="75"/>
  <c r="AQ71" i="75"/>
  <c r="AR71" i="75"/>
  <c r="AS71" i="75"/>
  <c r="AT71" i="75"/>
  <c r="AU71" i="75"/>
  <c r="AV71" i="75"/>
  <c r="AW71" i="75"/>
  <c r="AX71" i="75"/>
  <c r="AY71" i="75"/>
  <c r="AZ71" i="75"/>
  <c r="BA71" i="75"/>
  <c r="D71" i="75"/>
  <c r="E64" i="75"/>
  <c r="F64" i="75"/>
  <c r="G64" i="75"/>
  <c r="H64" i="75"/>
  <c r="I64" i="75"/>
  <c r="J64" i="75"/>
  <c r="K64" i="75"/>
  <c r="L64" i="75"/>
  <c r="M64" i="75"/>
  <c r="N64" i="75"/>
  <c r="O64" i="75"/>
  <c r="P64" i="75"/>
  <c r="Q64" i="75"/>
  <c r="R64" i="75"/>
  <c r="S64" i="75"/>
  <c r="T64" i="75"/>
  <c r="U64" i="75"/>
  <c r="V64" i="75"/>
  <c r="W64" i="75"/>
  <c r="X64" i="75"/>
  <c r="Y64" i="75"/>
  <c r="Z64" i="75"/>
  <c r="AA64" i="75"/>
  <c r="AB64" i="75"/>
  <c r="AC64" i="75"/>
  <c r="AD64" i="75"/>
  <c r="AE64" i="75"/>
  <c r="AF64" i="75"/>
  <c r="AG64" i="75"/>
  <c r="AH64" i="75"/>
  <c r="AI64" i="75"/>
  <c r="AJ64" i="75"/>
  <c r="AK64" i="75"/>
  <c r="AL64" i="75"/>
  <c r="AM64" i="75"/>
  <c r="AN64" i="75"/>
  <c r="AO64" i="75"/>
  <c r="AP64" i="75"/>
  <c r="AQ64" i="75"/>
  <c r="AR64" i="75"/>
  <c r="AS64" i="75"/>
  <c r="AT64" i="75"/>
  <c r="AU64" i="75"/>
  <c r="AV64" i="75"/>
  <c r="AW64" i="75"/>
  <c r="AX64" i="75"/>
  <c r="AY64" i="75"/>
  <c r="AZ64" i="75"/>
  <c r="BA64" i="75"/>
  <c r="D64" i="75"/>
  <c r="E54" i="75"/>
  <c r="F54" i="75"/>
  <c r="G54" i="75"/>
  <c r="H54" i="75"/>
  <c r="I54" i="75"/>
  <c r="J54" i="75"/>
  <c r="K54" i="75"/>
  <c r="L54" i="75"/>
  <c r="M54" i="75"/>
  <c r="N54" i="75"/>
  <c r="O54" i="75"/>
  <c r="P54" i="75"/>
  <c r="Q54" i="75"/>
  <c r="R54" i="75"/>
  <c r="S54" i="75"/>
  <c r="T54" i="75"/>
  <c r="U54" i="75"/>
  <c r="V54" i="75"/>
  <c r="W54" i="75"/>
  <c r="X54" i="75"/>
  <c r="Y54" i="75"/>
  <c r="Z54" i="75"/>
  <c r="AA54" i="75"/>
  <c r="AB54" i="75"/>
  <c r="AC54" i="75"/>
  <c r="AD54" i="75"/>
  <c r="AE54" i="75"/>
  <c r="AF54" i="75"/>
  <c r="AG54" i="75"/>
  <c r="AH54" i="75"/>
  <c r="AI54" i="75"/>
  <c r="AJ54" i="75"/>
  <c r="AK54" i="75"/>
  <c r="AL54" i="75"/>
  <c r="AM54" i="75"/>
  <c r="AN54" i="75"/>
  <c r="AO54" i="75"/>
  <c r="AP54" i="75"/>
  <c r="AQ54" i="75"/>
  <c r="AR54" i="75"/>
  <c r="AS54" i="75"/>
  <c r="AT54" i="75"/>
  <c r="AU54" i="75"/>
  <c r="AV54" i="75"/>
  <c r="AW54" i="75"/>
  <c r="AX54" i="75"/>
  <c r="AY54" i="75"/>
  <c r="AZ54" i="75"/>
  <c r="BA54" i="75"/>
  <c r="D54" i="75"/>
  <c r="E44" i="75"/>
  <c r="F44" i="75"/>
  <c r="G44" i="75"/>
  <c r="H44" i="75"/>
  <c r="I44" i="75"/>
  <c r="J44" i="75"/>
  <c r="K44" i="75"/>
  <c r="L44" i="75"/>
  <c r="M44" i="75"/>
  <c r="N44" i="75"/>
  <c r="O44" i="75"/>
  <c r="P44" i="75"/>
  <c r="Q44" i="75"/>
  <c r="R44" i="75"/>
  <c r="S44" i="75"/>
  <c r="T44" i="75"/>
  <c r="U44" i="75"/>
  <c r="V44" i="75"/>
  <c r="W44" i="75"/>
  <c r="X44" i="75"/>
  <c r="Y44" i="75"/>
  <c r="Z44" i="75"/>
  <c r="AA44" i="75"/>
  <c r="AB44" i="75"/>
  <c r="AC44" i="75"/>
  <c r="AD44" i="75"/>
  <c r="AE44" i="75"/>
  <c r="AF44" i="75"/>
  <c r="AG44" i="75"/>
  <c r="AH44" i="75"/>
  <c r="AI44" i="75"/>
  <c r="AJ44" i="75"/>
  <c r="AK44" i="75"/>
  <c r="AL44" i="75"/>
  <c r="AM44" i="75"/>
  <c r="AN44" i="75"/>
  <c r="AO44" i="75"/>
  <c r="AP44" i="75"/>
  <c r="AQ44" i="75"/>
  <c r="AR44" i="75"/>
  <c r="AS44" i="75"/>
  <c r="AT44" i="75"/>
  <c r="AU44" i="75"/>
  <c r="AV44" i="75"/>
  <c r="AW44" i="75"/>
  <c r="AX44" i="75"/>
  <c r="AY44" i="75"/>
  <c r="AZ44" i="75"/>
  <c r="BA44" i="75"/>
  <c r="D44" i="75"/>
  <c r="E34" i="75"/>
  <c r="F34" i="75"/>
  <c r="G34" i="75"/>
  <c r="H34" i="75"/>
  <c r="I34" i="75"/>
  <c r="J34" i="75"/>
  <c r="K34" i="75"/>
  <c r="L34" i="75"/>
  <c r="M34" i="75"/>
  <c r="N34" i="75"/>
  <c r="O34" i="75"/>
  <c r="P34" i="75"/>
  <c r="Q34" i="75"/>
  <c r="R34" i="75"/>
  <c r="S34" i="75"/>
  <c r="T34" i="75"/>
  <c r="U34" i="75"/>
  <c r="V34" i="75"/>
  <c r="W34" i="75"/>
  <c r="X34" i="75"/>
  <c r="Y34" i="75"/>
  <c r="Z34" i="75"/>
  <c r="AA34" i="75"/>
  <c r="AB34" i="75"/>
  <c r="AC34" i="75"/>
  <c r="AD34" i="75"/>
  <c r="AE34" i="75"/>
  <c r="AF34" i="75"/>
  <c r="AG34" i="75"/>
  <c r="AH34" i="75"/>
  <c r="AI34" i="75"/>
  <c r="AJ34" i="75"/>
  <c r="AK34" i="75"/>
  <c r="AL34" i="75"/>
  <c r="AM34" i="75"/>
  <c r="AN34" i="75"/>
  <c r="AO34" i="75"/>
  <c r="AP34" i="75"/>
  <c r="AQ34" i="75"/>
  <c r="AR34" i="75"/>
  <c r="AS34" i="75"/>
  <c r="AT34" i="75"/>
  <c r="AU34" i="75"/>
  <c r="AV34" i="75"/>
  <c r="AW34" i="75"/>
  <c r="AX34" i="75"/>
  <c r="AY34" i="75"/>
  <c r="AZ34" i="75"/>
  <c r="BA34" i="75"/>
  <c r="D34" i="75"/>
  <c r="E76" i="75"/>
  <c r="F76" i="75"/>
  <c r="G76" i="75"/>
  <c r="H76" i="75"/>
  <c r="I76" i="75"/>
  <c r="J76" i="75"/>
  <c r="K76" i="75"/>
  <c r="L76" i="75"/>
  <c r="M76" i="75"/>
  <c r="N76" i="75"/>
  <c r="O76" i="75"/>
  <c r="P76" i="75"/>
  <c r="Q76" i="75"/>
  <c r="R76" i="75"/>
  <c r="S76" i="75"/>
  <c r="T76" i="75"/>
  <c r="U76" i="75"/>
  <c r="V76" i="75"/>
  <c r="W76" i="75"/>
  <c r="X76" i="75"/>
  <c r="Y76" i="75"/>
  <c r="Z76" i="75"/>
  <c r="AA76" i="75"/>
  <c r="AB76" i="75"/>
  <c r="AC76" i="75"/>
  <c r="AD76" i="75"/>
  <c r="AE76" i="75"/>
  <c r="AF76" i="75"/>
  <c r="AG76" i="75"/>
  <c r="AH76" i="75"/>
  <c r="AI76" i="75"/>
  <c r="AJ76" i="75"/>
  <c r="AK76" i="75"/>
  <c r="AL76" i="75"/>
  <c r="AM76" i="75"/>
  <c r="AN76" i="75"/>
  <c r="AO76" i="75"/>
  <c r="AP76" i="75"/>
  <c r="AQ76" i="75"/>
  <c r="AR76" i="75"/>
  <c r="AS76" i="75"/>
  <c r="AT76" i="75"/>
  <c r="AU76" i="75"/>
  <c r="AV76" i="75"/>
  <c r="AW76" i="75"/>
  <c r="AX76" i="75"/>
  <c r="AY76" i="75"/>
  <c r="AZ76" i="75"/>
  <c r="BA76" i="75"/>
  <c r="D76" i="75"/>
  <c r="Z27" i="76" l="1"/>
  <c r="Z54" i="76"/>
  <c r="Z80" i="76"/>
  <c r="Z11" i="76"/>
  <c r="Z9" i="76"/>
  <c r="Z86" i="76"/>
  <c r="Z118" i="76"/>
  <c r="Z146" i="76"/>
  <c r="Z67" i="76"/>
  <c r="Z22" i="76"/>
  <c r="Z116" i="76"/>
  <c r="Z30" i="76"/>
  <c r="Z57" i="76"/>
  <c r="Z113" i="76"/>
  <c r="Z114" i="76"/>
  <c r="Z47" i="76"/>
  <c r="Z90" i="76"/>
  <c r="Z87" i="76"/>
  <c r="Z145" i="76"/>
  <c r="Z165" i="76"/>
  <c r="Z14" i="76"/>
  <c r="Z62" i="76"/>
  <c r="Z73" i="76"/>
  <c r="Z18" i="76"/>
  <c r="Z94" i="76"/>
  <c r="Z69" i="76"/>
  <c r="Z139" i="76"/>
  <c r="Z60" i="76"/>
  <c r="Z39" i="76"/>
  <c r="Z123" i="76"/>
  <c r="Z106" i="76"/>
  <c r="Z66" i="76"/>
  <c r="Z75" i="76"/>
  <c r="Z53" i="76"/>
  <c r="Z42" i="76"/>
  <c r="Z169" i="76"/>
  <c r="Z128" i="76"/>
  <c r="Z21" i="76"/>
  <c r="Z110" i="76"/>
  <c r="Z76" i="76"/>
  <c r="Z78" i="76"/>
  <c r="Z34" i="76"/>
  <c r="Z24" i="76"/>
  <c r="Z19" i="76"/>
  <c r="Z130" i="76"/>
  <c r="Z151" i="76"/>
  <c r="Z92" i="76"/>
  <c r="Z99" i="76"/>
  <c r="Z7" i="76"/>
  <c r="Z49" i="76"/>
  <c r="Z46" i="76"/>
  <c r="Z61" i="76"/>
  <c r="Z109" i="76"/>
  <c r="Z48" i="76"/>
  <c r="Z107" i="76"/>
  <c r="Z79" i="76"/>
  <c r="Z100" i="76"/>
  <c r="Z135" i="76"/>
  <c r="Z149" i="76"/>
  <c r="Z170" i="76"/>
  <c r="Z56" i="76"/>
  <c r="Z122" i="76"/>
  <c r="Z88" i="76"/>
  <c r="Z13" i="76"/>
  <c r="Z166" i="76"/>
  <c r="Z43" i="76"/>
  <c r="Z129" i="76"/>
  <c r="Z160" i="76"/>
  <c r="Z44" i="76"/>
  <c r="Z58" i="76"/>
  <c r="Z64" i="76"/>
  <c r="Z103" i="76"/>
  <c r="Z68" i="76"/>
  <c r="Z52" i="76"/>
  <c r="Z63" i="76"/>
  <c r="Z98" i="76"/>
  <c r="Z93" i="76"/>
  <c r="Z45" i="76"/>
  <c r="Z4" i="76"/>
  <c r="Z157" i="76"/>
  <c r="Z36" i="76"/>
  <c r="Z112" i="76"/>
  <c r="Z137" i="76"/>
  <c r="Z141" i="76"/>
  <c r="Z15" i="76"/>
  <c r="Z124" i="76"/>
  <c r="Z35" i="76"/>
  <c r="Z77" i="76"/>
  <c r="Z167" i="76"/>
  <c r="Z51" i="76"/>
  <c r="Z108" i="76"/>
  <c r="Z133" i="76"/>
  <c r="Z81" i="76"/>
  <c r="Z50" i="76"/>
  <c r="Z40" i="76"/>
  <c r="Z164" i="76"/>
  <c r="Z26" i="76"/>
  <c r="Z154" i="76"/>
  <c r="Z161" i="76"/>
  <c r="Z5" i="76"/>
  <c r="Z89" i="76"/>
  <c r="Z55" i="76"/>
  <c r="Z132" i="76"/>
  <c r="Z72" i="76"/>
  <c r="Z38" i="76"/>
  <c r="Z29" i="76"/>
  <c r="Z150" i="76"/>
  <c r="Z159" i="76"/>
  <c r="Z163" i="76"/>
  <c r="Z101" i="76"/>
  <c r="Z121" i="76"/>
  <c r="Z156" i="76"/>
  <c r="Z131" i="76"/>
  <c r="Z20" i="76"/>
  <c r="Z16" i="76"/>
  <c r="Z28" i="76"/>
  <c r="Z134" i="76"/>
  <c r="Z32" i="76"/>
  <c r="Z111" i="76"/>
  <c r="Z158" i="76"/>
  <c r="Z102" i="76"/>
  <c r="Z147" i="76"/>
  <c r="Z91" i="76"/>
  <c r="Z8" i="76"/>
  <c r="Z105" i="76"/>
  <c r="Z117" i="76"/>
  <c r="Z84" i="76"/>
  <c r="Z138" i="76"/>
  <c r="Z120" i="76"/>
  <c r="Z136" i="76"/>
  <c r="Z82" i="76"/>
  <c r="Z85" i="76"/>
  <c r="Z71" i="76"/>
  <c r="Z127" i="76"/>
  <c r="Z23" i="76"/>
  <c r="Z10" i="76"/>
  <c r="Z140" i="76"/>
  <c r="Z59" i="76"/>
  <c r="Z2" i="76"/>
  <c r="N1" i="1" l="1"/>
  <c r="A31" i="1"/>
  <c r="D3" i="1"/>
  <c r="E3" i="1"/>
  <c r="I3" i="1"/>
  <c r="L3" i="1"/>
  <c r="M3" i="1"/>
  <c r="P3" i="1"/>
  <c r="S3" i="1"/>
  <c r="T3" i="1"/>
  <c r="U3" i="1"/>
  <c r="W3" i="1"/>
  <c r="AB3" i="1"/>
  <c r="N3" i="1"/>
  <c r="O3" i="1"/>
  <c r="Q3" i="1"/>
  <c r="Y3" i="1"/>
  <c r="AA3" i="1"/>
  <c r="C3" i="1"/>
  <c r="Z3" i="1"/>
  <c r="V3" i="1"/>
  <c r="R3" i="1"/>
  <c r="J3" i="1"/>
  <c r="F3" i="1"/>
  <c r="X3" i="1"/>
  <c r="H3" i="1"/>
  <c r="A1" i="1"/>
  <c r="L24" i="1"/>
  <c r="C23" i="1"/>
  <c r="AA21" i="1"/>
  <c r="Z21" i="1"/>
  <c r="X41" i="75"/>
  <c r="AJ21" i="1"/>
  <c r="AJ35" i="75"/>
  <c r="AE21" i="1"/>
  <c r="AF37" i="75"/>
  <c r="AG36" i="75"/>
  <c r="AJ19" i="1"/>
  <c r="AB36" i="75"/>
  <c r="X40" i="75"/>
  <c r="AF40" i="75"/>
  <c r="Y37" i="75"/>
  <c r="AB37" i="75"/>
  <c r="AF41" i="75"/>
  <c r="AJ36" i="75"/>
  <c r="AD16" i="1"/>
  <c r="T21" i="1"/>
  <c r="AB39" i="75"/>
  <c r="AF39" i="75"/>
  <c r="O35" i="75"/>
  <c r="E39" i="75"/>
  <c r="H35" i="75"/>
  <c r="Q41" i="75"/>
  <c r="I40" i="75"/>
  <c r="H20" i="1"/>
  <c r="P37" i="75"/>
  <c r="L16" i="1"/>
  <c r="O19" i="1"/>
  <c r="T40" i="75"/>
  <c r="M35" i="75"/>
  <c r="L40" i="75"/>
  <c r="Q36" i="75"/>
  <c r="P20" i="1"/>
  <c r="E41" i="75"/>
  <c r="L18" i="1"/>
  <c r="M38" i="75"/>
  <c r="H40" i="75"/>
  <c r="I37" i="75"/>
  <c r="P35" i="75"/>
  <c r="Y38" i="75"/>
  <c r="D18" i="1"/>
  <c r="I38" i="75"/>
  <c r="H15" i="1"/>
  <c r="P39" i="75"/>
  <c r="T38" i="75"/>
  <c r="Q15" i="1"/>
  <c r="P40" i="75"/>
  <c r="E38" i="75"/>
  <c r="P38" i="75"/>
  <c r="D17" i="1"/>
  <c r="H39" i="75"/>
  <c r="AH16" i="1"/>
  <c r="Y35" i="75"/>
  <c r="AB40" i="75"/>
  <c r="X35" i="75"/>
  <c r="AG40" i="75"/>
  <c r="AI18" i="1"/>
  <c r="AC38" i="75"/>
  <c r="U38" i="75"/>
  <c r="AF21" i="1"/>
  <c r="AF18" i="1"/>
  <c r="M36" i="75"/>
  <c r="K16" i="1"/>
  <c r="G17" i="1"/>
  <c r="L38" i="75"/>
  <c r="K35" i="75"/>
  <c r="P36" i="75"/>
  <c r="M41" i="75"/>
  <c r="H38" i="75"/>
  <c r="T41" i="75"/>
  <c r="P17" i="1"/>
  <c r="D15" i="1"/>
  <c r="T18" i="1"/>
  <c r="AJ37" i="75"/>
  <c r="AA19" i="1"/>
  <c r="AF36" i="75"/>
  <c r="U36" i="75"/>
  <c r="AK38" i="75"/>
  <c r="AG41" i="75"/>
  <c r="U37" i="75"/>
  <c r="X36" i="75"/>
  <c r="AK39" i="75"/>
  <c r="AJ40" i="75"/>
  <c r="AJ38" i="75"/>
  <c r="Z20" i="1"/>
  <c r="X21" i="1"/>
  <c r="U35" i="75"/>
  <c r="AF17" i="1"/>
  <c r="T19" i="1"/>
  <c r="T15" i="1"/>
  <c r="AJ16" i="1"/>
  <c r="W21" i="1"/>
  <c r="AB20" i="1"/>
  <c r="H41" i="75"/>
  <c r="P41" i="75"/>
  <c r="L15" i="1"/>
  <c r="K41" i="75"/>
  <c r="I36" i="75"/>
  <c r="M37" i="75"/>
  <c r="Q40" i="75"/>
  <c r="S35" i="75"/>
  <c r="T39" i="75"/>
  <c r="R17" i="1"/>
  <c r="R21" i="1"/>
  <c r="G35" i="75"/>
  <c r="L19" i="1"/>
  <c r="T36" i="75"/>
  <c r="H18" i="1"/>
  <c r="M40" i="75"/>
  <c r="H19" i="1"/>
  <c r="D16" i="1"/>
  <c r="Q35" i="75"/>
  <c r="I39" i="75"/>
  <c r="AB35" i="75"/>
  <c r="AF19" i="1"/>
  <c r="T20" i="1"/>
  <c r="AB38" i="75"/>
  <c r="AG39" i="75"/>
  <c r="X17" i="1"/>
  <c r="AI37" i="75"/>
  <c r="AJ41" i="75"/>
  <c r="AA35" i="75"/>
  <c r="X39" i="75"/>
  <c r="AA38" i="75"/>
  <c r="AD17" i="1"/>
  <c r="AB21" i="1"/>
  <c r="AF35" i="75"/>
  <c r="AJ18" i="1"/>
  <c r="AG35" i="75"/>
  <c r="X37" i="75"/>
  <c r="AC41" i="75"/>
  <c r="U39" i="75"/>
  <c r="L41" i="75"/>
  <c r="N16" i="1"/>
  <c r="G21" i="1"/>
  <c r="L35" i="75"/>
  <c r="P21" i="1"/>
  <c r="K19" i="1"/>
  <c r="L39" i="75"/>
  <c r="D20" i="1"/>
  <c r="H36" i="75"/>
  <c r="H37" i="75"/>
  <c r="AJ39" i="75"/>
  <c r="T17" i="1"/>
  <c r="U41" i="75"/>
  <c r="AF38" i="75"/>
  <c r="AF16" i="1"/>
  <c r="AB41" i="75"/>
  <c r="X18" i="1"/>
  <c r="T16" i="1"/>
  <c r="AB16" i="1"/>
  <c r="X38" i="75"/>
  <c r="J15" i="1"/>
  <c r="H21" i="1"/>
  <c r="L21" i="1"/>
  <c r="D21" i="1"/>
  <c r="T35" i="75"/>
  <c r="L37" i="75"/>
  <c r="T37" i="75"/>
  <c r="J20" i="1"/>
  <c r="L36" i="75"/>
  <c r="S21" i="1"/>
  <c r="AI47" i="75" l="1"/>
  <c r="AJ47" i="75"/>
  <c r="M60" i="75"/>
  <c r="AF60" i="75"/>
  <c r="U56" i="75"/>
  <c r="L57" i="75"/>
  <c r="I46" i="75"/>
  <c r="X46" i="75"/>
  <c r="T56" i="75"/>
  <c r="H57" i="75"/>
  <c r="AG60" i="75"/>
  <c r="T57" i="75"/>
  <c r="M56" i="75"/>
  <c r="AB60" i="75"/>
  <c r="I47" i="75"/>
  <c r="H50" i="75"/>
  <c r="AJ46" i="75"/>
  <c r="AF56" i="75"/>
  <c r="AB57" i="75"/>
  <c r="Q50" i="75"/>
  <c r="X57" i="75"/>
  <c r="AJ60" i="75"/>
  <c r="T60" i="75"/>
  <c r="AF57" i="75"/>
  <c r="AG46" i="75"/>
  <c r="P56" i="75"/>
  <c r="M47" i="75"/>
  <c r="P57" i="75"/>
  <c r="G3" i="1"/>
  <c r="K3" i="1"/>
  <c r="AB44" i="1"/>
  <c r="AF66" i="75"/>
  <c r="H66" i="75"/>
  <c r="AB66" i="75"/>
  <c r="L66" i="75"/>
  <c r="T66" i="75"/>
  <c r="P66" i="75"/>
  <c r="U65" i="75"/>
  <c r="AJ66" i="75"/>
  <c r="X66" i="75"/>
  <c r="AF50" i="75"/>
  <c r="M50" i="75"/>
  <c r="I56" i="75"/>
  <c r="T46" i="75"/>
  <c r="L50" i="75"/>
  <c r="L60" i="75"/>
  <c r="P50" i="75"/>
  <c r="P60" i="75"/>
  <c r="AJ57" i="75"/>
  <c r="U57" i="75"/>
  <c r="U47" i="75"/>
  <c r="M46" i="75"/>
  <c r="M57" i="75"/>
  <c r="L47" i="75"/>
  <c r="P47" i="75"/>
  <c r="I57" i="75"/>
  <c r="H60" i="75"/>
  <c r="P46" i="75"/>
  <c r="AJ56" i="75"/>
  <c r="X47" i="75"/>
  <c r="X56" i="75"/>
  <c r="H47" i="75"/>
  <c r="AB47" i="75"/>
  <c r="T47" i="75"/>
  <c r="AI57" i="75"/>
  <c r="AG50" i="75"/>
  <c r="U46" i="75"/>
  <c r="AF47" i="75"/>
  <c r="AG56" i="75"/>
  <c r="Q60" i="75"/>
  <c r="Q56" i="75"/>
  <c r="Q46" i="75"/>
  <c r="AF46" i="75"/>
  <c r="AJ50" i="75"/>
  <c r="I50" i="75"/>
  <c r="I60" i="75"/>
  <c r="Y47" i="75"/>
  <c r="Y57" i="75"/>
  <c r="AB46" i="75"/>
  <c r="AB56" i="75"/>
  <c r="T50" i="75"/>
  <c r="AB50" i="75"/>
  <c r="H56" i="75"/>
  <c r="H46" i="75"/>
  <c r="L56" i="75"/>
  <c r="L46" i="75"/>
  <c r="X60" i="75" l="1"/>
  <c r="X50" i="75"/>
  <c r="AI35" i="75"/>
  <c r="AH39" i="75"/>
  <c r="AK36" i="75"/>
  <c r="V40" i="75"/>
  <c r="U20" i="1"/>
  <c r="AK35" i="75"/>
  <c r="V17" i="1"/>
  <c r="AH36" i="75"/>
  <c r="AC16" i="1"/>
  <c r="AC37" i="75"/>
  <c r="AK41" i="75"/>
  <c r="AG21" i="1"/>
  <c r="AE18" i="1"/>
  <c r="AB19" i="1"/>
  <c r="AC19" i="1"/>
  <c r="W37" i="75"/>
  <c r="W40" i="75"/>
  <c r="V38" i="75"/>
  <c r="AA39" i="75"/>
  <c r="W17" i="1"/>
  <c r="AI36" i="75"/>
  <c r="AH41" i="75"/>
  <c r="AG38" i="75"/>
  <c r="AB18" i="1"/>
  <c r="W36" i="75"/>
  <c r="AI16" i="1"/>
  <c r="W38" i="75"/>
  <c r="AH18" i="1"/>
  <c r="AI20" i="1"/>
  <c r="Z39" i="75"/>
  <c r="AC17" i="1"/>
  <c r="Z38" i="75"/>
  <c r="AH38" i="75"/>
  <c r="AI38" i="75"/>
  <c r="V20" i="1"/>
  <c r="U19" i="1"/>
  <c r="X16" i="1"/>
  <c r="U16" i="1"/>
  <c r="Z41" i="75"/>
  <c r="AG37" i="75"/>
  <c r="AD19" i="1"/>
  <c r="AK40" i="75"/>
  <c r="AA37" i="75"/>
  <c r="U18" i="1"/>
  <c r="AC39" i="75"/>
  <c r="W19" i="1"/>
  <c r="Z19" i="1"/>
  <c r="Y21" i="1"/>
  <c r="Y18" i="1"/>
  <c r="Y20" i="1"/>
  <c r="U40" i="75"/>
  <c r="AD41" i="75"/>
  <c r="AC35" i="75"/>
  <c r="V19" i="1"/>
  <c r="AD20" i="1"/>
  <c r="Z36" i="75"/>
  <c r="V15" i="1"/>
  <c r="W41" i="75"/>
  <c r="AI40" i="75"/>
  <c r="Z35" i="75"/>
  <c r="AD35" i="75"/>
  <c r="AD21" i="1"/>
  <c r="U21" i="1"/>
  <c r="W35" i="75"/>
  <c r="Z37" i="75"/>
  <c r="AJ20" i="1"/>
  <c r="AC18" i="1"/>
  <c r="AA18" i="1"/>
  <c r="AJ17" i="1"/>
  <c r="W18" i="1"/>
  <c r="AH37" i="75"/>
  <c r="AG20" i="1"/>
  <c r="AG17" i="1"/>
  <c r="AE35" i="75"/>
  <c r="AA36" i="75"/>
  <c r="AF20" i="1"/>
  <c r="AD37" i="75"/>
  <c r="AH20" i="1"/>
  <c r="AE36" i="75"/>
  <c r="AF15" i="1"/>
  <c r="AE19" i="1"/>
  <c r="X20" i="1"/>
  <c r="AH15" i="1"/>
  <c r="AD40" i="75"/>
  <c r="AH17" i="1"/>
  <c r="AI41" i="75"/>
  <c r="AG15" i="1"/>
  <c r="AE39" i="75"/>
  <c r="Z40" i="75"/>
  <c r="V16" i="1"/>
  <c r="AE20" i="1"/>
  <c r="AG18" i="1"/>
  <c r="AE38" i="75"/>
  <c r="Y39" i="75"/>
  <c r="AA16" i="1"/>
  <c r="AB17" i="1"/>
  <c r="Y19" i="1"/>
  <c r="AA15" i="1"/>
  <c r="AD36" i="75"/>
  <c r="AI17" i="1"/>
  <c r="AI39" i="75"/>
  <c r="AC20" i="1"/>
  <c r="AA40" i="75"/>
  <c r="AD15" i="1"/>
  <c r="AE16" i="1"/>
  <c r="V18" i="1"/>
  <c r="V37" i="75"/>
  <c r="Z15" i="1"/>
  <c r="Z16" i="1"/>
  <c r="AK37" i="75"/>
  <c r="Y16" i="1"/>
  <c r="AD39" i="75"/>
  <c r="AH21" i="1"/>
  <c r="V35" i="75"/>
  <c r="AA17" i="1"/>
  <c r="Y15" i="1"/>
  <c r="V39" i="75"/>
  <c r="AD18" i="1"/>
  <c r="W16" i="1"/>
  <c r="V21" i="1"/>
  <c r="AI15" i="1"/>
  <c r="AE15" i="1"/>
  <c r="AE37" i="75"/>
  <c r="V41" i="75"/>
  <c r="AE17" i="1"/>
  <c r="Z17" i="1"/>
  <c r="AA20" i="1"/>
  <c r="X15" i="1"/>
  <c r="Y17" i="1"/>
  <c r="W15" i="1"/>
  <c r="AI19" i="1"/>
  <c r="AH19" i="1"/>
  <c r="W20" i="1"/>
  <c r="AH40" i="75"/>
  <c r="AE40" i="75"/>
  <c r="AC40" i="75"/>
  <c r="AH35" i="75"/>
  <c r="AB15" i="1"/>
  <c r="AD38" i="75"/>
  <c r="U17" i="1"/>
  <c r="AE41" i="75"/>
  <c r="V36" i="75"/>
  <c r="AG19" i="1"/>
  <c r="AA41" i="75"/>
  <c r="AJ15" i="1"/>
  <c r="AC36" i="75"/>
  <c r="Y36" i="75"/>
  <c r="Y40" i="75"/>
  <c r="AG16" i="1"/>
  <c r="U15" i="1"/>
  <c r="AI21" i="1"/>
  <c r="Z18" i="1"/>
  <c r="Y41" i="75"/>
  <c r="W39" i="75"/>
  <c r="AC21" i="1"/>
  <c r="X19" i="1"/>
  <c r="AC15" i="1"/>
  <c r="AK15" i="1"/>
  <c r="AL15" i="1"/>
  <c r="AM37" i="75"/>
  <c r="AL16" i="1"/>
  <c r="AM41" i="75"/>
  <c r="AK19" i="1"/>
  <c r="AL38" i="75"/>
  <c r="AM40" i="75"/>
  <c r="AL21" i="1"/>
  <c r="AM36" i="75"/>
  <c r="AK21" i="1"/>
  <c r="AL19" i="1"/>
  <c r="AK20" i="1"/>
  <c r="AL41" i="75"/>
  <c r="AL18" i="1"/>
  <c r="AK18" i="1"/>
  <c r="AM35" i="75"/>
  <c r="AL40" i="75"/>
  <c r="AM39" i="75"/>
  <c r="AL20" i="1"/>
  <c r="AL36" i="75"/>
  <c r="AL39" i="75"/>
  <c r="AK17" i="1"/>
  <c r="AL37" i="75"/>
  <c r="AM38" i="75"/>
  <c r="AK16" i="1"/>
  <c r="AL17" i="1"/>
  <c r="AL35" i="75"/>
  <c r="U66" i="75" l="1"/>
  <c r="M66" i="75"/>
  <c r="E65" i="75"/>
  <c r="Q66" i="75"/>
  <c r="AG66" i="75"/>
  <c r="AA66" i="75"/>
  <c r="K65" i="75"/>
  <c r="Y66" i="75"/>
  <c r="I65" i="75"/>
  <c r="AC50" i="75"/>
  <c r="AC60" i="75"/>
  <c r="AC65" i="75"/>
  <c r="AG47" i="75"/>
  <c r="AG57" i="75"/>
  <c r="AE50" i="75"/>
  <c r="AE60" i="75"/>
  <c r="AK57" i="75"/>
  <c r="AK47" i="75"/>
  <c r="W65" i="75"/>
  <c r="AM66" i="75"/>
  <c r="AE66" i="75"/>
  <c r="AE56" i="75"/>
  <c r="AE46" i="75"/>
  <c r="AG65" i="75"/>
  <c r="X65" i="75"/>
  <c r="Y50" i="75"/>
  <c r="Y60" i="75"/>
  <c r="AA57" i="75"/>
  <c r="AA47" i="75"/>
  <c r="AD65" i="75"/>
  <c r="AD66" i="75"/>
  <c r="AK50" i="75"/>
  <c r="AK60" i="75"/>
  <c r="AH65" i="75"/>
  <c r="AI60" i="75"/>
  <c r="AI50" i="75"/>
  <c r="AJ65" i="75"/>
  <c r="AL60" i="75"/>
  <c r="AL50" i="75"/>
  <c r="AL66" i="75"/>
  <c r="AH56" i="75"/>
  <c r="AH46" i="75"/>
  <c r="AM65" i="75"/>
  <c r="W57" i="75"/>
  <c r="W47" i="75"/>
  <c r="AH50" i="75"/>
  <c r="AH60" i="75"/>
  <c r="AD56" i="75"/>
  <c r="AD46" i="75"/>
  <c r="AL56" i="75"/>
  <c r="AL46" i="75"/>
  <c r="V50" i="75"/>
  <c r="V60" i="75"/>
  <c r="Z56" i="75"/>
  <c r="Z46" i="75"/>
  <c r="V46" i="75"/>
  <c r="V56" i="75"/>
  <c r="Z50" i="75"/>
  <c r="Z60" i="75"/>
  <c r="W50" i="75"/>
  <c r="W60" i="75"/>
  <c r="AE57" i="75"/>
  <c r="AE47" i="75"/>
  <c r="AK66" i="75"/>
  <c r="AD50" i="75"/>
  <c r="AD60" i="75"/>
  <c r="U60" i="75"/>
  <c r="U50" i="75"/>
  <c r="AK46" i="75"/>
  <c r="AK56" i="75"/>
  <c r="AE65" i="75"/>
  <c r="AC47" i="75"/>
  <c r="AC57" i="75"/>
  <c r="W66" i="75"/>
  <c r="AA46" i="75"/>
  <c r="AA56" i="75"/>
  <c r="AI56" i="75"/>
  <c r="AI46" i="75"/>
  <c r="AM57" i="75"/>
  <c r="AM47" i="75"/>
  <c r="Z65" i="75"/>
  <c r="Z66" i="75"/>
  <c r="AF65" i="75"/>
  <c r="AH66" i="75"/>
  <c r="AM46" i="75"/>
  <c r="AM56" i="75"/>
  <c r="AI66" i="75"/>
  <c r="V65" i="75"/>
  <c r="Y65" i="75"/>
  <c r="V66" i="75"/>
  <c r="AD47" i="75"/>
  <c r="AD57" i="75"/>
  <c r="AL47" i="75"/>
  <c r="AL57" i="75"/>
  <c r="AC56" i="75"/>
  <c r="AC46" i="75"/>
  <c r="W56" i="75"/>
  <c r="W46" i="75"/>
  <c r="AK65" i="75"/>
  <c r="AA65" i="75"/>
  <c r="Z57" i="75"/>
  <c r="Z47" i="75"/>
  <c r="AB65" i="75"/>
  <c r="AL65" i="75"/>
  <c r="AA60" i="75"/>
  <c r="AA50" i="75"/>
  <c r="AH57" i="75"/>
  <c r="AH47" i="75"/>
  <c r="V47" i="75"/>
  <c r="V57" i="75"/>
  <c r="AC66" i="75"/>
  <c r="AM50" i="75"/>
  <c r="AM60" i="75"/>
  <c r="AI65" i="75"/>
  <c r="Y56" i="75"/>
  <c r="Y46" i="75"/>
  <c r="AX38" i="75"/>
  <c r="AZ15" i="1"/>
  <c r="AP35" i="75"/>
  <c r="AP18" i="1"/>
  <c r="AT39" i="75"/>
  <c r="AR20" i="1"/>
  <c r="AT41" i="75"/>
  <c r="AX41" i="75"/>
  <c r="AZ16" i="1"/>
  <c r="AQ39" i="75"/>
  <c r="AY37" i="75"/>
  <c r="AR19" i="1"/>
  <c r="AS40" i="75"/>
  <c r="AV17" i="1"/>
  <c r="AZ38" i="75"/>
  <c r="AU21" i="1"/>
  <c r="AZ17" i="1"/>
  <c r="AV19" i="1"/>
  <c r="BA38" i="75"/>
  <c r="AO40" i="75"/>
  <c r="AN38" i="75"/>
  <c r="AT15" i="1"/>
  <c r="AX37" i="75"/>
  <c r="AV40" i="75"/>
  <c r="AZ39" i="75"/>
  <c r="AS38" i="75"/>
  <c r="AV35" i="75"/>
  <c r="AW19" i="1"/>
  <c r="AY17" i="1"/>
  <c r="AO21" i="1"/>
  <c r="AQ37" i="75"/>
  <c r="AQ35" i="75"/>
  <c r="AT38" i="75"/>
  <c r="AO16" i="1"/>
  <c r="AY20" i="1"/>
  <c r="AS36" i="75"/>
  <c r="AO38" i="75"/>
  <c r="AS35" i="75"/>
  <c r="AP19" i="1"/>
  <c r="AM21" i="1"/>
  <c r="AW40" i="75"/>
  <c r="AX18" i="1"/>
  <c r="AS18" i="1"/>
  <c r="AT35" i="75"/>
  <c r="AS21" i="1"/>
  <c r="AO18" i="1"/>
  <c r="BA39" i="75"/>
  <c r="AZ35" i="75"/>
  <c r="AZ41" i="75"/>
  <c r="AY21" i="1"/>
  <c r="AX19" i="1"/>
  <c r="AR18" i="1"/>
  <c r="AT40" i="75"/>
  <c r="AN20" i="1"/>
  <c r="AU18" i="1"/>
  <c r="AX35" i="75"/>
  <c r="AU37" i="75"/>
  <c r="AT37" i="75"/>
  <c r="AZ40" i="75"/>
  <c r="AY41" i="75"/>
  <c r="BA41" i="75"/>
  <c r="AN41" i="75"/>
  <c r="AZ37" i="75"/>
  <c r="AV41" i="75"/>
  <c r="AM17" i="1"/>
  <c r="AR35" i="75"/>
  <c r="AX20" i="1"/>
  <c r="AP16" i="1"/>
  <c r="AQ18" i="1"/>
  <c r="AW37" i="75"/>
  <c r="AN36" i="75"/>
  <c r="AQ41" i="75"/>
  <c r="AY35" i="75"/>
  <c r="AU19" i="1"/>
  <c r="AR39" i="75"/>
  <c r="AO15" i="1"/>
  <c r="AO39" i="75"/>
  <c r="AX21" i="1"/>
  <c r="AZ19" i="1"/>
  <c r="BA36" i="75"/>
  <c r="AS37" i="75"/>
  <c r="AV21" i="1"/>
  <c r="AP15" i="1"/>
  <c r="AQ21" i="1"/>
  <c r="BA40" i="75"/>
  <c r="AT18" i="1"/>
  <c r="AV36" i="75"/>
  <c r="AP17" i="1"/>
  <c r="AW36" i="75"/>
  <c r="AQ36" i="75"/>
  <c r="AP38" i="75"/>
  <c r="AR16" i="1"/>
  <c r="AN35" i="75"/>
  <c r="AZ20" i="1"/>
  <c r="AR21" i="1"/>
  <c r="AQ20" i="1"/>
  <c r="AX16" i="1"/>
  <c r="AW39" i="75"/>
  <c r="AR40" i="75"/>
  <c r="AT36" i="75"/>
  <c r="AO20" i="1"/>
  <c r="AU36" i="75"/>
  <c r="AW20" i="1"/>
  <c r="AR37" i="75"/>
  <c r="AQ40" i="75"/>
  <c r="AU40" i="75"/>
  <c r="AO19" i="1"/>
  <c r="AT19" i="1"/>
  <c r="AM16" i="1"/>
  <c r="AQ38" i="75"/>
  <c r="AW35" i="75"/>
  <c r="AN21" i="1"/>
  <c r="AR36" i="75"/>
  <c r="AT17" i="1"/>
  <c r="AN15" i="1"/>
  <c r="AX36" i="75"/>
  <c r="AV37" i="75"/>
  <c r="AY36" i="75"/>
  <c r="AN18" i="1"/>
  <c r="AW15" i="1"/>
  <c r="AY39" i="75"/>
  <c r="AS17" i="1"/>
  <c r="AX17" i="1"/>
  <c r="AN40" i="75"/>
  <c r="AM18" i="1"/>
  <c r="AV16" i="1"/>
  <c r="AR38" i="75"/>
  <c r="AW38" i="75"/>
  <c r="AW21" i="1"/>
  <c r="AY16" i="1"/>
  <c r="AV38" i="75"/>
  <c r="AY18" i="1"/>
  <c r="AS16" i="1"/>
  <c r="AU38" i="75"/>
  <c r="AY15" i="1"/>
  <c r="AV20" i="1"/>
  <c r="AO36" i="75"/>
  <c r="AO35" i="75"/>
  <c r="AR15" i="1"/>
  <c r="AT16" i="1"/>
  <c r="AY38" i="75"/>
  <c r="AR41" i="75"/>
  <c r="AP20" i="1"/>
  <c r="AO37" i="75"/>
  <c r="AZ36" i="75"/>
  <c r="AQ17" i="1"/>
  <c r="AP21" i="1"/>
  <c r="AO17" i="1"/>
  <c r="AP36" i="75"/>
  <c r="AM15" i="1"/>
  <c r="AO41" i="75"/>
  <c r="AZ21" i="1"/>
  <c r="AU17" i="1"/>
  <c r="AU35" i="75"/>
  <c r="AW16" i="1"/>
  <c r="AN37" i="75"/>
  <c r="AN19" i="1"/>
  <c r="AP40" i="75"/>
  <c r="AU20" i="1"/>
  <c r="AQ16" i="1"/>
  <c r="AM20" i="1"/>
  <c r="AM19" i="1"/>
  <c r="AY40" i="75"/>
  <c r="AP39" i="75"/>
  <c r="AR17" i="1"/>
  <c r="BA35" i="75"/>
  <c r="AW18" i="1"/>
  <c r="AX39" i="75"/>
  <c r="AU39" i="75"/>
  <c r="AS39" i="75"/>
  <c r="AS19" i="1"/>
  <c r="AT20" i="1"/>
  <c r="AN39" i="75"/>
  <c r="AW17" i="1"/>
  <c r="AY19" i="1"/>
  <c r="AS41" i="75"/>
  <c r="AS15" i="1"/>
  <c r="AT21" i="1"/>
  <c r="AV18" i="1"/>
  <c r="AV15" i="1"/>
  <c r="AW41" i="75"/>
  <c r="AQ19" i="1"/>
  <c r="AX40" i="75"/>
  <c r="AP37" i="75"/>
  <c r="AU41" i="75"/>
  <c r="AS20" i="1"/>
  <c r="AU16" i="1"/>
  <c r="AZ18" i="1"/>
  <c r="AU15" i="1"/>
  <c r="AN16" i="1"/>
  <c r="AQ15" i="1"/>
  <c r="AP41" i="75"/>
  <c r="AN17" i="1"/>
  <c r="AV39" i="75"/>
  <c r="BA37" i="75"/>
  <c r="AX15" i="1"/>
  <c r="W5" i="1" l="1"/>
  <c r="W6" i="1"/>
  <c r="U10" i="1"/>
  <c r="V11" i="1"/>
  <c r="U5" i="1"/>
  <c r="V10" i="1"/>
  <c r="U9" i="1"/>
  <c r="T7" i="1"/>
  <c r="W10" i="1"/>
  <c r="W7" i="1"/>
  <c r="R11" i="1"/>
  <c r="V6" i="1"/>
  <c r="T5" i="1"/>
  <c r="U6" i="1"/>
  <c r="U7" i="1"/>
  <c r="V7" i="1"/>
  <c r="V9" i="1"/>
  <c r="T11" i="1"/>
  <c r="T6" i="1"/>
  <c r="V8" i="1"/>
  <c r="S11" i="1"/>
  <c r="W9" i="1"/>
  <c r="W8" i="1"/>
  <c r="T8" i="1"/>
  <c r="U11" i="1"/>
  <c r="U8" i="1"/>
  <c r="V5" i="1"/>
  <c r="W11" i="1"/>
  <c r="T9" i="1"/>
  <c r="T10" i="1"/>
  <c r="Y7" i="1"/>
  <c r="AB5" i="1"/>
  <c r="Y6" i="1"/>
  <c r="AB9" i="1"/>
  <c r="X9" i="1"/>
  <c r="X10" i="1"/>
  <c r="AB6" i="1"/>
  <c r="Y9" i="1"/>
  <c r="X5" i="1"/>
  <c r="Z7" i="1"/>
  <c r="AA11" i="1"/>
  <c r="AB7" i="1"/>
  <c r="AA10" i="1"/>
  <c r="X8" i="1"/>
  <c r="Y8" i="1"/>
  <c r="Y5" i="1"/>
  <c r="Y11" i="1"/>
  <c r="X6" i="1"/>
  <c r="Z9" i="1"/>
  <c r="Z10" i="1"/>
  <c r="AB10" i="1"/>
  <c r="AA7" i="1"/>
  <c r="AB11" i="1"/>
  <c r="AA5" i="1"/>
  <c r="Z5" i="1"/>
  <c r="AB8" i="1"/>
  <c r="AA6" i="1"/>
  <c r="X7" i="1"/>
  <c r="Y10" i="1"/>
  <c r="Z8" i="1"/>
  <c r="X11" i="1"/>
  <c r="AA9" i="1"/>
  <c r="Z6" i="1"/>
  <c r="Z11" i="1"/>
  <c r="AA8" i="1"/>
  <c r="AP56" i="75"/>
  <c r="AP46" i="75"/>
  <c r="AS47" i="75"/>
  <c r="AS57" i="75"/>
  <c r="AR57" i="75"/>
  <c r="AR47" i="75"/>
  <c r="AY65" i="75"/>
  <c r="AZ65" i="75"/>
  <c r="AV65" i="75"/>
  <c r="AZ66" i="75"/>
  <c r="AS56" i="75"/>
  <c r="AS46" i="75"/>
  <c r="AX46" i="75"/>
  <c r="AX56" i="75"/>
  <c r="AY47" i="75"/>
  <c r="AY57" i="75"/>
  <c r="BA56" i="75"/>
  <c r="BA46" i="75"/>
  <c r="AU66" i="75"/>
  <c r="AU46" i="75"/>
  <c r="AU56" i="75"/>
  <c r="AX66" i="75"/>
  <c r="AR66" i="75"/>
  <c r="AV60" i="75"/>
  <c r="AV50" i="75"/>
  <c r="AV46" i="75"/>
  <c r="AV56" i="75"/>
  <c r="AY66" i="75"/>
  <c r="AP57" i="75"/>
  <c r="AP47" i="75"/>
  <c r="AO65" i="75"/>
  <c r="AZ46" i="75"/>
  <c r="AZ56" i="75"/>
  <c r="AT46" i="75"/>
  <c r="AT56" i="75"/>
  <c r="AR65" i="75"/>
  <c r="AX47" i="75"/>
  <c r="AX57" i="75"/>
  <c r="AN50" i="75"/>
  <c r="AN60" i="75"/>
  <c r="AO47" i="75"/>
  <c r="AO57" i="75"/>
  <c r="AW50" i="75"/>
  <c r="AW60" i="75"/>
  <c r="AR60" i="75"/>
  <c r="AR50" i="75"/>
  <c r="AQ66" i="75"/>
  <c r="AZ57" i="75"/>
  <c r="AZ47" i="75"/>
  <c r="AT65" i="75"/>
  <c r="AX60" i="75"/>
  <c r="AX50" i="75"/>
  <c r="BA47" i="75"/>
  <c r="BA57" i="75"/>
  <c r="AQ47" i="75"/>
  <c r="AQ57" i="75"/>
  <c r="AU65" i="75"/>
  <c r="AW46" i="75"/>
  <c r="AW56" i="75"/>
  <c r="AP60" i="75"/>
  <c r="AP50" i="75"/>
  <c r="AN56" i="75"/>
  <c r="AN46" i="75"/>
  <c r="AR46" i="75"/>
  <c r="AR56" i="75"/>
  <c r="BA66" i="75"/>
  <c r="BA50" i="75"/>
  <c r="BA60" i="75"/>
  <c r="AQ46" i="75"/>
  <c r="AQ56" i="75"/>
  <c r="AU60" i="75"/>
  <c r="AU50" i="75"/>
  <c r="AX65" i="75"/>
  <c r="AW47" i="75"/>
  <c r="AW57" i="75"/>
  <c r="AZ60" i="75"/>
  <c r="AZ50" i="75"/>
  <c r="AP66" i="75"/>
  <c r="AS65" i="75"/>
  <c r="AP65" i="75"/>
  <c r="AQ65" i="75"/>
  <c r="AN65" i="75"/>
  <c r="AV66" i="75"/>
  <c r="AT57" i="75"/>
  <c r="AT47" i="75"/>
  <c r="AO50" i="75"/>
  <c r="AO60" i="75"/>
  <c r="AQ60" i="75"/>
  <c r="AQ50" i="75"/>
  <c r="AY50" i="75"/>
  <c r="AY60" i="75"/>
  <c r="BA65" i="75"/>
  <c r="AT50" i="75"/>
  <c r="AT60" i="75"/>
  <c r="AY56" i="75"/>
  <c r="AY46" i="75"/>
  <c r="AO66" i="75"/>
  <c r="AN47" i="75"/>
  <c r="AN57" i="75"/>
  <c r="AN66" i="75"/>
  <c r="AT66" i="75"/>
  <c r="AS66" i="75"/>
  <c r="AU57" i="75"/>
  <c r="AU47" i="75"/>
  <c r="AW66" i="75"/>
  <c r="AS60" i="75"/>
  <c r="AS50" i="75"/>
  <c r="AW65" i="75"/>
  <c r="AV57" i="75"/>
  <c r="AV47" i="75"/>
  <c r="AO46" i="75"/>
  <c r="AO56" i="75"/>
  <c r="K66" i="75" l="1"/>
  <c r="R65" i="75"/>
  <c r="G66" i="75"/>
  <c r="S66" i="75"/>
  <c r="O66" i="75"/>
  <c r="M65" i="75"/>
  <c r="F35" i="75"/>
  <c r="F18" i="1"/>
  <c r="M19" i="1"/>
  <c r="Q20" i="1"/>
  <c r="N19" i="1"/>
  <c r="R41" i="75"/>
  <c r="N15" i="1"/>
  <c r="J40" i="75"/>
  <c r="O39" i="75"/>
  <c r="E40" i="75"/>
  <c r="O41" i="75"/>
  <c r="O17" i="1"/>
  <c r="F16" i="1"/>
  <c r="I18" i="1"/>
  <c r="S18" i="1"/>
  <c r="R19" i="1"/>
  <c r="R38" i="75"/>
  <c r="I41" i="75"/>
  <c r="K36" i="75"/>
  <c r="F39" i="75"/>
  <c r="E17" i="1"/>
  <c r="F37" i="75"/>
  <c r="S38" i="75"/>
  <c r="P19" i="1"/>
  <c r="G40" i="75"/>
  <c r="F21" i="1"/>
  <c r="G20" i="1"/>
  <c r="S20" i="1"/>
  <c r="G37" i="75"/>
  <c r="I35" i="75"/>
  <c r="P18" i="1"/>
  <c r="O37" i="75"/>
  <c r="K40" i="75"/>
  <c r="N36" i="75"/>
  <c r="F20" i="1"/>
  <c r="J17" i="1"/>
  <c r="N39" i="75"/>
  <c r="S41" i="75"/>
  <c r="K39" i="75"/>
  <c r="O21" i="1"/>
  <c r="I16" i="1"/>
  <c r="C20" i="1"/>
  <c r="J18" i="1"/>
  <c r="S37" i="75"/>
  <c r="D38" i="75"/>
  <c r="N40" i="75"/>
  <c r="P16" i="1"/>
  <c r="G41" i="75"/>
  <c r="C18" i="1"/>
  <c r="M18" i="1"/>
  <c r="K20" i="1"/>
  <c r="D41" i="75"/>
  <c r="K17" i="1"/>
  <c r="R18" i="1"/>
  <c r="F40" i="75"/>
  <c r="S39" i="75"/>
  <c r="O40" i="75"/>
  <c r="G38" i="75"/>
  <c r="Q21" i="1"/>
  <c r="J37" i="75"/>
  <c r="Q37" i="75"/>
  <c r="I17" i="1"/>
  <c r="N21" i="1"/>
  <c r="D40" i="75"/>
  <c r="G39" i="75"/>
  <c r="K21" i="1"/>
  <c r="N35" i="75"/>
  <c r="E36" i="75"/>
  <c r="S17" i="1"/>
  <c r="O18" i="1"/>
  <c r="N18" i="1"/>
  <c r="Q39" i="75"/>
  <c r="F36" i="75"/>
  <c r="N37" i="75"/>
  <c r="K18" i="1"/>
  <c r="O20" i="1"/>
  <c r="I19" i="1"/>
  <c r="J41" i="75"/>
  <c r="S19" i="1"/>
  <c r="J35" i="75"/>
  <c r="E16" i="1"/>
  <c r="F15" i="1"/>
  <c r="L20" i="1"/>
  <c r="O36" i="75"/>
  <c r="C16" i="1"/>
  <c r="M17" i="1"/>
  <c r="K15" i="1"/>
  <c r="R15" i="1"/>
  <c r="Q38" i="75"/>
  <c r="D36" i="75"/>
  <c r="E18" i="1"/>
  <c r="J21" i="1"/>
  <c r="Q18" i="1"/>
  <c r="M39" i="75"/>
  <c r="N41" i="75"/>
  <c r="Q19" i="1"/>
  <c r="R35" i="75"/>
  <c r="C21" i="1"/>
  <c r="P15" i="1"/>
  <c r="J36" i="75"/>
  <c r="G18" i="1"/>
  <c r="F41" i="75"/>
  <c r="E35" i="75"/>
  <c r="Q16" i="1"/>
  <c r="D37" i="75"/>
  <c r="R37" i="75"/>
  <c r="F19" i="1"/>
  <c r="E37" i="75"/>
  <c r="S36" i="75"/>
  <c r="F17" i="1"/>
  <c r="F38" i="75"/>
  <c r="J19" i="1"/>
  <c r="D19" i="1"/>
  <c r="N20" i="1"/>
  <c r="D35" i="75"/>
  <c r="G16" i="1"/>
  <c r="S15" i="1"/>
  <c r="G19" i="1"/>
  <c r="K38" i="75"/>
  <c r="K37" i="75"/>
  <c r="L17" i="1"/>
  <c r="N17" i="1"/>
  <c r="I21" i="1"/>
  <c r="N38" i="75"/>
  <c r="J38" i="75"/>
  <c r="E21" i="1"/>
  <c r="S16" i="1"/>
  <c r="R16" i="1"/>
  <c r="S40" i="75"/>
  <c r="R20" i="1"/>
  <c r="D39" i="75"/>
  <c r="G36" i="75"/>
  <c r="M20" i="1"/>
  <c r="M16" i="1"/>
  <c r="O15" i="1"/>
  <c r="O16" i="1"/>
  <c r="C15" i="1"/>
  <c r="J16" i="1"/>
  <c r="C17" i="1"/>
  <c r="R40" i="75"/>
  <c r="E20" i="1"/>
  <c r="H16" i="1"/>
  <c r="G15" i="1"/>
  <c r="Q17" i="1"/>
  <c r="O38" i="75"/>
  <c r="H17" i="1"/>
  <c r="I15" i="1"/>
  <c r="M15" i="1"/>
  <c r="E15" i="1"/>
  <c r="C19" i="1"/>
  <c r="M21" i="1"/>
  <c r="R39" i="75"/>
  <c r="J39" i="75"/>
  <c r="R36" i="75"/>
  <c r="E19" i="1"/>
  <c r="I20" i="1"/>
  <c r="J93" i="76"/>
  <c r="D76" i="76"/>
  <c r="J40" i="76"/>
  <c r="D163" i="76"/>
  <c r="H131" i="76"/>
  <c r="H129" i="76"/>
  <c r="H55" i="75"/>
  <c r="J118" i="76"/>
  <c r="F156" i="76"/>
  <c r="G87" i="76"/>
  <c r="F80" i="76"/>
  <c r="E21" i="76"/>
  <c r="H151" i="76"/>
  <c r="N51" i="75"/>
  <c r="D90" i="76"/>
  <c r="D63" i="76"/>
  <c r="AD14" i="1"/>
  <c r="D22" i="76"/>
  <c r="E4" i="76"/>
  <c r="AM55" i="75"/>
  <c r="I69" i="76"/>
  <c r="H68" i="76"/>
  <c r="AI45" i="75"/>
  <c r="Z61" i="75"/>
  <c r="AZ49" i="75"/>
  <c r="AI58" i="75"/>
  <c r="AO58" i="75"/>
  <c r="AG49" i="75"/>
  <c r="J77" i="76"/>
  <c r="AP45" i="75"/>
  <c r="T48" i="75"/>
  <c r="G16" i="76"/>
  <c r="E66" i="76"/>
  <c r="F165" i="76"/>
  <c r="I18" i="76"/>
  <c r="F46" i="76"/>
  <c r="S51" i="75"/>
  <c r="N48" i="75"/>
  <c r="G59" i="76"/>
  <c r="F146" i="76"/>
  <c r="AD51" i="75"/>
  <c r="G18" i="76"/>
  <c r="F103" i="76"/>
  <c r="AR45" i="75"/>
  <c r="Q55" i="75"/>
  <c r="U14" i="1"/>
  <c r="V55" i="75"/>
  <c r="H112" i="76"/>
  <c r="I57" i="76"/>
  <c r="H53" i="76"/>
  <c r="F63" i="76"/>
  <c r="D134" i="76"/>
  <c r="F49" i="76"/>
  <c r="G39" i="76"/>
  <c r="AW14" i="1"/>
  <c r="F13" i="76"/>
  <c r="F89" i="76"/>
  <c r="J47" i="76"/>
  <c r="D100" i="76"/>
  <c r="I141" i="76"/>
  <c r="I114" i="76"/>
  <c r="E84" i="76"/>
  <c r="N14" i="1"/>
  <c r="G4" i="76"/>
  <c r="AT51" i="75"/>
  <c r="H120" i="76"/>
  <c r="I54" i="76"/>
  <c r="AT55" i="75"/>
  <c r="H3" i="76"/>
  <c r="K51" i="75"/>
  <c r="E139" i="76"/>
  <c r="E36" i="76"/>
  <c r="D44" i="76"/>
  <c r="J109" i="76"/>
  <c r="AX45" i="75"/>
  <c r="F90" i="76"/>
  <c r="M55" i="75"/>
  <c r="J15" i="76"/>
  <c r="G42" i="76"/>
  <c r="F75" i="76"/>
  <c r="AZ55" i="75"/>
  <c r="G99" i="76"/>
  <c r="D158" i="76"/>
  <c r="H62" i="76"/>
  <c r="AQ51" i="75"/>
  <c r="G57" i="76"/>
  <c r="AU14" i="1"/>
  <c r="Y61" i="75"/>
  <c r="AI51" i="75"/>
  <c r="J68" i="76"/>
  <c r="D14" i="1"/>
  <c r="T14" i="1"/>
  <c r="G35" i="76"/>
  <c r="E114" i="76"/>
  <c r="X48" i="75"/>
  <c r="E8" i="76"/>
  <c r="H39" i="76"/>
  <c r="AN51" i="75"/>
  <c r="J130" i="76"/>
  <c r="H61" i="76"/>
  <c r="Z45" i="75"/>
  <c r="G169" i="76"/>
  <c r="U51" i="75"/>
  <c r="U59" i="75"/>
  <c r="H146" i="76"/>
  <c r="F140" i="76"/>
  <c r="E24" i="76"/>
  <c r="G28" i="76"/>
  <c r="F123" i="76"/>
  <c r="D23" i="76"/>
  <c r="BA49" i="75"/>
  <c r="D64" i="76"/>
  <c r="W55" i="75"/>
  <c r="H58" i="75"/>
  <c r="G76" i="76"/>
  <c r="E129" i="76"/>
  <c r="E94" i="76"/>
  <c r="AU55" i="75"/>
  <c r="D58" i="76"/>
  <c r="Y51" i="75"/>
  <c r="D166" i="76"/>
  <c r="I156" i="76"/>
  <c r="J150" i="76"/>
  <c r="H23" i="76"/>
  <c r="D62" i="76"/>
  <c r="J42" i="76"/>
  <c r="F163" i="76"/>
  <c r="I137" i="76"/>
  <c r="H139" i="76"/>
  <c r="F109" i="76"/>
  <c r="E108" i="76"/>
  <c r="G53" i="76"/>
  <c r="D9" i="76"/>
  <c r="G27" i="76"/>
  <c r="J128" i="76"/>
  <c r="I81" i="76"/>
  <c r="R51" i="75"/>
  <c r="F101" i="76"/>
  <c r="D59" i="76"/>
  <c r="D27" i="76"/>
  <c r="F151" i="76"/>
  <c r="G79" i="76"/>
  <c r="F66" i="76"/>
  <c r="F18" i="76"/>
  <c r="AJ59" i="75"/>
  <c r="I45" i="76"/>
  <c r="AQ58" i="75"/>
  <c r="D53" i="76"/>
  <c r="AT45" i="75"/>
  <c r="G106" i="76"/>
  <c r="G21" i="76"/>
  <c r="AO55" i="75"/>
  <c r="Q14" i="1"/>
  <c r="I79" i="76"/>
  <c r="E128" i="76"/>
  <c r="H76" i="76"/>
  <c r="Y55" i="75"/>
  <c r="AC14" i="1"/>
  <c r="J55" i="75"/>
  <c r="I159" i="76"/>
  <c r="I48" i="76"/>
  <c r="I122" i="76"/>
  <c r="E49" i="76"/>
  <c r="I100" i="76"/>
  <c r="H130" i="76"/>
  <c r="G128" i="76"/>
  <c r="D132" i="76"/>
  <c r="G100" i="76"/>
  <c r="E151" i="76"/>
  <c r="I108" i="76"/>
  <c r="G43" i="76"/>
  <c r="H161" i="76"/>
  <c r="I134" i="76"/>
  <c r="H73" i="76"/>
  <c r="D98" i="76"/>
  <c r="F72" i="76"/>
  <c r="G145" i="76"/>
  <c r="F45" i="76"/>
  <c r="H107" i="76"/>
  <c r="E112" i="76"/>
  <c r="AW48" i="75"/>
  <c r="N49" i="75"/>
  <c r="AR58" i="75"/>
  <c r="G61" i="76"/>
  <c r="AC49" i="75"/>
  <c r="D135" i="76"/>
  <c r="H122" i="76"/>
  <c r="D49" i="76"/>
  <c r="AO14" i="1"/>
  <c r="E73" i="76"/>
  <c r="J72" i="76"/>
  <c r="I55" i="75"/>
  <c r="J73" i="76"/>
  <c r="E101" i="76"/>
  <c r="E58" i="75"/>
  <c r="E146" i="76"/>
  <c r="J52" i="76"/>
  <c r="I150" i="76"/>
  <c r="M51" i="75"/>
  <c r="H141" i="76"/>
  <c r="I165" i="76"/>
  <c r="H98" i="76"/>
  <c r="AJ61" i="75"/>
  <c r="E133" i="76"/>
  <c r="G129" i="76"/>
  <c r="F150" i="76"/>
  <c r="G112" i="76"/>
  <c r="AZ59" i="75"/>
  <c r="H138" i="76"/>
  <c r="D81" i="76"/>
  <c r="D69" i="76"/>
  <c r="AO49" i="75"/>
  <c r="V58" i="75"/>
  <c r="Q49" i="75"/>
  <c r="K61" i="75"/>
  <c r="G149" i="76"/>
  <c r="F142" i="76"/>
  <c r="F124" i="76"/>
  <c r="F4" i="76"/>
  <c r="H30" i="76"/>
  <c r="E76" i="76"/>
  <c r="I97" i="76"/>
  <c r="F44" i="76"/>
  <c r="D57" i="76"/>
  <c r="AL48" i="75"/>
  <c r="F111" i="76"/>
  <c r="I71" i="76"/>
  <c r="AH59" i="75"/>
  <c r="J22" i="76"/>
  <c r="AQ61" i="75"/>
  <c r="F108" i="76"/>
  <c r="E3" i="76"/>
  <c r="E28" i="76"/>
  <c r="D18" i="76"/>
  <c r="G158" i="76"/>
  <c r="H113" i="76"/>
  <c r="F81" i="76"/>
  <c r="AB48" i="75"/>
  <c r="F145" i="76"/>
  <c r="H134" i="76"/>
  <c r="P49" i="75"/>
  <c r="F130" i="76"/>
  <c r="I166" i="76"/>
  <c r="D102" i="76"/>
  <c r="BA48" i="75"/>
  <c r="E58" i="76"/>
  <c r="I66" i="76"/>
  <c r="F93" i="76"/>
  <c r="H29" i="76"/>
  <c r="E53" i="76"/>
  <c r="E117" i="76"/>
  <c r="D91" i="76"/>
  <c r="H71" i="76"/>
  <c r="F99" i="76"/>
  <c r="F166" i="76"/>
  <c r="I123" i="76"/>
  <c r="H167" i="76"/>
  <c r="AQ45" i="75"/>
  <c r="J127" i="76"/>
  <c r="H137" i="76"/>
  <c r="G92" i="76"/>
  <c r="J108" i="76"/>
  <c r="G26" i="76"/>
  <c r="H149" i="76"/>
  <c r="G13" i="76"/>
  <c r="G132" i="76"/>
  <c r="E46" i="76"/>
  <c r="I120" i="76"/>
  <c r="D75" i="76"/>
  <c r="F94" i="76"/>
  <c r="E123" i="76"/>
  <c r="E90" i="76"/>
  <c r="J51" i="76"/>
  <c r="G48" i="75"/>
  <c r="Y59" i="75"/>
  <c r="H43" i="76"/>
  <c r="AL55" i="75"/>
  <c r="G120" i="76"/>
  <c r="E85" i="76"/>
  <c r="D160" i="76"/>
  <c r="V59" i="75"/>
  <c r="I14" i="1"/>
  <c r="AR55" i="75"/>
  <c r="H78" i="76"/>
  <c r="G164" i="76"/>
  <c r="H108" i="76"/>
  <c r="F149" i="76"/>
  <c r="U48" i="75"/>
  <c r="E57" i="76"/>
  <c r="D55" i="76"/>
  <c r="H75" i="76"/>
  <c r="G147" i="76"/>
  <c r="V49" i="75"/>
  <c r="I68" i="76"/>
  <c r="G93" i="76"/>
  <c r="I99" i="76"/>
  <c r="D131" i="76"/>
  <c r="G103" i="76"/>
  <c r="G124" i="76"/>
  <c r="AH55" i="75"/>
  <c r="AL61" i="75"/>
  <c r="I67" i="76"/>
  <c r="AI49" i="75"/>
  <c r="AP61" i="75"/>
  <c r="G110" i="76"/>
  <c r="Q61" i="75"/>
  <c r="H79" i="76"/>
  <c r="J117" i="76"/>
  <c r="E11" i="76"/>
  <c r="I24" i="76"/>
  <c r="J62" i="76"/>
  <c r="Z14" i="1"/>
  <c r="J159" i="76"/>
  <c r="G32" i="76"/>
  <c r="J5" i="76"/>
  <c r="I155" i="76"/>
  <c r="F113" i="76"/>
  <c r="F134" i="76"/>
  <c r="AX59" i="75"/>
  <c r="D59" i="75"/>
  <c r="E49" i="75"/>
  <c r="E164" i="76"/>
  <c r="H93" i="76"/>
  <c r="I82" i="76"/>
  <c r="S48" i="75"/>
  <c r="D58" i="75"/>
  <c r="AK45" i="75"/>
  <c r="D51" i="75"/>
  <c r="AX55" i="75"/>
  <c r="I161" i="76"/>
  <c r="AG61" i="75"/>
  <c r="H109" i="76"/>
  <c r="F45" i="75"/>
  <c r="D89" i="76"/>
  <c r="F74" i="76"/>
  <c r="H33" i="76"/>
  <c r="F132" i="76"/>
  <c r="D48" i="76"/>
  <c r="D46" i="76"/>
  <c r="E62" i="76"/>
  <c r="D101" i="76"/>
  <c r="AB14" i="1"/>
  <c r="H57" i="76"/>
  <c r="J57" i="76"/>
  <c r="D47" i="76"/>
  <c r="G45" i="76"/>
  <c r="E106" i="76"/>
  <c r="I2" i="76"/>
  <c r="G22" i="76"/>
  <c r="L48" i="75"/>
  <c r="E118" i="76"/>
  <c r="F159" i="76"/>
  <c r="AN49" i="75"/>
  <c r="E35" i="76"/>
  <c r="Y45" i="75"/>
  <c r="D154" i="76"/>
  <c r="G70" i="76"/>
  <c r="I164" i="76"/>
  <c r="E2" i="76"/>
  <c r="I160" i="76"/>
  <c r="H133" i="76"/>
  <c r="J50" i="76"/>
  <c r="J137" i="76"/>
  <c r="AF45" i="75"/>
  <c r="R58" i="75"/>
  <c r="AH61" i="75"/>
  <c r="I27" i="76"/>
  <c r="AA59" i="75"/>
  <c r="D113" i="76"/>
  <c r="G59" i="75"/>
  <c r="G55" i="75"/>
  <c r="D13" i="76"/>
  <c r="Z48" i="75"/>
  <c r="F22" i="76"/>
  <c r="AQ55" i="75"/>
  <c r="D121" i="76"/>
  <c r="H69" i="76"/>
  <c r="V61" i="75"/>
  <c r="AN45" i="75"/>
  <c r="H55" i="76"/>
  <c r="T55" i="75"/>
  <c r="J28" i="76"/>
  <c r="J18" i="76"/>
  <c r="AD61" i="75"/>
  <c r="H135" i="76"/>
  <c r="H157" i="76"/>
  <c r="I116" i="76"/>
  <c r="F139" i="76"/>
  <c r="E89" i="76"/>
  <c r="E22" i="76"/>
  <c r="E158" i="76"/>
  <c r="D26" i="76"/>
  <c r="AY59" i="75"/>
  <c r="E6" i="76"/>
  <c r="F131" i="76"/>
  <c r="G89" i="76"/>
  <c r="G45" i="75"/>
  <c r="H67" i="76"/>
  <c r="E124" i="76"/>
  <c r="E159" i="76"/>
  <c r="W45" i="75"/>
  <c r="G82" i="76"/>
  <c r="G159" i="76"/>
  <c r="E45" i="76"/>
  <c r="I128" i="76"/>
  <c r="J103" i="76"/>
  <c r="I34" i="76"/>
  <c r="D66" i="76"/>
  <c r="G123" i="76"/>
  <c r="H2" i="76"/>
  <c r="H165" i="76"/>
  <c r="E26" i="76"/>
  <c r="F57" i="76"/>
  <c r="AX51" i="75"/>
  <c r="H24" i="76"/>
  <c r="H80" i="76"/>
  <c r="D4" i="76"/>
  <c r="E40" i="76"/>
  <c r="I30" i="76"/>
  <c r="AY48" i="75"/>
  <c r="E145" i="76"/>
  <c r="D151" i="76"/>
  <c r="AT59" i="75"/>
  <c r="G165" i="76"/>
  <c r="AP55" i="75"/>
  <c r="E131" i="76"/>
  <c r="D123" i="76"/>
  <c r="AN55" i="75"/>
  <c r="AV45" i="75"/>
  <c r="G139" i="76"/>
  <c r="E61" i="76"/>
  <c r="J78" i="76"/>
  <c r="G67" i="76"/>
  <c r="V51" i="75"/>
  <c r="T61" i="75"/>
  <c r="AC59" i="75"/>
  <c r="F7" i="76"/>
  <c r="F105" i="76"/>
  <c r="F51" i="75"/>
  <c r="AG51" i="75"/>
  <c r="F129" i="76"/>
  <c r="F39" i="76"/>
  <c r="AZ51" i="75"/>
  <c r="AN48" i="75"/>
  <c r="H9" i="76"/>
  <c r="Y58" i="75"/>
  <c r="D56" i="76"/>
  <c r="I59" i="76"/>
  <c r="I49" i="76"/>
  <c r="F143" i="76"/>
  <c r="F28" i="76"/>
  <c r="H11" i="76"/>
  <c r="J163" i="76"/>
  <c r="E132" i="76"/>
  <c r="I133" i="76"/>
  <c r="G116" i="76"/>
  <c r="I101" i="76"/>
  <c r="H156" i="76"/>
  <c r="H159" i="76"/>
  <c r="J86" i="76"/>
  <c r="I117" i="76"/>
  <c r="E15" i="76"/>
  <c r="H48" i="75"/>
  <c r="I7" i="76"/>
  <c r="D146" i="76"/>
  <c r="E166" i="76"/>
  <c r="E116" i="76"/>
  <c r="AF48" i="75"/>
  <c r="AB58" i="75"/>
  <c r="AU59" i="75"/>
  <c r="J145" i="76"/>
  <c r="G167" i="76"/>
  <c r="U45" i="75"/>
  <c r="AA45" i="75"/>
  <c r="F157" i="76"/>
  <c r="J75" i="76"/>
  <c r="J139" i="76"/>
  <c r="K49" i="75"/>
  <c r="G111" i="76"/>
  <c r="D116" i="76"/>
  <c r="AS49" i="75"/>
  <c r="F61" i="75"/>
  <c r="D139" i="76"/>
  <c r="AM61" i="75"/>
  <c r="AC55" i="75"/>
  <c r="I19" i="76"/>
  <c r="D109" i="76"/>
  <c r="E55" i="76"/>
  <c r="J94" i="76"/>
  <c r="F59" i="75"/>
  <c r="J33" i="76"/>
  <c r="J143" i="76"/>
  <c r="S61" i="75"/>
  <c r="AP59" i="75"/>
  <c r="F114" i="76"/>
  <c r="E77" i="76"/>
  <c r="G61" i="75"/>
  <c r="G104" i="76"/>
  <c r="D36" i="76"/>
  <c r="I4" i="76"/>
  <c r="E165" i="76"/>
  <c r="M59" i="75"/>
  <c r="E41" i="76"/>
  <c r="F169" i="76"/>
  <c r="F110" i="76"/>
  <c r="I11" i="76"/>
  <c r="D124" i="76"/>
  <c r="D108" i="76"/>
  <c r="H49" i="76"/>
  <c r="D107" i="76"/>
  <c r="H10" i="76"/>
  <c r="J36" i="76"/>
  <c r="Q45" i="75"/>
  <c r="H51" i="75"/>
  <c r="AG55" i="75"/>
  <c r="J154" i="76"/>
  <c r="AG14" i="1"/>
  <c r="W59" i="75"/>
  <c r="AV58" i="75"/>
  <c r="I80" i="76"/>
  <c r="R49" i="75"/>
  <c r="H102" i="76"/>
  <c r="D73" i="76"/>
  <c r="AZ48" i="75"/>
  <c r="J157" i="76"/>
  <c r="E59" i="75"/>
  <c r="AZ58" i="75"/>
  <c r="H140" i="76"/>
  <c r="E100" i="76"/>
  <c r="AK14" i="1"/>
  <c r="Q58" i="75"/>
  <c r="D157" i="76"/>
  <c r="D148" i="76"/>
  <c r="D3" i="76"/>
  <c r="Z55" i="75"/>
  <c r="D82" i="76"/>
  <c r="H52" i="76"/>
  <c r="G55" i="76"/>
  <c r="AW45" i="75"/>
  <c r="F154" i="76"/>
  <c r="I62" i="76"/>
  <c r="I121" i="76"/>
  <c r="AV51" i="75"/>
  <c r="N58" i="75"/>
  <c r="I87" i="76"/>
  <c r="G88" i="76"/>
  <c r="D30" i="76"/>
  <c r="J91" i="76"/>
  <c r="E70" i="76"/>
  <c r="D140" i="76"/>
  <c r="E105" i="76"/>
  <c r="I33" i="76"/>
  <c r="H18" i="76"/>
  <c r="K45" i="75"/>
  <c r="AS55" i="75"/>
  <c r="E67" i="76"/>
  <c r="I118" i="76"/>
  <c r="H101" i="76"/>
  <c r="U55" i="75"/>
  <c r="S55" i="75"/>
  <c r="P59" i="75"/>
  <c r="J63" i="76"/>
  <c r="AJ14" i="1"/>
  <c r="F82" i="76"/>
  <c r="D10" i="76"/>
  <c r="J9" i="76"/>
  <c r="F29" i="76"/>
  <c r="E47" i="76"/>
  <c r="H155" i="76"/>
  <c r="I75" i="76"/>
  <c r="AH49" i="75"/>
  <c r="G56" i="76"/>
  <c r="E130" i="76"/>
  <c r="AA55" i="75"/>
  <c r="T51" i="75"/>
  <c r="I39" i="76"/>
  <c r="AJ55" i="75"/>
  <c r="M45" i="75"/>
  <c r="I43" i="76"/>
  <c r="D112" i="76"/>
  <c r="I56" i="76"/>
  <c r="G44" i="76"/>
  <c r="I110" i="76"/>
  <c r="E160" i="76"/>
  <c r="D35" i="76"/>
  <c r="J60" i="76"/>
  <c r="AU51" i="75"/>
  <c r="D93" i="76"/>
  <c r="H103" i="76"/>
  <c r="H110" i="76"/>
  <c r="G15" i="76"/>
  <c r="S58" i="75"/>
  <c r="J107" i="76"/>
  <c r="AD55" i="75"/>
  <c r="J112" i="76"/>
  <c r="G144" i="76"/>
  <c r="I139" i="76"/>
  <c r="I158" i="76"/>
  <c r="I167" i="76"/>
  <c r="E86" i="76"/>
  <c r="J156" i="76"/>
  <c r="AF49" i="75"/>
  <c r="I3" i="76"/>
  <c r="H164" i="76"/>
  <c r="D24" i="76"/>
  <c r="J45" i="75"/>
  <c r="G30" i="76"/>
  <c r="C14" i="1"/>
  <c r="AE48" i="75"/>
  <c r="O58" i="75"/>
  <c r="E69" i="76"/>
  <c r="G71" i="76"/>
  <c r="J59" i="76"/>
  <c r="F67" i="76"/>
  <c r="E156" i="76"/>
  <c r="H111" i="76"/>
  <c r="G36" i="76"/>
  <c r="AT14" i="1"/>
  <c r="H100" i="76"/>
  <c r="E38" i="76"/>
  <c r="F107" i="76"/>
  <c r="I16" i="76"/>
  <c r="E20" i="76"/>
  <c r="J48" i="76"/>
  <c r="H119" i="76"/>
  <c r="G157" i="76"/>
  <c r="E61" i="75"/>
  <c r="AV14" i="1"/>
  <c r="D161" i="76"/>
  <c r="E18" i="76"/>
  <c r="F16" i="76"/>
  <c r="AC45" i="75"/>
  <c r="G74" i="76"/>
  <c r="Z49" i="75"/>
  <c r="H82" i="76"/>
  <c r="I88" i="76"/>
  <c r="J146" i="76"/>
  <c r="F55" i="75"/>
  <c r="D111" i="76"/>
  <c r="D136" i="76"/>
  <c r="I157" i="76"/>
  <c r="AM14" i="1"/>
  <c r="J106" i="76"/>
  <c r="AY55" i="75"/>
  <c r="AJ48" i="75"/>
  <c r="X51" i="75"/>
  <c r="E141" i="76"/>
  <c r="H7" i="76"/>
  <c r="E163" i="76"/>
  <c r="AS61" i="75"/>
  <c r="N59" i="75"/>
  <c r="U58" i="75"/>
  <c r="G91" i="76"/>
  <c r="H56" i="76"/>
  <c r="F27" i="76"/>
  <c r="AK59" i="75"/>
  <c r="I9" i="76"/>
  <c r="AR49" i="75"/>
  <c r="D88" i="76"/>
  <c r="H117" i="76"/>
  <c r="J102" i="76"/>
  <c r="W51" i="75"/>
  <c r="J70" i="76"/>
  <c r="J44" i="76"/>
  <c r="J20" i="76"/>
  <c r="E140" i="76"/>
  <c r="D7" i="76"/>
  <c r="J13" i="76"/>
  <c r="V45" i="75"/>
  <c r="H114" i="76"/>
  <c r="I102" i="76"/>
  <c r="F87" i="76"/>
  <c r="AR51" i="75"/>
  <c r="AQ48" i="75"/>
  <c r="J51" i="75"/>
  <c r="AE51" i="75"/>
  <c r="E27" i="76"/>
  <c r="AH45" i="75"/>
  <c r="E87" i="76"/>
  <c r="H66" i="76"/>
  <c r="AE58" i="75"/>
  <c r="AW61" i="75"/>
  <c r="J43" i="76"/>
  <c r="AG58" i="75"/>
  <c r="P58" i="75"/>
  <c r="J153" i="76"/>
  <c r="H96" i="76"/>
  <c r="AC51" i="75"/>
  <c r="F158" i="76"/>
  <c r="G10" i="76"/>
  <c r="H15" i="76"/>
  <c r="I22" i="76"/>
  <c r="J169" i="76"/>
  <c r="H148" i="76"/>
  <c r="S14" i="1"/>
  <c r="AE14" i="1"/>
  <c r="G109" i="76"/>
  <c r="G72" i="76"/>
  <c r="K14" i="1"/>
  <c r="AK61" i="75"/>
  <c r="AR61" i="75"/>
  <c r="AV49" i="75"/>
  <c r="O48" i="75"/>
  <c r="D99" i="76"/>
  <c r="I76" i="76"/>
  <c r="Q59" i="75"/>
  <c r="I73" i="76"/>
  <c r="G81" i="76"/>
  <c r="E23" i="76"/>
  <c r="G54" i="76"/>
  <c r="G51" i="75"/>
  <c r="G126" i="76"/>
  <c r="J111" i="76"/>
  <c r="AK55" i="75"/>
  <c r="BA55" i="75"/>
  <c r="H169" i="76"/>
  <c r="I63" i="76"/>
  <c r="F48" i="76"/>
  <c r="H143" i="76"/>
  <c r="F14" i="1"/>
  <c r="D92" i="76"/>
  <c r="E50" i="76"/>
  <c r="AP49" i="75"/>
  <c r="S59" i="75"/>
  <c r="H54" i="76"/>
  <c r="I15" i="76"/>
  <c r="J140" i="76"/>
  <c r="AA58" i="75"/>
  <c r="O45" i="75"/>
  <c r="J134" i="76"/>
  <c r="E82" i="76"/>
  <c r="J115" i="76"/>
  <c r="G7" i="76"/>
  <c r="I105" i="76"/>
  <c r="AT49" i="75"/>
  <c r="D78" i="76"/>
  <c r="H115" i="76"/>
  <c r="H21" i="76"/>
  <c r="H50" i="76"/>
  <c r="J101" i="76"/>
  <c r="I35" i="76"/>
  <c r="J133" i="76"/>
  <c r="G146" i="76"/>
  <c r="F122" i="76"/>
  <c r="G20" i="76"/>
  <c r="J99" i="76"/>
  <c r="F91" i="76"/>
  <c r="H166" i="76"/>
  <c r="AY45" i="75"/>
  <c r="AJ45" i="75"/>
  <c r="E126" i="76"/>
  <c r="E16" i="76"/>
  <c r="J58" i="75"/>
  <c r="F38" i="76"/>
  <c r="G62" i="76"/>
  <c r="G3" i="76"/>
  <c r="AA49" i="75"/>
  <c r="W48" i="75"/>
  <c r="G98" i="76"/>
  <c r="V14" i="1"/>
  <c r="M14" i="1"/>
  <c r="E79" i="76"/>
  <c r="H150" i="76"/>
  <c r="G135" i="76"/>
  <c r="J59" i="75"/>
  <c r="E134" i="76"/>
  <c r="E104" i="76"/>
  <c r="AD45" i="75"/>
  <c r="H45" i="75"/>
  <c r="AF51" i="75"/>
  <c r="W61" i="75"/>
  <c r="D141" i="76"/>
  <c r="H13" i="76"/>
  <c r="I45" i="75"/>
  <c r="E135" i="76"/>
  <c r="Y49" i="75"/>
  <c r="J98" i="76"/>
  <c r="E52" i="76"/>
  <c r="D68" i="76"/>
  <c r="I58" i="75"/>
  <c r="E136" i="76"/>
  <c r="E64" i="76"/>
  <c r="AL49" i="75"/>
  <c r="H86" i="76"/>
  <c r="G78" i="76"/>
  <c r="AF14" i="1"/>
  <c r="G113" i="76"/>
  <c r="I136" i="76"/>
  <c r="AO45" i="75"/>
  <c r="M49" i="75"/>
  <c r="D147" i="76"/>
  <c r="E137" i="76"/>
  <c r="G80" i="76"/>
  <c r="U49" i="75"/>
  <c r="AZ14" i="1"/>
  <c r="F112" i="76"/>
  <c r="E14" i="76"/>
  <c r="D72" i="76"/>
  <c r="G161" i="76"/>
  <c r="L49" i="75"/>
  <c r="H136" i="76"/>
  <c r="H160" i="76"/>
  <c r="E148" i="76"/>
  <c r="J49" i="76"/>
  <c r="E121" i="76"/>
  <c r="F128" i="76"/>
  <c r="D32" i="76"/>
  <c r="G121" i="76"/>
  <c r="D128" i="76"/>
  <c r="E93" i="76"/>
  <c r="D14" i="76"/>
  <c r="H44" i="76"/>
  <c r="E29" i="76"/>
  <c r="J87" i="76"/>
  <c r="D34" i="76"/>
  <c r="H60" i="76"/>
  <c r="AR48" i="75"/>
  <c r="E120" i="76"/>
  <c r="I58" i="76"/>
  <c r="D159" i="76"/>
  <c r="X14" i="1"/>
  <c r="E170" i="76"/>
  <c r="I64" i="76"/>
  <c r="G58" i="75"/>
  <c r="E43" i="76"/>
  <c r="D39" i="76"/>
  <c r="I50" i="76"/>
  <c r="P51" i="75"/>
  <c r="F10" i="76"/>
  <c r="Z51" i="75"/>
  <c r="AJ51" i="75"/>
  <c r="D137" i="76"/>
  <c r="D61" i="75"/>
  <c r="G83" i="76"/>
  <c r="AG59" i="75"/>
  <c r="J35" i="76"/>
  <c r="I32" i="76"/>
  <c r="H28" i="76"/>
  <c r="J82" i="76"/>
  <c r="F35" i="76"/>
  <c r="H42" i="76"/>
  <c r="I107" i="76"/>
  <c r="I14" i="76"/>
  <c r="I127" i="76"/>
  <c r="J41" i="76"/>
  <c r="D74" i="76"/>
  <c r="D15" i="76"/>
  <c r="L51" i="75"/>
  <c r="E107" i="76"/>
  <c r="F133" i="76"/>
  <c r="J10" i="76"/>
  <c r="H91" i="76"/>
  <c r="D8" i="76"/>
  <c r="I135" i="76"/>
  <c r="E19" i="76"/>
  <c r="O61" i="75"/>
  <c r="M61" i="75"/>
  <c r="H158" i="76"/>
  <c r="I112" i="76"/>
  <c r="AS14" i="1"/>
  <c r="I83" i="76"/>
  <c r="I86" i="76"/>
  <c r="H74" i="76"/>
  <c r="H89" i="76"/>
  <c r="E142" i="76"/>
  <c r="J38" i="76"/>
  <c r="G156" i="76"/>
  <c r="E149" i="76"/>
  <c r="E56" i="76"/>
  <c r="G66" i="76"/>
  <c r="AM45" i="75"/>
  <c r="G90" i="76"/>
  <c r="D45" i="76"/>
  <c r="I92" i="76"/>
  <c r="E157" i="76"/>
  <c r="F65" i="76"/>
  <c r="H58" i="76"/>
  <c r="D122" i="76"/>
  <c r="E113" i="76"/>
  <c r="AA48" i="75"/>
  <c r="F68" i="76"/>
  <c r="AB49" i="75"/>
  <c r="I61" i="75"/>
  <c r="F5" i="76"/>
  <c r="E34" i="76"/>
  <c r="AW51" i="75"/>
  <c r="E14" i="1"/>
  <c r="F167" i="76"/>
  <c r="G134" i="76"/>
  <c r="E7" i="76"/>
  <c r="AB45" i="75"/>
  <c r="D5" i="76"/>
  <c r="D120" i="76"/>
  <c r="G41" i="76"/>
  <c r="F76" i="76"/>
  <c r="I103" i="76"/>
  <c r="D165" i="76"/>
  <c r="J110" i="76"/>
  <c r="F116" i="76"/>
  <c r="AP14" i="1"/>
  <c r="G170" i="76"/>
  <c r="G151" i="76"/>
  <c r="AN14" i="1"/>
  <c r="H116" i="76"/>
  <c r="I26" i="76"/>
  <c r="AA14" i="1"/>
  <c r="E111" i="76"/>
  <c r="AB59" i="75"/>
  <c r="H121" i="76"/>
  <c r="G64" i="76"/>
  <c r="D77" i="76"/>
  <c r="H47" i="76"/>
  <c r="I51" i="75"/>
  <c r="H124" i="76"/>
  <c r="J123" i="76"/>
  <c r="I163" i="76"/>
  <c r="D138" i="76"/>
  <c r="AJ58" i="75"/>
  <c r="G107" i="76"/>
  <c r="G75" i="76"/>
  <c r="AH14" i="1"/>
  <c r="F6" i="76"/>
  <c r="D84" i="76"/>
  <c r="W58" i="75"/>
  <c r="AD59" i="75"/>
  <c r="AW59" i="75"/>
  <c r="G136" i="76"/>
  <c r="J165" i="76"/>
  <c r="E91" i="76"/>
  <c r="H27" i="76"/>
  <c r="G2" i="76"/>
  <c r="J30" i="76"/>
  <c r="P61" i="75"/>
  <c r="F53" i="76"/>
  <c r="H99" i="76"/>
  <c r="G105" i="76"/>
  <c r="J90" i="76"/>
  <c r="F98" i="76"/>
  <c r="I96" i="76"/>
  <c r="I119" i="76"/>
  <c r="D21" i="76"/>
  <c r="AU58" i="75"/>
  <c r="I42" i="76"/>
  <c r="J26" i="76"/>
  <c r="F121" i="76"/>
  <c r="E13" i="76"/>
  <c r="I6" i="76"/>
  <c r="AU45" i="75"/>
  <c r="G14" i="76"/>
  <c r="G154" i="76"/>
  <c r="I145" i="76"/>
  <c r="G108" i="76"/>
  <c r="F77" i="76"/>
  <c r="G25" i="76"/>
  <c r="AQ14" i="1"/>
  <c r="L45" i="75"/>
  <c r="J170" i="76"/>
  <c r="Q48" i="75"/>
  <c r="F55" i="76"/>
  <c r="V48" i="75"/>
  <c r="I74" i="76"/>
  <c r="F141" i="76"/>
  <c r="O55" i="75"/>
  <c r="E54" i="76"/>
  <c r="D42" i="76"/>
  <c r="O59" i="75"/>
  <c r="F48" i="75"/>
  <c r="G86" i="76"/>
  <c r="J67" i="76"/>
  <c r="F78" i="76"/>
  <c r="R14" i="1"/>
  <c r="I140" i="76"/>
  <c r="Z59" i="75"/>
  <c r="J104" i="76"/>
  <c r="J16" i="76"/>
  <c r="J121" i="76"/>
  <c r="F138" i="76"/>
  <c r="BA58" i="75"/>
  <c r="J4" i="76"/>
  <c r="J34" i="76"/>
  <c r="I65" i="76"/>
  <c r="I20" i="76"/>
  <c r="AO48" i="75"/>
  <c r="G166" i="76"/>
  <c r="F54" i="76"/>
  <c r="H46" i="76"/>
  <c r="F86" i="76"/>
  <c r="I13" i="76"/>
  <c r="D164" i="76"/>
  <c r="E109" i="76"/>
  <c r="L55" i="75"/>
  <c r="J14" i="1"/>
  <c r="F33" i="76"/>
  <c r="E83" i="76"/>
  <c r="E155" i="76"/>
  <c r="AH51" i="75"/>
  <c r="D40" i="76"/>
  <c r="E147" i="76"/>
  <c r="D38" i="76"/>
  <c r="I132" i="76"/>
  <c r="AG48" i="75"/>
  <c r="AB61" i="75"/>
  <c r="E30" i="76"/>
  <c r="F58" i="76"/>
  <c r="E51" i="76"/>
  <c r="J83" i="76"/>
  <c r="D149" i="76"/>
  <c r="AZ61" i="75"/>
  <c r="J71" i="76"/>
  <c r="E51" i="75"/>
  <c r="E119" i="76"/>
  <c r="G117" i="76"/>
  <c r="F170" i="76"/>
  <c r="AU48" i="75"/>
  <c r="D104" i="76"/>
  <c r="N55" i="75"/>
  <c r="Y48" i="75"/>
  <c r="G77" i="76"/>
  <c r="D67" i="76"/>
  <c r="F61" i="76"/>
  <c r="F137" i="76"/>
  <c r="D119" i="76"/>
  <c r="AV61" i="75"/>
  <c r="D54" i="76"/>
  <c r="I85" i="76"/>
  <c r="E143" i="76"/>
  <c r="E152" i="76"/>
  <c r="E138" i="76"/>
  <c r="I138" i="76"/>
  <c r="E153" i="76"/>
  <c r="D55" i="75"/>
  <c r="F83" i="76"/>
  <c r="E102" i="76"/>
  <c r="I147" i="76"/>
  <c r="AM58" i="75"/>
  <c r="E127" i="76"/>
  <c r="F20" i="76"/>
  <c r="G131" i="76"/>
  <c r="G97" i="76"/>
  <c r="J8" i="76"/>
  <c r="G49" i="76"/>
  <c r="H36" i="76"/>
  <c r="I70" i="76"/>
  <c r="J81" i="76"/>
  <c r="F40" i="76"/>
  <c r="F153" i="76"/>
  <c r="Y14" i="1"/>
  <c r="C163" i="76"/>
  <c r="C73" i="76"/>
  <c r="H170" i="76"/>
  <c r="C150" i="76"/>
  <c r="F23" i="76"/>
  <c r="M48" i="75"/>
  <c r="AX61" i="75"/>
  <c r="E9" i="76"/>
  <c r="E98" i="76"/>
  <c r="E150" i="76"/>
  <c r="J136" i="76"/>
  <c r="AX49" i="75"/>
  <c r="J19" i="76"/>
  <c r="I91" i="76"/>
  <c r="E88" i="76"/>
  <c r="J142" i="76"/>
  <c r="D168" i="76"/>
  <c r="I5" i="76"/>
  <c r="E12" i="76"/>
  <c r="G142" i="76"/>
  <c r="J14" i="76"/>
  <c r="AI59" i="75"/>
  <c r="F95" i="76"/>
  <c r="C141" i="76"/>
  <c r="C44" i="76"/>
  <c r="F8" i="76"/>
  <c r="C11" i="76"/>
  <c r="C122" i="76"/>
  <c r="C67" i="76"/>
  <c r="C58" i="76"/>
  <c r="J80" i="76"/>
  <c r="I109" i="76"/>
  <c r="I29" i="76"/>
  <c r="G38" i="76"/>
  <c r="AC48" i="75"/>
  <c r="T58" i="75"/>
  <c r="G46" i="76"/>
  <c r="E55" i="75"/>
  <c r="AS59" i="75"/>
  <c r="G8" i="76"/>
  <c r="AO51" i="75"/>
  <c r="E25" i="76"/>
  <c r="AN61" i="75"/>
  <c r="G130" i="76"/>
  <c r="G133" i="76"/>
  <c r="U61" i="75"/>
  <c r="H123" i="76"/>
  <c r="J92" i="76"/>
  <c r="N61" i="75"/>
  <c r="I90" i="76"/>
  <c r="D103" i="76"/>
  <c r="O49" i="75"/>
  <c r="AA61" i="75"/>
  <c r="H154" i="76"/>
  <c r="I44" i="76"/>
  <c r="N45" i="75"/>
  <c r="AQ49" i="75"/>
  <c r="H32" i="76"/>
  <c r="J56" i="76"/>
  <c r="M58" i="75"/>
  <c r="G49" i="75"/>
  <c r="F47" i="76"/>
  <c r="I55" i="76"/>
  <c r="G24" i="76"/>
  <c r="G160" i="76"/>
  <c r="G23" i="76"/>
  <c r="I130" i="76"/>
  <c r="I126" i="76"/>
  <c r="F36" i="76"/>
  <c r="J88" i="76"/>
  <c r="Z58" i="75"/>
  <c r="E44" i="76"/>
  <c r="G60" i="76"/>
  <c r="F135" i="76"/>
  <c r="F118" i="76"/>
  <c r="I142" i="76"/>
  <c r="D50" i="76"/>
  <c r="D97" i="76"/>
  <c r="F2" i="76"/>
  <c r="I104" i="76"/>
  <c r="G94" i="76"/>
  <c r="H4" i="76"/>
  <c r="I51" i="76"/>
  <c r="D29" i="76"/>
  <c r="L59" i="75"/>
  <c r="J54" i="76"/>
  <c r="E92" i="76"/>
  <c r="I36" i="76"/>
  <c r="I143" i="76"/>
  <c r="H34" i="76"/>
  <c r="H61" i="75"/>
  <c r="D130" i="76"/>
  <c r="H87" i="76"/>
  <c r="F19" i="76"/>
  <c r="D96" i="76"/>
  <c r="AE45" i="75"/>
  <c r="H64" i="76"/>
  <c r="AP48" i="75"/>
  <c r="X55" i="75"/>
  <c r="D144" i="76"/>
  <c r="H106" i="76"/>
  <c r="H105" i="76"/>
  <c r="I77" i="76"/>
  <c r="E32" i="76"/>
  <c r="J147" i="76"/>
  <c r="H163" i="76"/>
  <c r="AE61" i="75"/>
  <c r="H94" i="76"/>
  <c r="AM51" i="75"/>
  <c r="E39" i="76"/>
  <c r="F88" i="76"/>
  <c r="H147" i="76"/>
  <c r="J39" i="76"/>
  <c r="P14" i="1"/>
  <c r="H97" i="76"/>
  <c r="F62" i="76"/>
  <c r="H25" i="76"/>
  <c r="D61" i="76"/>
  <c r="H35" i="76"/>
  <c r="AF58" i="75"/>
  <c r="BA51" i="75"/>
  <c r="E122" i="76"/>
  <c r="G155" i="76"/>
  <c r="AY49" i="75"/>
  <c r="D170" i="76"/>
  <c r="D153" i="76"/>
  <c r="J6" i="76"/>
  <c r="AX48" i="75"/>
  <c r="AI14" i="1"/>
  <c r="J167" i="76"/>
  <c r="W49" i="75"/>
  <c r="F58" i="75"/>
  <c r="L14" i="1"/>
  <c r="D51" i="76"/>
  <c r="AS48" i="75"/>
  <c r="T49" i="75"/>
  <c r="E144" i="76"/>
  <c r="D167" i="76"/>
  <c r="H168" i="76"/>
  <c r="J74" i="76"/>
  <c r="J49" i="75"/>
  <c r="K55" i="75"/>
  <c r="C104" i="76"/>
  <c r="C78" i="76"/>
  <c r="C88" i="76"/>
  <c r="AJ49" i="75"/>
  <c r="G58" i="76"/>
  <c r="AE49" i="75"/>
  <c r="L61" i="75"/>
  <c r="AT48" i="75"/>
  <c r="I31" i="76"/>
  <c r="F43" i="76"/>
  <c r="H142" i="76"/>
  <c r="J141" i="76"/>
  <c r="I37" i="76"/>
  <c r="J155" i="76"/>
  <c r="D162" i="76"/>
  <c r="G143" i="76"/>
  <c r="F104" i="76"/>
  <c r="AD49" i="75"/>
  <c r="AE59" i="75"/>
  <c r="I89" i="76"/>
  <c r="D31" i="76"/>
  <c r="AX58" i="75"/>
  <c r="C71" i="76"/>
  <c r="C120" i="76"/>
  <c r="C28" i="76"/>
  <c r="C129" i="76"/>
  <c r="C14" i="76"/>
  <c r="C10" i="76"/>
  <c r="I94" i="76"/>
  <c r="C148" i="76"/>
  <c r="C100" i="76"/>
  <c r="I153" i="76"/>
  <c r="C123" i="76"/>
  <c r="C138" i="76"/>
  <c r="C81" i="76"/>
  <c r="AF59" i="75"/>
  <c r="J21" i="76"/>
  <c r="C64" i="76"/>
  <c r="C130" i="76"/>
  <c r="C103" i="76"/>
  <c r="J158" i="76"/>
  <c r="E115" i="76"/>
  <c r="F79" i="76"/>
  <c r="E68" i="76"/>
  <c r="F100" i="76"/>
  <c r="E74" i="76"/>
  <c r="J114" i="76"/>
  <c r="G50" i="76"/>
  <c r="L58" i="75"/>
  <c r="AE55" i="75"/>
  <c r="F70" i="76"/>
  <c r="F71" i="76"/>
  <c r="D143" i="76"/>
  <c r="I170" i="76"/>
  <c r="I40" i="76"/>
  <c r="AB55" i="75"/>
  <c r="AL14" i="1"/>
  <c r="X61" i="75"/>
  <c r="AH58" i="75"/>
  <c r="C91" i="76"/>
  <c r="C94" i="76"/>
  <c r="C18" i="76"/>
  <c r="C56" i="76"/>
  <c r="D52" i="76"/>
  <c r="C126" i="76"/>
  <c r="C132" i="76"/>
  <c r="AK58" i="75"/>
  <c r="G63" i="76"/>
  <c r="E78" i="76"/>
  <c r="H38" i="76"/>
  <c r="J122" i="76"/>
  <c r="F136" i="76"/>
  <c r="J84" i="76"/>
  <c r="X45" i="75"/>
  <c r="F52" i="76"/>
  <c r="D87" i="76"/>
  <c r="H85" i="76"/>
  <c r="AF61" i="75"/>
  <c r="D117" i="76"/>
  <c r="G84" i="76"/>
  <c r="G85" i="76"/>
  <c r="H92" i="76"/>
  <c r="AY14" i="1"/>
  <c r="F11" i="76"/>
  <c r="D2" i="76"/>
  <c r="I111" i="76"/>
  <c r="G102" i="76"/>
  <c r="H51" i="76"/>
  <c r="X59" i="75"/>
  <c r="AO59" i="75"/>
  <c r="T59" i="75"/>
  <c r="D33" i="76"/>
  <c r="G138" i="76"/>
  <c r="E5" i="76"/>
  <c r="I60" i="76"/>
  <c r="AM49" i="75"/>
  <c r="G137" i="76"/>
  <c r="G69" i="76"/>
  <c r="AY51" i="75"/>
  <c r="J151" i="76"/>
  <c r="G47" i="76"/>
  <c r="H59" i="75"/>
  <c r="E72" i="76"/>
  <c r="AD48" i="75"/>
  <c r="J58" i="76"/>
  <c r="J129" i="76"/>
  <c r="I115" i="76"/>
  <c r="I8" i="76"/>
  <c r="H70" i="76"/>
  <c r="E167" i="76"/>
  <c r="AP58" i="75"/>
  <c r="E161" i="76"/>
  <c r="J66" i="76"/>
  <c r="J76" i="76"/>
  <c r="D133" i="76"/>
  <c r="H5" i="76"/>
  <c r="F60" i="76"/>
  <c r="E162" i="76"/>
  <c r="J148" i="76"/>
  <c r="AI55" i="75"/>
  <c r="F147" i="76"/>
  <c r="G101" i="76"/>
  <c r="AS58" i="75"/>
  <c r="J24" i="76"/>
  <c r="H118" i="76"/>
  <c r="H153" i="76"/>
  <c r="H81" i="76"/>
  <c r="J55" i="76"/>
  <c r="D156" i="76"/>
  <c r="I146" i="76"/>
  <c r="I131" i="76"/>
  <c r="D45" i="75"/>
  <c r="H41" i="76"/>
  <c r="D6" i="76"/>
  <c r="G140" i="76"/>
  <c r="AF55" i="75"/>
  <c r="G19" i="76"/>
  <c r="I151" i="76"/>
  <c r="F21" i="76"/>
  <c r="H14" i="76"/>
  <c r="F15" i="76"/>
  <c r="I72" i="76"/>
  <c r="D70" i="76"/>
  <c r="H90" i="76"/>
  <c r="D60" i="76"/>
  <c r="AS51" i="75"/>
  <c r="AC58" i="75"/>
  <c r="J65" i="76"/>
  <c r="BA45" i="75"/>
  <c r="I49" i="75"/>
  <c r="F34" i="76"/>
  <c r="E71" i="76"/>
  <c r="AW55" i="75"/>
  <c r="I41" i="76"/>
  <c r="H72" i="76"/>
  <c r="F97" i="76"/>
  <c r="F26" i="76"/>
  <c r="J29" i="76"/>
  <c r="F115" i="76"/>
  <c r="AP51" i="75"/>
  <c r="AU61" i="75"/>
  <c r="H45" i="76"/>
  <c r="F9" i="76"/>
  <c r="J31" i="76"/>
  <c r="D48" i="75"/>
  <c r="J64" i="76"/>
  <c r="I61" i="76"/>
  <c r="I46" i="76"/>
  <c r="E59" i="76"/>
  <c r="AY58" i="75"/>
  <c r="E42" i="76"/>
  <c r="G150" i="76"/>
  <c r="J152" i="76"/>
  <c r="J25" i="76"/>
  <c r="F69" i="76"/>
  <c r="G115" i="76"/>
  <c r="G127" i="76"/>
  <c r="C40" i="76"/>
  <c r="F37" i="76"/>
  <c r="C110" i="76"/>
  <c r="C124" i="76"/>
  <c r="C76" i="76"/>
  <c r="C96" i="76"/>
  <c r="C146" i="76"/>
  <c r="C23" i="76"/>
  <c r="AY61" i="75"/>
  <c r="F17" i="76"/>
  <c r="G168" i="76"/>
  <c r="C62" i="76"/>
  <c r="F164" i="76"/>
  <c r="J161" i="76"/>
  <c r="K59" i="75"/>
  <c r="D25" i="76"/>
  <c r="E48" i="76"/>
  <c r="J149" i="76"/>
  <c r="H63" i="76"/>
  <c r="H128" i="76"/>
  <c r="I162" i="76"/>
  <c r="F161" i="76"/>
  <c r="AL51" i="75"/>
  <c r="I12" i="76"/>
  <c r="H6" i="76"/>
  <c r="G65" i="76"/>
  <c r="C135" i="76"/>
  <c r="C134" i="76"/>
  <c r="C166" i="76"/>
  <c r="E10" i="76"/>
  <c r="C109" i="76"/>
  <c r="C33" i="76"/>
  <c r="C131" i="76"/>
  <c r="E103" i="76"/>
  <c r="C112" i="76"/>
  <c r="C20" i="76"/>
  <c r="C98" i="76"/>
  <c r="F64" i="76"/>
  <c r="C162" i="76"/>
  <c r="C47" i="76"/>
  <c r="C155" i="76"/>
  <c r="D145" i="76"/>
  <c r="O51" i="75"/>
  <c r="AD58" i="75"/>
  <c r="J97" i="76"/>
  <c r="AZ45" i="75"/>
  <c r="D150" i="76"/>
  <c r="C48" i="76"/>
  <c r="D169" i="76"/>
  <c r="F24" i="76"/>
  <c r="J89" i="76"/>
  <c r="I23" i="76"/>
  <c r="F160" i="76"/>
  <c r="E97" i="76"/>
  <c r="F148" i="76"/>
  <c r="H77" i="76"/>
  <c r="G6" i="76"/>
  <c r="E80" i="76"/>
  <c r="G153" i="76"/>
  <c r="J48" i="75"/>
  <c r="G141" i="76"/>
  <c r="AW49" i="75"/>
  <c r="H127" i="76"/>
  <c r="F102" i="76"/>
  <c r="E169" i="76"/>
  <c r="G162" i="76"/>
  <c r="J144" i="76"/>
  <c r="E63" i="76"/>
  <c r="H20" i="76"/>
  <c r="D80" i="76"/>
  <c r="H12" i="76"/>
  <c r="AL45" i="75"/>
  <c r="J162" i="76"/>
  <c r="J138" i="76"/>
  <c r="C37" i="76"/>
  <c r="O14" i="1"/>
  <c r="J27" i="76"/>
  <c r="G34" i="76"/>
  <c r="F30" i="76"/>
  <c r="F168" i="76"/>
  <c r="AL59" i="75"/>
  <c r="J135" i="76"/>
  <c r="AL58" i="75"/>
  <c r="F117" i="76"/>
  <c r="R61" i="75"/>
  <c r="C86" i="76"/>
  <c r="H162" i="76"/>
  <c r="C154" i="76"/>
  <c r="C61" i="76"/>
  <c r="C35" i="76"/>
  <c r="C143" i="76"/>
  <c r="C65" i="76"/>
  <c r="C144" i="76"/>
  <c r="H144" i="76"/>
  <c r="P45" i="75"/>
  <c r="C140" i="76"/>
  <c r="J124" i="76"/>
  <c r="AI48" i="75"/>
  <c r="AT58" i="75"/>
  <c r="F106" i="76"/>
  <c r="AT61" i="75"/>
  <c r="P48" i="75"/>
  <c r="E99" i="76"/>
  <c r="G31" i="76"/>
  <c r="G48" i="76"/>
  <c r="F96" i="76"/>
  <c r="J46" i="76"/>
  <c r="D71" i="76"/>
  <c r="I148" i="76"/>
  <c r="J7" i="76"/>
  <c r="H152" i="76"/>
  <c r="C142" i="76"/>
  <c r="C32" i="76"/>
  <c r="C160" i="76"/>
  <c r="D129" i="76"/>
  <c r="C50" i="76"/>
  <c r="C34" i="76"/>
  <c r="C63" i="76"/>
  <c r="F152" i="76"/>
  <c r="C36" i="76"/>
  <c r="C49" i="76"/>
  <c r="C107" i="76"/>
  <c r="D118" i="76"/>
  <c r="C75" i="76"/>
  <c r="C167" i="76"/>
  <c r="C12" i="76"/>
  <c r="C3" i="76"/>
  <c r="I25" i="76"/>
  <c r="G29" i="76"/>
  <c r="C156" i="76"/>
  <c r="C45" i="76"/>
  <c r="G33" i="76"/>
  <c r="J37" i="76"/>
  <c r="AQ59" i="75"/>
  <c r="J132" i="76"/>
  <c r="G122" i="76"/>
  <c r="D19" i="76"/>
  <c r="I53" i="76"/>
  <c r="H84" i="76"/>
  <c r="AR59" i="75"/>
  <c r="AM59" i="75"/>
  <c r="E37" i="76"/>
  <c r="I48" i="75"/>
  <c r="I106" i="76"/>
  <c r="AN58" i="75"/>
  <c r="E81" i="76"/>
  <c r="G148" i="76"/>
  <c r="F49" i="75"/>
  <c r="F85" i="76"/>
  <c r="J61" i="75"/>
  <c r="BA59" i="75"/>
  <c r="AN59" i="75"/>
  <c r="BA61" i="75"/>
  <c r="K58" i="75"/>
  <c r="D79" i="76"/>
  <c r="C158" i="76"/>
  <c r="C57" i="76"/>
  <c r="C4" i="76"/>
  <c r="C70" i="76"/>
  <c r="D142" i="76"/>
  <c r="I84" i="76"/>
  <c r="C5" i="76"/>
  <c r="H31" i="76"/>
  <c r="G152" i="76"/>
  <c r="AK49" i="75"/>
  <c r="C53" i="76"/>
  <c r="C8" i="76"/>
  <c r="C6" i="76"/>
  <c r="C101" i="76"/>
  <c r="I47" i="76"/>
  <c r="D83" i="76"/>
  <c r="C95" i="76"/>
  <c r="D11" i="76"/>
  <c r="F32" i="76"/>
  <c r="AO61" i="75"/>
  <c r="J2" i="76"/>
  <c r="I169" i="76"/>
  <c r="I124" i="76"/>
  <c r="C26" i="76"/>
  <c r="C15" i="76"/>
  <c r="C2" i="76"/>
  <c r="C43" i="76"/>
  <c r="C51" i="76"/>
  <c r="C139" i="76"/>
  <c r="C87" i="76"/>
  <c r="C84" i="76"/>
  <c r="C105" i="76"/>
  <c r="C60" i="76"/>
  <c r="D127" i="76"/>
  <c r="D85" i="76"/>
  <c r="H104" i="76"/>
  <c r="D94" i="76"/>
  <c r="G163" i="76"/>
  <c r="AX14" i="1"/>
  <c r="AA51" i="75"/>
  <c r="F12" i="76"/>
  <c r="H59" i="76"/>
  <c r="E65" i="76"/>
  <c r="G40" i="76"/>
  <c r="D95" i="76"/>
  <c r="G119" i="76"/>
  <c r="H49" i="75"/>
  <c r="C55" i="76"/>
  <c r="D126" i="76"/>
  <c r="F50" i="76"/>
  <c r="C152" i="76"/>
  <c r="J85" i="76"/>
  <c r="H126" i="76"/>
  <c r="H65" i="76"/>
  <c r="F92" i="76"/>
  <c r="I52" i="76"/>
  <c r="AB51" i="75"/>
  <c r="I93" i="76"/>
  <c r="C116" i="76"/>
  <c r="C121" i="76"/>
  <c r="H95" i="76"/>
  <c r="I59" i="75"/>
  <c r="E154" i="76"/>
  <c r="H16" i="76"/>
  <c r="F84" i="76"/>
  <c r="D28" i="76"/>
  <c r="F120" i="76"/>
  <c r="G9" i="76"/>
  <c r="H48" i="76"/>
  <c r="E33" i="76"/>
  <c r="AU49" i="75"/>
  <c r="X58" i="75"/>
  <c r="D65" i="76"/>
  <c r="J53" i="76"/>
  <c r="D86" i="76"/>
  <c r="I98" i="76"/>
  <c r="H19" i="76"/>
  <c r="J100" i="76"/>
  <c r="D115" i="76"/>
  <c r="I10" i="76"/>
  <c r="J11" i="76"/>
  <c r="F56" i="76"/>
  <c r="F25" i="76"/>
  <c r="F3" i="76"/>
  <c r="E75" i="76"/>
  <c r="F31" i="76"/>
  <c r="C169" i="76"/>
  <c r="C39" i="76"/>
  <c r="J119" i="76"/>
  <c r="F127" i="76"/>
  <c r="J95" i="76"/>
  <c r="J3" i="76"/>
  <c r="R55" i="75"/>
  <c r="AK51" i="75"/>
  <c r="J164" i="76"/>
  <c r="D152" i="76"/>
  <c r="H37" i="76"/>
  <c r="I152" i="76"/>
  <c r="C42" i="76"/>
  <c r="C106" i="76"/>
  <c r="C72" i="76"/>
  <c r="C82" i="76"/>
  <c r="C117" i="76"/>
  <c r="C52" i="76"/>
  <c r="C77" i="76"/>
  <c r="X49" i="75"/>
  <c r="D12" i="76"/>
  <c r="C59" i="76"/>
  <c r="C133" i="76"/>
  <c r="C83" i="76"/>
  <c r="H132" i="76"/>
  <c r="E60" i="76"/>
  <c r="F14" i="76"/>
  <c r="E31" i="76"/>
  <c r="E17" i="76"/>
  <c r="E110" i="76"/>
  <c r="R59" i="75"/>
  <c r="D106" i="76"/>
  <c r="H17" i="76"/>
  <c r="E95" i="76"/>
  <c r="E45" i="75"/>
  <c r="I168" i="76"/>
  <c r="F162" i="76"/>
  <c r="J61" i="76"/>
  <c r="C118" i="76"/>
  <c r="C7" i="76"/>
  <c r="C170" i="76"/>
  <c r="C161" i="76"/>
  <c r="C127" i="76"/>
  <c r="C89" i="76"/>
  <c r="C99" i="76"/>
  <c r="C151" i="76"/>
  <c r="C113" i="76"/>
  <c r="C80" i="76"/>
  <c r="C102" i="76"/>
  <c r="G37" i="76"/>
  <c r="C29" i="76"/>
  <c r="C66" i="76"/>
  <c r="C93" i="76"/>
  <c r="C21" i="76"/>
  <c r="C25" i="76"/>
  <c r="I78" i="76"/>
  <c r="F144" i="76"/>
  <c r="G5" i="76"/>
  <c r="C111" i="76"/>
  <c r="C38" i="76"/>
  <c r="J113" i="76"/>
  <c r="K48" i="75"/>
  <c r="AV59" i="75"/>
  <c r="G14" i="1"/>
  <c r="W14" i="1"/>
  <c r="D17" i="76"/>
  <c r="R48" i="75"/>
  <c r="T45" i="75"/>
  <c r="I17" i="76"/>
  <c r="F155" i="76"/>
  <c r="I95" i="76"/>
  <c r="H88" i="76"/>
  <c r="E168" i="76"/>
  <c r="G96" i="76"/>
  <c r="G17" i="76"/>
  <c r="H145" i="76"/>
  <c r="S49" i="75"/>
  <c r="D49" i="75"/>
  <c r="J17" i="76"/>
  <c r="G95" i="76"/>
  <c r="J168" i="76"/>
  <c r="J12" i="76"/>
  <c r="C27" i="76"/>
  <c r="C30" i="76"/>
  <c r="C168" i="76"/>
  <c r="D110" i="76"/>
  <c r="H14" i="1"/>
  <c r="D155" i="76"/>
  <c r="D41" i="76"/>
  <c r="C79" i="76"/>
  <c r="J160" i="76"/>
  <c r="AS45" i="75"/>
  <c r="E48" i="75"/>
  <c r="J79" i="76"/>
  <c r="J126" i="76"/>
  <c r="F51" i="76"/>
  <c r="C165" i="76"/>
  <c r="C16" i="76"/>
  <c r="C128" i="76"/>
  <c r="C68" i="76"/>
  <c r="P55" i="75"/>
  <c r="AK48" i="75"/>
  <c r="C46" i="76"/>
  <c r="H8" i="76"/>
  <c r="I21" i="76"/>
  <c r="F42" i="76"/>
  <c r="I113" i="76"/>
  <c r="J120" i="76"/>
  <c r="C54" i="76"/>
  <c r="C145" i="76"/>
  <c r="C41" i="76"/>
  <c r="J105" i="76"/>
  <c r="J32" i="76"/>
  <c r="I154" i="76"/>
  <c r="J166" i="76"/>
  <c r="H26" i="76"/>
  <c r="C69" i="76"/>
  <c r="G52" i="76"/>
  <c r="J96" i="76"/>
  <c r="H22" i="76"/>
  <c r="F73" i="76"/>
  <c r="I129" i="76"/>
  <c r="AV55" i="75"/>
  <c r="R45" i="75"/>
  <c r="AC61" i="75"/>
  <c r="AH48" i="75"/>
  <c r="G118" i="76"/>
  <c r="G114" i="76"/>
  <c r="AI61" i="75"/>
  <c r="Q51" i="75"/>
  <c r="G73" i="76"/>
  <c r="I149" i="76"/>
  <c r="G12" i="76"/>
  <c r="J23" i="76"/>
  <c r="J69" i="76"/>
  <c r="AV48" i="75"/>
  <c r="AM48" i="75"/>
  <c r="F126" i="76"/>
  <c r="J116" i="76"/>
  <c r="I38" i="76"/>
  <c r="AW58" i="75"/>
  <c r="D37" i="76"/>
  <c r="D114" i="76"/>
  <c r="C136" i="76"/>
  <c r="S45" i="75"/>
  <c r="J45" i="76"/>
  <c r="D20" i="76"/>
  <c r="G51" i="76"/>
  <c r="F59" i="76"/>
  <c r="C137" i="76"/>
  <c r="C157" i="76"/>
  <c r="C149" i="76"/>
  <c r="F41" i="76"/>
  <c r="J131" i="76"/>
  <c r="D16" i="76"/>
  <c r="C17" i="76"/>
  <c r="I144" i="76"/>
  <c r="C114" i="76"/>
  <c r="C74" i="76"/>
  <c r="C147" i="76"/>
  <c r="G11" i="76"/>
  <c r="AR14" i="1"/>
  <c r="H40" i="76"/>
  <c r="D43" i="76"/>
  <c r="D105" i="76"/>
  <c r="H83" i="76"/>
  <c r="C153" i="76"/>
  <c r="C9" i="76"/>
  <c r="C22" i="76"/>
  <c r="G68" i="76"/>
  <c r="E96" i="76"/>
  <c r="F119" i="76"/>
  <c r="C115" i="76"/>
  <c r="AG45" i="75"/>
  <c r="C92" i="76"/>
  <c r="C85" i="76"/>
  <c r="C31" i="76"/>
  <c r="C108" i="76"/>
  <c r="C24" i="76"/>
  <c r="C90" i="76"/>
  <c r="C13" i="76"/>
  <c r="C164" i="76"/>
  <c r="C19" i="76"/>
  <c r="I28" i="76"/>
  <c r="C119" i="76"/>
  <c r="C159" i="76"/>
  <c r="S6" i="1" l="1"/>
  <c r="S5" i="1"/>
  <c r="S9" i="1"/>
  <c r="S7" i="1"/>
  <c r="Q11" i="1"/>
  <c r="S10" i="1"/>
  <c r="S8" i="1"/>
  <c r="R6" i="1"/>
  <c r="R5" i="1"/>
  <c r="R9" i="1"/>
  <c r="R10" i="1"/>
  <c r="R8" i="1"/>
  <c r="H6" i="1"/>
  <c r="Q6" i="1"/>
  <c r="Q9" i="1"/>
  <c r="Q7" i="1"/>
  <c r="O11" i="1"/>
  <c r="Q10" i="1"/>
  <c r="Q8" i="1"/>
  <c r="F10" i="1"/>
  <c r="F5" i="1"/>
  <c r="N7" i="1"/>
  <c r="G6" i="1"/>
  <c r="J6" i="1"/>
  <c r="P6" i="1"/>
  <c r="D9" i="1"/>
  <c r="P5" i="1"/>
  <c r="G9" i="1"/>
  <c r="C7" i="1"/>
  <c r="D8" i="1"/>
  <c r="M5" i="1"/>
  <c r="P9" i="1"/>
  <c r="L10" i="1"/>
  <c r="N11" i="1"/>
  <c r="C11" i="1"/>
  <c r="P8" i="1"/>
  <c r="L7" i="1"/>
  <c r="K9" i="1"/>
  <c r="E10" i="1"/>
  <c r="I11" i="1"/>
  <c r="I5" i="1"/>
  <c r="E5" i="1"/>
  <c r="D7" i="1"/>
  <c r="M7" i="1"/>
  <c r="C5" i="1"/>
  <c r="F6" i="1"/>
  <c r="K6" i="1"/>
  <c r="K5" i="1"/>
  <c r="I6" i="1"/>
  <c r="I10" i="1"/>
  <c r="N10" i="1"/>
  <c r="O6" i="1"/>
  <c r="E11" i="1"/>
  <c r="J7" i="1"/>
  <c r="H7" i="1"/>
  <c r="C9" i="1"/>
  <c r="O5" i="1"/>
  <c r="C6" i="1"/>
  <c r="F9" i="1"/>
  <c r="M6" i="1"/>
  <c r="C8" i="1"/>
  <c r="M9" i="1"/>
  <c r="M8" i="1"/>
  <c r="F11" i="1"/>
  <c r="N5" i="1"/>
  <c r="G5" i="1"/>
  <c r="I7" i="1"/>
  <c r="E9" i="1"/>
  <c r="K10" i="1"/>
  <c r="G8" i="1"/>
  <c r="J8" i="1"/>
  <c r="K8" i="1"/>
  <c r="O7" i="1"/>
  <c r="G11" i="1"/>
  <c r="J11" i="1"/>
  <c r="E7" i="1"/>
  <c r="M11" i="1"/>
  <c r="N8" i="1"/>
  <c r="G10" i="1"/>
  <c r="I8" i="1"/>
  <c r="F8" i="1"/>
  <c r="E6" i="1"/>
  <c r="K11" i="1"/>
  <c r="F7" i="1"/>
  <c r="O10" i="1"/>
  <c r="C10" i="1"/>
  <c r="N9" i="1"/>
  <c r="O8" i="1"/>
  <c r="E8" i="1"/>
  <c r="K7" i="1"/>
  <c r="J9" i="1"/>
  <c r="M10" i="1"/>
  <c r="I9" i="1"/>
  <c r="H10" i="1"/>
  <c r="R46" i="75"/>
  <c r="R56" i="75"/>
  <c r="L11" i="1"/>
  <c r="D5" i="1"/>
  <c r="F65" i="75"/>
  <c r="L5" i="1"/>
  <c r="N65" i="75"/>
  <c r="H5" i="1"/>
  <c r="J65" i="75"/>
  <c r="G7" i="1"/>
  <c r="P7" i="1"/>
  <c r="H65" i="75"/>
  <c r="D10" i="1"/>
  <c r="R60" i="75"/>
  <c r="R50" i="75"/>
  <c r="D65" i="75"/>
  <c r="N6" i="1"/>
  <c r="P65" i="75"/>
  <c r="L6" i="1"/>
  <c r="G56" i="75"/>
  <c r="G46" i="75"/>
  <c r="S60" i="75"/>
  <c r="S50" i="75"/>
  <c r="D11" i="1"/>
  <c r="H11" i="1"/>
  <c r="K57" i="75"/>
  <c r="K47" i="75"/>
  <c r="T65" i="75"/>
  <c r="D66" i="75"/>
  <c r="S46" i="75"/>
  <c r="S56" i="75"/>
  <c r="E57" i="75"/>
  <c r="E47" i="75"/>
  <c r="R47" i="75"/>
  <c r="R57" i="75"/>
  <c r="D57" i="75"/>
  <c r="D47" i="75"/>
  <c r="E66" i="75"/>
  <c r="J46" i="75"/>
  <c r="J56" i="75"/>
  <c r="Q65" i="75"/>
  <c r="R66" i="75"/>
  <c r="D46" i="75"/>
  <c r="D56" i="75"/>
  <c r="Q5" i="1"/>
  <c r="S65" i="75"/>
  <c r="J5" i="1"/>
  <c r="L65" i="75"/>
  <c r="O46" i="75"/>
  <c r="O56" i="75"/>
  <c r="G65" i="75"/>
  <c r="D6" i="1"/>
  <c r="J66" i="75"/>
  <c r="H9" i="1"/>
  <c r="N57" i="75"/>
  <c r="N47" i="75"/>
  <c r="F46" i="75"/>
  <c r="F56" i="75"/>
  <c r="R7" i="1"/>
  <c r="E46" i="75"/>
  <c r="E56" i="75"/>
  <c r="N66" i="75"/>
  <c r="D60" i="75"/>
  <c r="D50" i="75"/>
  <c r="Q47" i="75"/>
  <c r="Q57" i="75"/>
  <c r="J47" i="75"/>
  <c r="J57" i="75"/>
  <c r="P11" i="1"/>
  <c r="O50" i="75"/>
  <c r="O60" i="75"/>
  <c r="F50" i="75"/>
  <c r="F60" i="75"/>
  <c r="J10" i="1"/>
  <c r="L8" i="1"/>
  <c r="N60" i="75"/>
  <c r="N50" i="75"/>
  <c r="S57" i="75"/>
  <c r="S47" i="75"/>
  <c r="N46" i="75"/>
  <c r="N56" i="75"/>
  <c r="K50" i="75"/>
  <c r="K60" i="75"/>
  <c r="O47" i="75"/>
  <c r="O57" i="75"/>
  <c r="I66" i="75"/>
  <c r="G57" i="75"/>
  <c r="G47" i="75"/>
  <c r="G60" i="75"/>
  <c r="G50" i="75"/>
  <c r="O9" i="1"/>
  <c r="F57" i="75"/>
  <c r="F47" i="75"/>
  <c r="K56" i="75"/>
  <c r="K46" i="75"/>
  <c r="H8" i="1"/>
  <c r="E60" i="75"/>
  <c r="E50" i="75"/>
  <c r="J60" i="75"/>
  <c r="J50" i="75"/>
  <c r="O65" i="75"/>
  <c r="P10" i="1"/>
  <c r="L9" i="1"/>
  <c r="F66" i="75"/>
  <c r="AG67" i="75"/>
  <c r="O115" i="76"/>
  <c r="L115" i="76"/>
  <c r="P115" i="76"/>
  <c r="M115" i="76"/>
  <c r="Q68" i="76"/>
  <c r="L22" i="76"/>
  <c r="P22" i="76"/>
  <c r="M22" i="76"/>
  <c r="O22" i="76"/>
  <c r="M9" i="76"/>
  <c r="V9" i="76" s="1"/>
  <c r="L9" i="76"/>
  <c r="U9" i="76" s="1"/>
  <c r="P9" i="76"/>
  <c r="Y9" i="76" s="1"/>
  <c r="O9" i="76"/>
  <c r="X9" i="76" s="1"/>
  <c r="O153" i="76"/>
  <c r="P153" i="76"/>
  <c r="M153" i="76"/>
  <c r="L153" i="76"/>
  <c r="N83" i="76"/>
  <c r="K105" i="76"/>
  <c r="T105" i="76" s="1"/>
  <c r="K43" i="76"/>
  <c r="T43" i="76" s="1"/>
  <c r="N40" i="76"/>
  <c r="AS77" i="75"/>
  <c r="Q11" i="76"/>
  <c r="O147" i="76"/>
  <c r="X147" i="76" s="1"/>
  <c r="P147" i="76"/>
  <c r="Y147" i="76" s="1"/>
  <c r="L147" i="76"/>
  <c r="U147" i="76" s="1"/>
  <c r="M147" i="76"/>
  <c r="V147" i="76" s="1"/>
  <c r="O74" i="76"/>
  <c r="M74" i="76"/>
  <c r="L74" i="76"/>
  <c r="P74" i="76"/>
  <c r="M114" i="76"/>
  <c r="V114" i="76" s="1"/>
  <c r="L114" i="76"/>
  <c r="U114" i="76" s="1"/>
  <c r="P114" i="76"/>
  <c r="Y114" i="76" s="1"/>
  <c r="O114" i="76"/>
  <c r="X114" i="76" s="1"/>
  <c r="P17" i="76"/>
  <c r="L17" i="76"/>
  <c r="O17" i="76"/>
  <c r="M17" i="76"/>
  <c r="K16" i="76"/>
  <c r="T16" i="76" s="1"/>
  <c r="L149" i="76"/>
  <c r="P149" i="76"/>
  <c r="M149" i="76"/>
  <c r="O149" i="76"/>
  <c r="L157" i="76"/>
  <c r="M157" i="76"/>
  <c r="O157" i="76"/>
  <c r="P157" i="76"/>
  <c r="M137" i="76"/>
  <c r="P137" i="76"/>
  <c r="O137" i="76"/>
  <c r="L137" i="76"/>
  <c r="Q51" i="76"/>
  <c r="K20" i="76"/>
  <c r="M136" i="76"/>
  <c r="P136" i="76"/>
  <c r="L136" i="76"/>
  <c r="O136" i="76"/>
  <c r="K114" i="76"/>
  <c r="T114" i="76" s="1"/>
  <c r="K37" i="76"/>
  <c r="Q12" i="76"/>
  <c r="Q73" i="76"/>
  <c r="Q114" i="76"/>
  <c r="Q118" i="76"/>
  <c r="AV68" i="75"/>
  <c r="N22" i="76"/>
  <c r="Q52" i="76"/>
  <c r="O69" i="76"/>
  <c r="L69" i="76"/>
  <c r="M69" i="76"/>
  <c r="P69" i="76"/>
  <c r="N26" i="76"/>
  <c r="M41" i="76"/>
  <c r="P41" i="76"/>
  <c r="L41" i="76"/>
  <c r="O41" i="76"/>
  <c r="M145" i="76"/>
  <c r="O145" i="76"/>
  <c r="P145" i="76"/>
  <c r="L145" i="76"/>
  <c r="P54" i="76"/>
  <c r="Y54" i="76" s="1"/>
  <c r="M54" i="76"/>
  <c r="V54" i="76" s="1"/>
  <c r="O54" i="76"/>
  <c r="X54" i="76" s="1"/>
  <c r="L54" i="76"/>
  <c r="U54" i="76" s="1"/>
  <c r="N8" i="76"/>
  <c r="W8" i="76" s="1"/>
  <c r="M46" i="76"/>
  <c r="O46" i="76"/>
  <c r="L46" i="76"/>
  <c r="P46" i="76"/>
  <c r="P68" i="75"/>
  <c r="M68" i="76"/>
  <c r="O68" i="76"/>
  <c r="P68" i="76"/>
  <c r="L68" i="76"/>
  <c r="P128" i="76"/>
  <c r="M128" i="76"/>
  <c r="L128" i="76"/>
  <c r="O128" i="76"/>
  <c r="O16" i="76"/>
  <c r="X16" i="76" s="1"/>
  <c r="P16" i="76"/>
  <c r="Y16" i="76" s="1"/>
  <c r="M16" i="76"/>
  <c r="V16" i="76" s="1"/>
  <c r="L16" i="76"/>
  <c r="U16" i="76" s="1"/>
  <c r="L165" i="76"/>
  <c r="O165" i="76"/>
  <c r="M165" i="76"/>
  <c r="P165" i="76"/>
  <c r="AS67" i="75"/>
  <c r="P79" i="76"/>
  <c r="Y79" i="76" s="1"/>
  <c r="O79" i="76"/>
  <c r="X79" i="76" s="1"/>
  <c r="M79" i="76"/>
  <c r="V79" i="76" s="1"/>
  <c r="L79" i="76"/>
  <c r="U79" i="76" s="1"/>
  <c r="K41" i="76"/>
  <c r="K155" i="76"/>
  <c r="I77" i="75"/>
  <c r="H4" i="1"/>
  <c r="K110" i="76"/>
  <c r="M168" i="76"/>
  <c r="O168" i="76"/>
  <c r="P168" i="76"/>
  <c r="L168" i="76"/>
  <c r="O30" i="76"/>
  <c r="M30" i="76"/>
  <c r="L30" i="76"/>
  <c r="P30" i="76"/>
  <c r="L27" i="76"/>
  <c r="P27" i="76"/>
  <c r="M27" i="76"/>
  <c r="O27" i="76"/>
  <c r="Q95" i="76"/>
  <c r="N145" i="76"/>
  <c r="Q17" i="76"/>
  <c r="Q96" i="76"/>
  <c r="N88" i="76"/>
  <c r="W88" i="76" s="1"/>
  <c r="T67" i="75"/>
  <c r="K17" i="76"/>
  <c r="X77" i="75"/>
  <c r="W4" i="1"/>
  <c r="H77" i="75"/>
  <c r="G4" i="1"/>
  <c r="L38" i="76"/>
  <c r="U38" i="76" s="1"/>
  <c r="M38" i="76"/>
  <c r="V38" i="76" s="1"/>
  <c r="P38" i="76"/>
  <c r="Y38" i="76" s="1"/>
  <c r="O38" i="76"/>
  <c r="X38" i="76" s="1"/>
  <c r="M111" i="76"/>
  <c r="L111" i="76"/>
  <c r="O111" i="76"/>
  <c r="P111" i="76"/>
  <c r="Q5" i="76"/>
  <c r="O25" i="76"/>
  <c r="L25" i="76"/>
  <c r="M25" i="76"/>
  <c r="P25" i="76"/>
  <c r="M21" i="76"/>
  <c r="O21" i="76"/>
  <c r="P21" i="76"/>
  <c r="L21" i="76"/>
  <c r="L93" i="76"/>
  <c r="M93" i="76"/>
  <c r="P93" i="76"/>
  <c r="O93" i="76"/>
  <c r="O66" i="76"/>
  <c r="X66" i="76" s="1"/>
  <c r="P66" i="76"/>
  <c r="Y66" i="76" s="1"/>
  <c r="L66" i="76"/>
  <c r="U66" i="76" s="1"/>
  <c r="M66" i="76"/>
  <c r="V66" i="76" s="1"/>
  <c r="P29" i="76"/>
  <c r="Y29" i="76" s="1"/>
  <c r="M29" i="76"/>
  <c r="V29" i="76" s="1"/>
  <c r="O29" i="76"/>
  <c r="X29" i="76" s="1"/>
  <c r="L29" i="76"/>
  <c r="U29" i="76" s="1"/>
  <c r="Q37" i="76"/>
  <c r="M102" i="76"/>
  <c r="V102" i="76" s="1"/>
  <c r="O102" i="76"/>
  <c r="X102" i="76" s="1"/>
  <c r="P102" i="76"/>
  <c r="Y102" i="76" s="1"/>
  <c r="L102" i="76"/>
  <c r="U102" i="76" s="1"/>
  <c r="M80" i="76"/>
  <c r="O80" i="76"/>
  <c r="P80" i="76"/>
  <c r="L80" i="76"/>
  <c r="P113" i="76"/>
  <c r="Y113" i="76" s="1"/>
  <c r="L113" i="76"/>
  <c r="U113" i="76" s="1"/>
  <c r="M113" i="76"/>
  <c r="V113" i="76" s="1"/>
  <c r="O113" i="76"/>
  <c r="X113" i="76" s="1"/>
  <c r="M151" i="76"/>
  <c r="O151" i="76"/>
  <c r="L151" i="76"/>
  <c r="P151" i="76"/>
  <c r="L99" i="76"/>
  <c r="M99" i="76"/>
  <c r="O99" i="76"/>
  <c r="P99" i="76"/>
  <c r="P89" i="76"/>
  <c r="M89" i="76"/>
  <c r="L89" i="76"/>
  <c r="O89" i="76"/>
  <c r="L127" i="76"/>
  <c r="U127" i="76" s="1"/>
  <c r="P127" i="76"/>
  <c r="Y127" i="76" s="1"/>
  <c r="M127" i="76"/>
  <c r="V127" i="76" s="1"/>
  <c r="O127" i="76"/>
  <c r="X127" i="76" s="1"/>
  <c r="P161" i="76"/>
  <c r="Y161" i="76" s="1"/>
  <c r="L161" i="76"/>
  <c r="U161" i="76" s="1"/>
  <c r="M161" i="76"/>
  <c r="V161" i="76" s="1"/>
  <c r="O161" i="76"/>
  <c r="X161" i="76" s="1"/>
  <c r="M170" i="76"/>
  <c r="V170" i="76" s="1"/>
  <c r="L170" i="76"/>
  <c r="U170" i="76" s="1"/>
  <c r="P170" i="76"/>
  <c r="Y170" i="76" s="1"/>
  <c r="O170" i="76"/>
  <c r="X170" i="76" s="1"/>
  <c r="L7" i="76"/>
  <c r="U7" i="76" s="1"/>
  <c r="O7" i="76"/>
  <c r="X7" i="76" s="1"/>
  <c r="P7" i="76"/>
  <c r="Y7" i="76" s="1"/>
  <c r="M7" i="76"/>
  <c r="V7" i="76" s="1"/>
  <c r="L118" i="76"/>
  <c r="O118" i="76"/>
  <c r="P118" i="76"/>
  <c r="M118" i="76"/>
  <c r="N17" i="76"/>
  <c r="K106" i="76"/>
  <c r="T106" i="76" s="1"/>
  <c r="N132" i="76"/>
  <c r="O83" i="76"/>
  <c r="L83" i="76"/>
  <c r="M83" i="76"/>
  <c r="P83" i="76"/>
  <c r="P133" i="76"/>
  <c r="O133" i="76"/>
  <c r="M133" i="76"/>
  <c r="L133" i="76"/>
  <c r="L59" i="76"/>
  <c r="M59" i="76"/>
  <c r="O59" i="76"/>
  <c r="P59" i="76"/>
  <c r="K12" i="76"/>
  <c r="L77" i="76"/>
  <c r="M77" i="76"/>
  <c r="P77" i="76"/>
  <c r="O77" i="76"/>
  <c r="O52" i="76"/>
  <c r="L52" i="76"/>
  <c r="M52" i="76"/>
  <c r="P52" i="76"/>
  <c r="O117" i="76"/>
  <c r="L117" i="76"/>
  <c r="M117" i="76"/>
  <c r="P117" i="76"/>
  <c r="L82" i="76"/>
  <c r="U82" i="76" s="1"/>
  <c r="O82" i="76"/>
  <c r="X82" i="76" s="1"/>
  <c r="P82" i="76"/>
  <c r="Y82" i="76" s="1"/>
  <c r="M82" i="76"/>
  <c r="V82" i="76" s="1"/>
  <c r="O72" i="76"/>
  <c r="M72" i="76"/>
  <c r="P72" i="76"/>
  <c r="L72" i="76"/>
  <c r="M106" i="76"/>
  <c r="V106" i="76" s="1"/>
  <c r="O106" i="76"/>
  <c r="X106" i="76" s="1"/>
  <c r="P106" i="76"/>
  <c r="Y106" i="76" s="1"/>
  <c r="L106" i="76"/>
  <c r="U106" i="76" s="1"/>
  <c r="L42" i="76"/>
  <c r="U42" i="76" s="1"/>
  <c r="O42" i="76"/>
  <c r="X42" i="76" s="1"/>
  <c r="M42" i="76"/>
  <c r="V42" i="76" s="1"/>
  <c r="P42" i="76"/>
  <c r="Y42" i="76" s="1"/>
  <c r="N37" i="76"/>
  <c r="K152" i="76"/>
  <c r="M39" i="76"/>
  <c r="V39" i="76" s="1"/>
  <c r="O39" i="76"/>
  <c r="X39" i="76" s="1"/>
  <c r="P39" i="76"/>
  <c r="Y39" i="76" s="1"/>
  <c r="L39" i="76"/>
  <c r="U39" i="76" s="1"/>
  <c r="P169" i="76"/>
  <c r="Y169" i="76" s="1"/>
  <c r="O169" i="76"/>
  <c r="X169" i="76" s="1"/>
  <c r="M169" i="76"/>
  <c r="V169" i="76" s="1"/>
  <c r="L169" i="76"/>
  <c r="U169" i="76" s="1"/>
  <c r="K115" i="76"/>
  <c r="K86" i="76"/>
  <c r="K65" i="76"/>
  <c r="N48" i="76"/>
  <c r="W48" i="76" s="1"/>
  <c r="Q9" i="76"/>
  <c r="K28" i="76"/>
  <c r="N16" i="76"/>
  <c r="W16" i="76" s="1"/>
  <c r="N95" i="76"/>
  <c r="O121" i="76"/>
  <c r="M121" i="76"/>
  <c r="L121" i="76"/>
  <c r="P121" i="76"/>
  <c r="P116" i="76"/>
  <c r="O116" i="76"/>
  <c r="M116" i="76"/>
  <c r="L116" i="76"/>
  <c r="N65" i="76"/>
  <c r="N126" i="76"/>
  <c r="M152" i="76"/>
  <c r="P152" i="76"/>
  <c r="L152" i="76"/>
  <c r="O152" i="76"/>
  <c r="K126" i="76"/>
  <c r="P55" i="76"/>
  <c r="L55" i="76"/>
  <c r="O55" i="76"/>
  <c r="M55" i="76"/>
  <c r="K95" i="76"/>
  <c r="Q40" i="76"/>
  <c r="N59" i="76"/>
  <c r="AY77" i="75"/>
  <c r="Q163" i="76"/>
  <c r="K94" i="76"/>
  <c r="T94" i="76" s="1"/>
  <c r="N104" i="76"/>
  <c r="K85" i="76"/>
  <c r="T85" i="76" s="1"/>
  <c r="K127" i="76"/>
  <c r="T127" i="76" s="1"/>
  <c r="L60" i="76"/>
  <c r="O60" i="76"/>
  <c r="P60" i="76"/>
  <c r="M60" i="76"/>
  <c r="L105" i="76"/>
  <c r="U105" i="76" s="1"/>
  <c r="O105" i="76"/>
  <c r="X105" i="76" s="1"/>
  <c r="P105" i="76"/>
  <c r="Y105" i="76" s="1"/>
  <c r="M105" i="76"/>
  <c r="V105" i="76" s="1"/>
  <c r="M84" i="76"/>
  <c r="V84" i="76" s="1"/>
  <c r="O84" i="76"/>
  <c r="X84" i="76" s="1"/>
  <c r="P84" i="76"/>
  <c r="Y84" i="76" s="1"/>
  <c r="L84" i="76"/>
  <c r="U84" i="76" s="1"/>
  <c r="L87" i="76"/>
  <c r="U87" i="76" s="1"/>
  <c r="M87" i="76"/>
  <c r="V87" i="76" s="1"/>
  <c r="P87" i="76"/>
  <c r="Y87" i="76" s="1"/>
  <c r="O87" i="76"/>
  <c r="X87" i="76" s="1"/>
  <c r="L139" i="76"/>
  <c r="P139" i="76"/>
  <c r="M139" i="76"/>
  <c r="O139" i="76"/>
  <c r="M51" i="76"/>
  <c r="V51" i="76" s="1"/>
  <c r="O51" i="76"/>
  <c r="X51" i="76" s="1"/>
  <c r="P51" i="76"/>
  <c r="Y51" i="76" s="1"/>
  <c r="L51" i="76"/>
  <c r="U51" i="76" s="1"/>
  <c r="O43" i="76"/>
  <c r="X43" i="76" s="1"/>
  <c r="M43" i="76"/>
  <c r="V43" i="76" s="1"/>
  <c r="P43" i="76"/>
  <c r="Y43" i="76" s="1"/>
  <c r="L43" i="76"/>
  <c r="U43" i="76" s="1"/>
  <c r="O2" i="76"/>
  <c r="X2" i="76" s="1"/>
  <c r="L2" i="76"/>
  <c r="U2" i="76" s="1"/>
  <c r="M2" i="76"/>
  <c r="P2" i="76"/>
  <c r="Y2" i="76" s="1"/>
  <c r="O15" i="76"/>
  <c r="X15" i="76" s="1"/>
  <c r="P15" i="76"/>
  <c r="Y15" i="76" s="1"/>
  <c r="M15" i="76"/>
  <c r="V15" i="76" s="1"/>
  <c r="L15" i="76"/>
  <c r="U15" i="76" s="1"/>
  <c r="M26" i="76"/>
  <c r="P26" i="76"/>
  <c r="L26" i="76"/>
  <c r="O26" i="76"/>
  <c r="K11" i="76"/>
  <c r="P95" i="76"/>
  <c r="M95" i="76"/>
  <c r="O95" i="76"/>
  <c r="L95" i="76"/>
  <c r="K83" i="76"/>
  <c r="M101" i="76"/>
  <c r="O101" i="76"/>
  <c r="L101" i="76"/>
  <c r="P101" i="76"/>
  <c r="L6" i="76"/>
  <c r="P6" i="76"/>
  <c r="O6" i="76"/>
  <c r="M6" i="76"/>
  <c r="P8" i="76"/>
  <c r="Y8" i="76" s="1"/>
  <c r="L8" i="76"/>
  <c r="U8" i="76" s="1"/>
  <c r="M8" i="76"/>
  <c r="V8" i="76" s="1"/>
  <c r="O8" i="76"/>
  <c r="X8" i="76" s="1"/>
  <c r="P53" i="76"/>
  <c r="Y53" i="76" s="1"/>
  <c r="M53" i="76"/>
  <c r="V53" i="76" s="1"/>
  <c r="L53" i="76"/>
  <c r="U53" i="76" s="1"/>
  <c r="O53" i="76"/>
  <c r="X53" i="76" s="1"/>
  <c r="Q152" i="76"/>
  <c r="L5" i="76"/>
  <c r="U5" i="76" s="1"/>
  <c r="O5" i="76"/>
  <c r="X5" i="76" s="1"/>
  <c r="P5" i="76"/>
  <c r="Y5" i="76" s="1"/>
  <c r="M5" i="76"/>
  <c r="V5" i="76" s="1"/>
  <c r="K142" i="76"/>
  <c r="P70" i="76"/>
  <c r="M70" i="76"/>
  <c r="L70" i="76"/>
  <c r="O70" i="76"/>
  <c r="M4" i="76"/>
  <c r="L4" i="76"/>
  <c r="O4" i="76"/>
  <c r="P4" i="76"/>
  <c r="L57" i="76"/>
  <c r="M57" i="76"/>
  <c r="O57" i="76"/>
  <c r="P57" i="76"/>
  <c r="L158" i="76"/>
  <c r="U158" i="76" s="1"/>
  <c r="M158" i="76"/>
  <c r="V158" i="76" s="1"/>
  <c r="O158" i="76"/>
  <c r="X158" i="76" s="1"/>
  <c r="P158" i="76"/>
  <c r="Y158" i="76" s="1"/>
  <c r="K79" i="76"/>
  <c r="T79" i="76" s="1"/>
  <c r="Q148" i="76"/>
  <c r="N84" i="76"/>
  <c r="W84" i="76" s="1"/>
  <c r="K19" i="76"/>
  <c r="Q122" i="76"/>
  <c r="Q33" i="76"/>
  <c r="L45" i="76"/>
  <c r="U45" i="76" s="1"/>
  <c r="P45" i="76"/>
  <c r="Y45" i="76" s="1"/>
  <c r="M45" i="76"/>
  <c r="V45" i="76" s="1"/>
  <c r="O45" i="76"/>
  <c r="X45" i="76" s="1"/>
  <c r="P156" i="76"/>
  <c r="M156" i="76"/>
  <c r="O156" i="76"/>
  <c r="L156" i="76"/>
  <c r="Q29" i="76"/>
  <c r="O3" i="76"/>
  <c r="L3" i="76"/>
  <c r="M3" i="76"/>
  <c r="P3" i="76"/>
  <c r="M12" i="76"/>
  <c r="P12" i="76"/>
  <c r="O12" i="76"/>
  <c r="L12" i="76"/>
  <c r="L167" i="76"/>
  <c r="U167" i="76" s="1"/>
  <c r="M167" i="76"/>
  <c r="V167" i="76" s="1"/>
  <c r="P167" i="76"/>
  <c r="Y167" i="76" s="1"/>
  <c r="O167" i="76"/>
  <c r="X167" i="76" s="1"/>
  <c r="O75" i="76"/>
  <c r="M75" i="76"/>
  <c r="L75" i="76"/>
  <c r="P75" i="76"/>
  <c r="K118" i="76"/>
  <c r="P107" i="76"/>
  <c r="O107" i="76"/>
  <c r="M107" i="76"/>
  <c r="L107" i="76"/>
  <c r="L49" i="76"/>
  <c r="O49" i="76"/>
  <c r="P49" i="76"/>
  <c r="M49" i="76"/>
  <c r="M36" i="76"/>
  <c r="O36" i="76"/>
  <c r="L36" i="76"/>
  <c r="P36" i="76"/>
  <c r="M63" i="76"/>
  <c r="V63" i="76" s="1"/>
  <c r="P63" i="76"/>
  <c r="Y63" i="76" s="1"/>
  <c r="O63" i="76"/>
  <c r="X63" i="76" s="1"/>
  <c r="L63" i="76"/>
  <c r="U63" i="76" s="1"/>
  <c r="L34" i="76"/>
  <c r="U34" i="76" s="1"/>
  <c r="M34" i="76"/>
  <c r="V34" i="76" s="1"/>
  <c r="O34" i="76"/>
  <c r="X34" i="76" s="1"/>
  <c r="P34" i="76"/>
  <c r="Y34" i="76" s="1"/>
  <c r="L50" i="76"/>
  <c r="U50" i="76" s="1"/>
  <c r="M50" i="76"/>
  <c r="V50" i="76" s="1"/>
  <c r="O50" i="76"/>
  <c r="X50" i="76" s="1"/>
  <c r="P50" i="76"/>
  <c r="Y50" i="76" s="1"/>
  <c r="K129" i="76"/>
  <c r="P160" i="76"/>
  <c r="L160" i="76"/>
  <c r="M160" i="76"/>
  <c r="O160" i="76"/>
  <c r="P32" i="76"/>
  <c r="Y32" i="76" s="1"/>
  <c r="O32" i="76"/>
  <c r="X32" i="76" s="1"/>
  <c r="M32" i="76"/>
  <c r="V32" i="76" s="1"/>
  <c r="L32" i="76"/>
  <c r="U32" i="76" s="1"/>
  <c r="O142" i="76"/>
  <c r="M142" i="76"/>
  <c r="P142" i="76"/>
  <c r="L142" i="76"/>
  <c r="N152" i="76"/>
  <c r="K71" i="76"/>
  <c r="Q48" i="76"/>
  <c r="L140" i="76"/>
  <c r="P140" i="76"/>
  <c r="M140" i="76"/>
  <c r="O140" i="76"/>
  <c r="P67" i="75"/>
  <c r="N144" i="76"/>
  <c r="P144" i="76"/>
  <c r="O144" i="76"/>
  <c r="L144" i="76"/>
  <c r="M144" i="76"/>
  <c r="M65" i="76"/>
  <c r="L65" i="76"/>
  <c r="O65" i="76"/>
  <c r="P65" i="76"/>
  <c r="L143" i="76"/>
  <c r="O143" i="76"/>
  <c r="P143" i="76"/>
  <c r="M143" i="76"/>
  <c r="O35" i="76"/>
  <c r="P35" i="76"/>
  <c r="M35" i="76"/>
  <c r="L35" i="76"/>
  <c r="M61" i="76"/>
  <c r="V61" i="76" s="1"/>
  <c r="L61" i="76"/>
  <c r="U61" i="76" s="1"/>
  <c r="O61" i="76"/>
  <c r="X61" i="76" s="1"/>
  <c r="P61" i="76"/>
  <c r="Y61" i="76" s="1"/>
  <c r="O154" i="76"/>
  <c r="X154" i="76" s="1"/>
  <c r="M154" i="76"/>
  <c r="V154" i="76" s="1"/>
  <c r="L154" i="76"/>
  <c r="U154" i="76" s="1"/>
  <c r="P154" i="76"/>
  <c r="Y154" i="76" s="1"/>
  <c r="N162" i="76"/>
  <c r="L86" i="76"/>
  <c r="M86" i="76"/>
  <c r="O86" i="76"/>
  <c r="P86" i="76"/>
  <c r="Q34" i="76"/>
  <c r="O4" i="1"/>
  <c r="P77" i="75"/>
  <c r="L37" i="76"/>
  <c r="O37" i="76"/>
  <c r="P37" i="76"/>
  <c r="M37" i="76"/>
  <c r="AL67" i="75"/>
  <c r="N12" i="76"/>
  <c r="K80" i="76"/>
  <c r="N20" i="76"/>
  <c r="Q162" i="76"/>
  <c r="N127" i="76"/>
  <c r="W127" i="76" s="1"/>
  <c r="Q141" i="76"/>
  <c r="Q153" i="76"/>
  <c r="Q6" i="76"/>
  <c r="N77" i="76"/>
  <c r="K169" i="76"/>
  <c r="T169" i="76" s="1"/>
  <c r="P48" i="76"/>
  <c r="Y48" i="76" s="1"/>
  <c r="M48" i="76"/>
  <c r="V48" i="76" s="1"/>
  <c r="O48" i="76"/>
  <c r="X48" i="76" s="1"/>
  <c r="L48" i="76"/>
  <c r="U48" i="76" s="1"/>
  <c r="K150" i="76"/>
  <c r="T150" i="76" s="1"/>
  <c r="AZ67" i="75"/>
  <c r="K145" i="76"/>
  <c r="M155" i="76"/>
  <c r="L155" i="76"/>
  <c r="O155" i="76"/>
  <c r="P155" i="76"/>
  <c r="O47" i="76"/>
  <c r="L47" i="76"/>
  <c r="P47" i="76"/>
  <c r="M47" i="76"/>
  <c r="M162" i="76"/>
  <c r="P162" i="76"/>
  <c r="L162" i="76"/>
  <c r="O162" i="76"/>
  <c r="P98" i="76"/>
  <c r="M98" i="76"/>
  <c r="L98" i="76"/>
  <c r="O98" i="76"/>
  <c r="P20" i="76"/>
  <c r="M20" i="76"/>
  <c r="L20" i="76"/>
  <c r="O20" i="76"/>
  <c r="P112" i="76"/>
  <c r="Y112" i="76" s="1"/>
  <c r="O112" i="76"/>
  <c r="X112" i="76" s="1"/>
  <c r="L112" i="76"/>
  <c r="U112" i="76" s="1"/>
  <c r="M112" i="76"/>
  <c r="V112" i="76" s="1"/>
  <c r="P131" i="76"/>
  <c r="L131" i="76"/>
  <c r="M131" i="76"/>
  <c r="O131" i="76"/>
  <c r="P33" i="76"/>
  <c r="O33" i="76"/>
  <c r="M33" i="76"/>
  <c r="L33" i="76"/>
  <c r="L109" i="76"/>
  <c r="M109" i="76"/>
  <c r="P109" i="76"/>
  <c r="O109" i="76"/>
  <c r="L166" i="76"/>
  <c r="P166" i="76"/>
  <c r="M166" i="76"/>
  <c r="O166" i="76"/>
  <c r="L134" i="76"/>
  <c r="M134" i="76"/>
  <c r="P134" i="76"/>
  <c r="O134" i="76"/>
  <c r="M135" i="76"/>
  <c r="V135" i="76" s="1"/>
  <c r="O135" i="76"/>
  <c r="X135" i="76" s="1"/>
  <c r="P135" i="76"/>
  <c r="Y135" i="76" s="1"/>
  <c r="L135" i="76"/>
  <c r="U135" i="76" s="1"/>
  <c r="Q65" i="76"/>
  <c r="N6" i="76"/>
  <c r="N128" i="76"/>
  <c r="N63" i="76"/>
  <c r="W63" i="76" s="1"/>
  <c r="K25" i="76"/>
  <c r="O62" i="76"/>
  <c r="X62" i="76" s="1"/>
  <c r="P62" i="76"/>
  <c r="Y62" i="76" s="1"/>
  <c r="L62" i="76"/>
  <c r="U62" i="76" s="1"/>
  <c r="M62" i="76"/>
  <c r="V62" i="76" s="1"/>
  <c r="Q168" i="76"/>
  <c r="L23" i="76"/>
  <c r="M23" i="76"/>
  <c r="P23" i="76"/>
  <c r="O23" i="76"/>
  <c r="L146" i="76"/>
  <c r="O146" i="76"/>
  <c r="P146" i="76"/>
  <c r="M146" i="76"/>
  <c r="M96" i="76"/>
  <c r="V96" i="76" s="1"/>
  <c r="O96" i="76"/>
  <c r="X96" i="76" s="1"/>
  <c r="L96" i="76"/>
  <c r="U96" i="76" s="1"/>
  <c r="P96" i="76"/>
  <c r="Y96" i="76" s="1"/>
  <c r="O76" i="76"/>
  <c r="L76" i="76"/>
  <c r="M76" i="76"/>
  <c r="P76" i="76"/>
  <c r="O124" i="76"/>
  <c r="M124" i="76"/>
  <c r="P124" i="76"/>
  <c r="L124" i="76"/>
  <c r="L110" i="76"/>
  <c r="O110" i="76"/>
  <c r="M110" i="76"/>
  <c r="P110" i="76"/>
  <c r="O40" i="76"/>
  <c r="L40" i="76"/>
  <c r="P40" i="76"/>
  <c r="M40" i="76"/>
  <c r="Q127" i="76"/>
  <c r="Q115" i="76"/>
  <c r="Q150" i="76"/>
  <c r="N45" i="76"/>
  <c r="W45" i="76" s="1"/>
  <c r="N72" i="76"/>
  <c r="AW68" i="75"/>
  <c r="BA67" i="75"/>
  <c r="K60" i="76"/>
  <c r="T60" i="76" s="1"/>
  <c r="K70" i="76"/>
  <c r="N14" i="76"/>
  <c r="W14" i="76" s="1"/>
  <c r="AF68" i="75"/>
  <c r="Q140" i="76"/>
  <c r="K6" i="76"/>
  <c r="N41" i="76"/>
  <c r="K156" i="76"/>
  <c r="N81" i="76"/>
  <c r="W81" i="76" s="1"/>
  <c r="N153" i="76"/>
  <c r="N118" i="76"/>
  <c r="Q101" i="76"/>
  <c r="AI68" i="75"/>
  <c r="N5" i="76"/>
  <c r="W5" i="76" s="1"/>
  <c r="K133" i="76"/>
  <c r="N70" i="76"/>
  <c r="Q47" i="76"/>
  <c r="Q69" i="76"/>
  <c r="Q137" i="76"/>
  <c r="Q138" i="76"/>
  <c r="K33" i="76"/>
  <c r="N51" i="76"/>
  <c r="W51" i="76" s="1"/>
  <c r="Q102" i="76"/>
  <c r="K2" i="76"/>
  <c r="T2" i="76" s="1"/>
  <c r="AZ77" i="75"/>
  <c r="Q84" i="76"/>
  <c r="K117" i="76"/>
  <c r="K87" i="76"/>
  <c r="T87" i="76" s="1"/>
  <c r="X67" i="75"/>
  <c r="N38" i="76"/>
  <c r="W38" i="76" s="1"/>
  <c r="Q63" i="76"/>
  <c r="L132" i="76"/>
  <c r="O132" i="76"/>
  <c r="M132" i="76"/>
  <c r="P132" i="76"/>
  <c r="M126" i="76"/>
  <c r="L126" i="76"/>
  <c r="O126" i="76"/>
  <c r="P126" i="76"/>
  <c r="K52" i="76"/>
  <c r="M56" i="76"/>
  <c r="V56" i="76" s="1"/>
  <c r="L56" i="76"/>
  <c r="U56" i="76" s="1"/>
  <c r="O56" i="76"/>
  <c r="X56" i="76" s="1"/>
  <c r="P56" i="76"/>
  <c r="Y56" i="76" s="1"/>
  <c r="P18" i="76"/>
  <c r="O18" i="76"/>
  <c r="L18" i="76"/>
  <c r="M18" i="76"/>
  <c r="M94" i="76"/>
  <c r="V94" i="76" s="1"/>
  <c r="O94" i="76"/>
  <c r="X94" i="76" s="1"/>
  <c r="P94" i="76"/>
  <c r="Y94" i="76" s="1"/>
  <c r="L94" i="76"/>
  <c r="U94" i="76" s="1"/>
  <c r="M91" i="76"/>
  <c r="P91" i="76"/>
  <c r="L91" i="76"/>
  <c r="O91" i="76"/>
  <c r="AM77" i="75"/>
  <c r="AB68" i="75"/>
  <c r="K143" i="76"/>
  <c r="AE68" i="75"/>
  <c r="Q50" i="76"/>
  <c r="O103" i="76"/>
  <c r="L103" i="76"/>
  <c r="P103" i="76"/>
  <c r="M103" i="76"/>
  <c r="L130" i="76"/>
  <c r="M130" i="76"/>
  <c r="O130" i="76"/>
  <c r="P130" i="76"/>
  <c r="P64" i="76"/>
  <c r="L64" i="76"/>
  <c r="M64" i="76"/>
  <c r="O64" i="76"/>
  <c r="L81" i="76"/>
  <c r="U81" i="76" s="1"/>
  <c r="P81" i="76"/>
  <c r="Y81" i="76" s="1"/>
  <c r="M81" i="76"/>
  <c r="V81" i="76" s="1"/>
  <c r="O81" i="76"/>
  <c r="X81" i="76" s="1"/>
  <c r="L138" i="76"/>
  <c r="U138" i="76" s="1"/>
  <c r="P138" i="76"/>
  <c r="Y138" i="76" s="1"/>
  <c r="M138" i="76"/>
  <c r="V138" i="76" s="1"/>
  <c r="O138" i="76"/>
  <c r="X138" i="76" s="1"/>
  <c r="M123" i="76"/>
  <c r="P123" i="76"/>
  <c r="L123" i="76"/>
  <c r="O123" i="76"/>
  <c r="M100" i="76"/>
  <c r="V100" i="76" s="1"/>
  <c r="P100" i="76"/>
  <c r="Y100" i="76" s="1"/>
  <c r="O100" i="76"/>
  <c r="X100" i="76" s="1"/>
  <c r="L100" i="76"/>
  <c r="U100" i="76" s="1"/>
  <c r="O148" i="76"/>
  <c r="P148" i="76"/>
  <c r="M148" i="76"/>
  <c r="L148" i="76"/>
  <c r="P10" i="76"/>
  <c r="O10" i="76"/>
  <c r="L10" i="76"/>
  <c r="M10" i="76"/>
  <c r="M14" i="76"/>
  <c r="V14" i="76" s="1"/>
  <c r="P14" i="76"/>
  <c r="Y14" i="76" s="1"/>
  <c r="L14" i="76"/>
  <c r="U14" i="76" s="1"/>
  <c r="O14" i="76"/>
  <c r="X14" i="76" s="1"/>
  <c r="L129" i="76"/>
  <c r="O129" i="76"/>
  <c r="P129" i="76"/>
  <c r="M129" i="76"/>
  <c r="M28" i="76"/>
  <c r="L28" i="76"/>
  <c r="P28" i="76"/>
  <c r="O28" i="76"/>
  <c r="O120" i="76"/>
  <c r="X120" i="76" s="1"/>
  <c r="P120" i="76"/>
  <c r="Y120" i="76" s="1"/>
  <c r="L120" i="76"/>
  <c r="U120" i="76" s="1"/>
  <c r="M120" i="76"/>
  <c r="V120" i="76" s="1"/>
  <c r="P71" i="76"/>
  <c r="O71" i="76"/>
  <c r="M71" i="76"/>
  <c r="L71" i="76"/>
  <c r="K31" i="76"/>
  <c r="Q143" i="76"/>
  <c r="K162" i="76"/>
  <c r="N142" i="76"/>
  <c r="Q58" i="76"/>
  <c r="M88" i="76"/>
  <c r="V88" i="76" s="1"/>
  <c r="L88" i="76"/>
  <c r="U88" i="76" s="1"/>
  <c r="O88" i="76"/>
  <c r="X88" i="76" s="1"/>
  <c r="P88" i="76"/>
  <c r="Y88" i="76" s="1"/>
  <c r="M78" i="76"/>
  <c r="P78" i="76"/>
  <c r="L78" i="76"/>
  <c r="O78" i="76"/>
  <c r="L104" i="76"/>
  <c r="P104" i="76"/>
  <c r="O104" i="76"/>
  <c r="M104" i="76"/>
  <c r="N168" i="76"/>
  <c r="K167" i="76"/>
  <c r="T167" i="76" s="1"/>
  <c r="K51" i="76"/>
  <c r="T51" i="76" s="1"/>
  <c r="M77" i="75"/>
  <c r="L4" i="1"/>
  <c r="AJ77" i="75"/>
  <c r="K153" i="76"/>
  <c r="K170" i="76"/>
  <c r="T170" i="76" s="1"/>
  <c r="Q155" i="76"/>
  <c r="N35" i="76"/>
  <c r="K61" i="76"/>
  <c r="T61" i="76" s="1"/>
  <c r="N25" i="76"/>
  <c r="P4" i="1"/>
  <c r="Q77" i="75"/>
  <c r="N147" i="76"/>
  <c r="W147" i="76" s="1"/>
  <c r="N94" i="76"/>
  <c r="W94" i="76" s="1"/>
  <c r="N163" i="76"/>
  <c r="N105" i="76"/>
  <c r="W105" i="76" s="1"/>
  <c r="N106" i="76"/>
  <c r="W106" i="76" s="1"/>
  <c r="K144" i="76"/>
  <c r="X68" i="75"/>
  <c r="N64" i="76"/>
  <c r="AE67" i="75"/>
  <c r="K96" i="76"/>
  <c r="T96" i="76" s="1"/>
  <c r="N87" i="76"/>
  <c r="W87" i="76" s="1"/>
  <c r="K130" i="76"/>
  <c r="N34" i="76"/>
  <c r="W34" i="76" s="1"/>
  <c r="K29" i="76"/>
  <c r="T29" i="76" s="1"/>
  <c r="N4" i="76"/>
  <c r="Q94" i="76"/>
  <c r="K97" i="76"/>
  <c r="K50" i="76"/>
  <c r="T50" i="76" s="1"/>
  <c r="Q60" i="76"/>
  <c r="Q23" i="76"/>
  <c r="Q160" i="76"/>
  <c r="N32" i="76"/>
  <c r="W32" i="76" s="1"/>
  <c r="N154" i="76"/>
  <c r="W154" i="76" s="1"/>
  <c r="K103" i="76"/>
  <c r="N123" i="76"/>
  <c r="Q133" i="76"/>
  <c r="Q130" i="76"/>
  <c r="Q8" i="76"/>
  <c r="Q46" i="76"/>
  <c r="Q38" i="76"/>
  <c r="L58" i="76"/>
  <c r="O58" i="76"/>
  <c r="P58" i="76"/>
  <c r="M58" i="76"/>
  <c r="P67" i="76"/>
  <c r="Y67" i="76" s="1"/>
  <c r="L67" i="76"/>
  <c r="U67" i="76" s="1"/>
  <c r="M67" i="76"/>
  <c r="V67" i="76" s="1"/>
  <c r="O67" i="76"/>
  <c r="X67" i="76" s="1"/>
  <c r="O122" i="76"/>
  <c r="X122" i="76" s="1"/>
  <c r="P122" i="76"/>
  <c r="Y122" i="76" s="1"/>
  <c r="L122" i="76"/>
  <c r="U122" i="76" s="1"/>
  <c r="M122" i="76"/>
  <c r="V122" i="76" s="1"/>
  <c r="L11" i="76"/>
  <c r="O11" i="76"/>
  <c r="M11" i="76"/>
  <c r="P11" i="76"/>
  <c r="P44" i="76"/>
  <c r="L44" i="76"/>
  <c r="O44" i="76"/>
  <c r="M44" i="76"/>
  <c r="L141" i="76"/>
  <c r="P141" i="76"/>
  <c r="O141" i="76"/>
  <c r="M141" i="76"/>
  <c r="Q142" i="76"/>
  <c r="K168" i="76"/>
  <c r="P150" i="76"/>
  <c r="Y150" i="76" s="1"/>
  <c r="L150" i="76"/>
  <c r="U150" i="76" s="1"/>
  <c r="M150" i="76"/>
  <c r="V150" i="76" s="1"/>
  <c r="O150" i="76"/>
  <c r="X150" i="76" s="1"/>
  <c r="N170" i="76"/>
  <c r="W170" i="76" s="1"/>
  <c r="L73" i="76"/>
  <c r="U73" i="76" s="1"/>
  <c r="M73" i="76"/>
  <c r="V73" i="76" s="1"/>
  <c r="O73" i="76"/>
  <c r="X73" i="76" s="1"/>
  <c r="P73" i="76"/>
  <c r="Y73" i="76" s="1"/>
  <c r="P163" i="76"/>
  <c r="O163" i="76"/>
  <c r="L163" i="76"/>
  <c r="M163" i="76"/>
  <c r="Y4" i="1"/>
  <c r="Z77" i="75"/>
  <c r="N36" i="76"/>
  <c r="Q49" i="76"/>
  <c r="Q131" i="76"/>
  <c r="K54" i="76"/>
  <c r="T54" i="76" s="1"/>
  <c r="K119" i="76"/>
  <c r="K67" i="76"/>
  <c r="T67" i="76" s="1"/>
  <c r="Q77" i="76"/>
  <c r="K104" i="76"/>
  <c r="Q117" i="76"/>
  <c r="K149" i="76"/>
  <c r="K38" i="76"/>
  <c r="T38" i="76" s="1"/>
  <c r="K40" i="76"/>
  <c r="J4" i="1"/>
  <c r="K77" i="75"/>
  <c r="L68" i="75"/>
  <c r="K164" i="76"/>
  <c r="N46" i="76"/>
  <c r="Q166" i="76"/>
  <c r="S77" i="75"/>
  <c r="R4" i="1"/>
  <c r="Q86" i="76"/>
  <c r="K42" i="76"/>
  <c r="T42" i="76" s="1"/>
  <c r="L67" i="75"/>
  <c r="AR77" i="75"/>
  <c r="Q25" i="76"/>
  <c r="Q154" i="76"/>
  <c r="Q14" i="76"/>
  <c r="AU67" i="75"/>
  <c r="K21" i="76"/>
  <c r="Q105" i="76"/>
  <c r="N99" i="76"/>
  <c r="Q2" i="76"/>
  <c r="N27" i="76"/>
  <c r="Q136" i="76"/>
  <c r="K84" i="76"/>
  <c r="T84" i="76" s="1"/>
  <c r="AI77" i="75"/>
  <c r="Q75" i="76"/>
  <c r="Q107" i="76"/>
  <c r="K138" i="76"/>
  <c r="T138" i="76" s="1"/>
  <c r="N124" i="76"/>
  <c r="N47" i="76"/>
  <c r="K77" i="76"/>
  <c r="Q64" i="76"/>
  <c r="N121" i="76"/>
  <c r="AB77" i="75"/>
  <c r="AA4" i="1"/>
  <c r="N116" i="76"/>
  <c r="AO77" i="75"/>
  <c r="Q151" i="76"/>
  <c r="Q170" i="76"/>
  <c r="AQ77" i="75"/>
  <c r="K165" i="76"/>
  <c r="Q41" i="76"/>
  <c r="K120" i="76"/>
  <c r="T120" i="76" s="1"/>
  <c r="K5" i="76"/>
  <c r="T5" i="76" s="1"/>
  <c r="AB67" i="75"/>
  <c r="Q134" i="76"/>
  <c r="E4" i="1"/>
  <c r="F77" i="75"/>
  <c r="K122" i="76"/>
  <c r="T122" i="76" s="1"/>
  <c r="N58" i="76"/>
  <c r="K45" i="76"/>
  <c r="T45" i="76" s="1"/>
  <c r="AM67" i="75"/>
  <c r="Q66" i="76"/>
  <c r="Q156" i="76"/>
  <c r="N89" i="76"/>
  <c r="N74" i="76"/>
  <c r="AT77" i="75"/>
  <c r="N158" i="76"/>
  <c r="W158" i="76" s="1"/>
  <c r="K8" i="76"/>
  <c r="T8" i="76" s="1"/>
  <c r="N91" i="76"/>
  <c r="K15" i="76"/>
  <c r="T15" i="76" s="1"/>
  <c r="K74" i="76"/>
  <c r="N42" i="76"/>
  <c r="W42" i="76" s="1"/>
  <c r="Q83" i="76"/>
  <c r="K137" i="76"/>
  <c r="K39" i="76"/>
  <c r="T39" i="76" s="1"/>
  <c r="Y77" i="75"/>
  <c r="X4" i="1"/>
  <c r="K159" i="76"/>
  <c r="N60" i="76"/>
  <c r="K34" i="76"/>
  <c r="T34" i="76" s="1"/>
  <c r="N44" i="76"/>
  <c r="K14" i="76"/>
  <c r="T14" i="76" s="1"/>
  <c r="K128" i="76"/>
  <c r="Q121" i="76"/>
  <c r="K32" i="76"/>
  <c r="T32" i="76" s="1"/>
  <c r="N160" i="76"/>
  <c r="N136" i="76"/>
  <c r="Q161" i="76"/>
  <c r="K72" i="76"/>
  <c r="BA77" i="75"/>
  <c r="Q80" i="76"/>
  <c r="K147" i="76"/>
  <c r="T147" i="76" s="1"/>
  <c r="AO67" i="75"/>
  <c r="Q113" i="76"/>
  <c r="AG77" i="75"/>
  <c r="Q78" i="76"/>
  <c r="N86" i="76"/>
  <c r="K68" i="76"/>
  <c r="I67" i="75"/>
  <c r="K141" i="76"/>
  <c r="H67" i="75"/>
  <c r="AD67" i="75"/>
  <c r="Q135" i="76"/>
  <c r="N150" i="76"/>
  <c r="W150" i="76" s="1"/>
  <c r="M4" i="1"/>
  <c r="N77" i="75"/>
  <c r="V4" i="1"/>
  <c r="W77" i="75"/>
  <c r="Q98" i="76"/>
  <c r="Q3" i="76"/>
  <c r="Q62" i="76"/>
  <c r="AJ67" i="75"/>
  <c r="AY67" i="75"/>
  <c r="N166" i="76"/>
  <c r="Q20" i="76"/>
  <c r="Q146" i="76"/>
  <c r="N50" i="76"/>
  <c r="W50" i="76" s="1"/>
  <c r="N21" i="76"/>
  <c r="N115" i="76"/>
  <c r="K78" i="76"/>
  <c r="Q7" i="76"/>
  <c r="N54" i="76"/>
  <c r="W54" i="76" s="1"/>
  <c r="K92" i="76"/>
  <c r="F4" i="1"/>
  <c r="G77" i="75"/>
  <c r="N143" i="76"/>
  <c r="N169" i="76"/>
  <c r="W169" i="76" s="1"/>
  <c r="BA68" i="75"/>
  <c r="AK68" i="75"/>
  <c r="Q126" i="76"/>
  <c r="Q54" i="76"/>
  <c r="Q81" i="76"/>
  <c r="K99" i="76"/>
  <c r="L77" i="75"/>
  <c r="K4" i="1"/>
  <c r="Q72" i="76"/>
  <c r="Q109" i="76"/>
  <c r="AF77" i="75"/>
  <c r="S4" i="1"/>
  <c r="T77" i="75"/>
  <c r="N148" i="76"/>
  <c r="N15" i="76"/>
  <c r="W15" i="76" s="1"/>
  <c r="Q10" i="76"/>
  <c r="N96" i="76"/>
  <c r="W96" i="76" s="1"/>
  <c r="N66" i="76"/>
  <c r="W66" i="76" s="1"/>
  <c r="AH67" i="75"/>
  <c r="N114" i="76"/>
  <c r="W114" i="76" s="1"/>
  <c r="V67" i="75"/>
  <c r="K7" i="76"/>
  <c r="T7" i="76" s="1"/>
  <c r="N117" i="76"/>
  <c r="K88" i="76"/>
  <c r="T88" i="76" s="1"/>
  <c r="N56" i="76"/>
  <c r="W56" i="76" s="1"/>
  <c r="Q91" i="76"/>
  <c r="N7" i="76"/>
  <c r="W7" i="76" s="1"/>
  <c r="AY68" i="75"/>
  <c r="AN77" i="75"/>
  <c r="K136" i="76"/>
  <c r="K111" i="76"/>
  <c r="N82" i="76"/>
  <c r="W82" i="76" s="1"/>
  <c r="Q74" i="76"/>
  <c r="AC67" i="75"/>
  <c r="K161" i="76"/>
  <c r="T161" i="76" s="1"/>
  <c r="AW77" i="75"/>
  <c r="Q157" i="76"/>
  <c r="N100" i="76"/>
  <c r="W100" i="76" s="1"/>
  <c r="AU77" i="75"/>
  <c r="Q36" i="76"/>
  <c r="N111" i="76"/>
  <c r="Q71" i="76"/>
  <c r="D77" i="75"/>
  <c r="S1" i="1"/>
  <c r="C4" i="1"/>
  <c r="Q30" i="76"/>
  <c r="K24" i="76"/>
  <c r="T24" i="76" s="1"/>
  <c r="Q144" i="76"/>
  <c r="AD68" i="75"/>
  <c r="Q15" i="76"/>
  <c r="N110" i="76"/>
  <c r="N103" i="76"/>
  <c r="K93" i="76"/>
  <c r="K35" i="76"/>
  <c r="Q44" i="76"/>
  <c r="K112" i="76"/>
  <c r="T112" i="76" s="1"/>
  <c r="M67" i="75"/>
  <c r="AJ68" i="75"/>
  <c r="AA68" i="75"/>
  <c r="Q56" i="76"/>
  <c r="N155" i="76"/>
  <c r="K10" i="76"/>
  <c r="AK77" i="75"/>
  <c r="U68" i="75"/>
  <c r="N101" i="76"/>
  <c r="AS68" i="75"/>
  <c r="N18" i="76"/>
  <c r="K140" i="76"/>
  <c r="K30" i="76"/>
  <c r="Q88" i="76"/>
  <c r="AW67" i="75"/>
  <c r="Q55" i="76"/>
  <c r="N52" i="76"/>
  <c r="K82" i="76"/>
  <c r="T82" i="76" s="1"/>
  <c r="Z68" i="75"/>
  <c r="K3" i="76"/>
  <c r="K148" i="76"/>
  <c r="K157" i="76"/>
  <c r="AL77" i="75"/>
  <c r="AB46" i="1"/>
  <c r="N140" i="76"/>
  <c r="K73" i="76"/>
  <c r="T73" i="76" s="1"/>
  <c r="N102" i="76"/>
  <c r="W102" i="76" s="1"/>
  <c r="AH77" i="75"/>
  <c r="AG68" i="75"/>
  <c r="Q67" i="75"/>
  <c r="N10" i="76"/>
  <c r="K107" i="76"/>
  <c r="N49" i="76"/>
  <c r="K108" i="76"/>
  <c r="K124" i="76"/>
  <c r="K36" i="76"/>
  <c r="Q104" i="76"/>
  <c r="K109" i="76"/>
  <c r="AC68" i="75"/>
  <c r="K139" i="76"/>
  <c r="K116" i="76"/>
  <c r="Q111" i="76"/>
  <c r="AA67" i="75"/>
  <c r="U67" i="75"/>
  <c r="Q167" i="76"/>
  <c r="K146" i="76"/>
  <c r="N156" i="76"/>
  <c r="Q116" i="76"/>
  <c r="N11" i="76"/>
  <c r="K56" i="76"/>
  <c r="T56" i="76" s="1"/>
  <c r="N9" i="76"/>
  <c r="W9" i="76" s="1"/>
  <c r="Q67" i="76"/>
  <c r="Q139" i="76"/>
  <c r="AV67" i="75"/>
  <c r="AN68" i="75"/>
  <c r="K123" i="76"/>
  <c r="AP68" i="75"/>
  <c r="Q165" i="76"/>
  <c r="K151" i="76"/>
  <c r="K4" i="76"/>
  <c r="N80" i="76"/>
  <c r="N165" i="76"/>
  <c r="N2" i="76"/>
  <c r="W2" i="76" s="1"/>
  <c r="Q123" i="76"/>
  <c r="K66" i="76"/>
  <c r="T66" i="76" s="1"/>
  <c r="Q82" i="76"/>
  <c r="W67" i="75"/>
  <c r="N67" i="76"/>
  <c r="W67" i="76" s="1"/>
  <c r="Q89" i="76"/>
  <c r="K26" i="76"/>
  <c r="N157" i="76"/>
  <c r="N135" i="76"/>
  <c r="W135" i="76" s="1"/>
  <c r="T68" i="75"/>
  <c r="N55" i="76"/>
  <c r="AN67" i="75"/>
  <c r="N69" i="76"/>
  <c r="K121" i="76"/>
  <c r="AQ68" i="75"/>
  <c r="K13" i="76"/>
  <c r="K113" i="76"/>
  <c r="T113" i="76" s="1"/>
  <c r="AF67" i="75"/>
  <c r="N133" i="76"/>
  <c r="Q70" i="76"/>
  <c r="K154" i="76"/>
  <c r="T154" i="76" s="1"/>
  <c r="Y67" i="75"/>
  <c r="Q22" i="76"/>
  <c r="Q45" i="76"/>
  <c r="K47" i="76"/>
  <c r="N57" i="76"/>
  <c r="AC77" i="75"/>
  <c r="AB4" i="1"/>
  <c r="K101" i="76"/>
  <c r="K46" i="76"/>
  <c r="K48" i="76"/>
  <c r="T48" i="76" s="1"/>
  <c r="N33" i="76"/>
  <c r="K89" i="76"/>
  <c r="N109" i="76"/>
  <c r="AX68" i="75"/>
  <c r="AK67" i="75"/>
  <c r="N93" i="76"/>
  <c r="Q32" i="76"/>
  <c r="AA77" i="75"/>
  <c r="Z4" i="1"/>
  <c r="N79" i="76"/>
  <c r="W79" i="76" s="1"/>
  <c r="Q110" i="76"/>
  <c r="AH68" i="75"/>
  <c r="Q124" i="76"/>
  <c r="Q103" i="76"/>
  <c r="K131" i="76"/>
  <c r="Q93" i="76"/>
  <c r="Q147" i="76"/>
  <c r="N75" i="76"/>
  <c r="K55" i="76"/>
  <c r="N78" i="76"/>
  <c r="AR68" i="75"/>
  <c r="J77" i="75"/>
  <c r="I4" i="1"/>
  <c r="K160" i="76"/>
  <c r="Q120" i="76"/>
  <c r="AL68" i="75"/>
  <c r="N43" i="76"/>
  <c r="W43" i="76" s="1"/>
  <c r="K75" i="76"/>
  <c r="Q132" i="76"/>
  <c r="N149" i="76"/>
  <c r="Q26" i="76"/>
  <c r="N137" i="76"/>
  <c r="AQ67" i="75"/>
  <c r="N167" i="76"/>
  <c r="W167" i="76" s="1"/>
  <c r="N71" i="76"/>
  <c r="K91" i="76"/>
  <c r="N29" i="76"/>
  <c r="W29" i="76" s="1"/>
  <c r="K102" i="76"/>
  <c r="T102" i="76" s="1"/>
  <c r="N134" i="76"/>
  <c r="N113" i="76"/>
  <c r="W113" i="76" s="1"/>
  <c r="Q158" i="76"/>
  <c r="K18" i="76"/>
  <c r="K57" i="76"/>
  <c r="N30" i="76"/>
  <c r="Q149" i="76"/>
  <c r="K69" i="76"/>
  <c r="K81" i="76"/>
  <c r="T81" i="76" s="1"/>
  <c r="N138" i="76"/>
  <c r="W138" i="76" s="1"/>
  <c r="Q112" i="76"/>
  <c r="Q129" i="76"/>
  <c r="N98" i="76"/>
  <c r="N141" i="76"/>
  <c r="I68" i="75"/>
  <c r="AP77" i="75"/>
  <c r="K49" i="76"/>
  <c r="N122" i="76"/>
  <c r="W122" i="76" s="1"/>
  <c r="K135" i="76"/>
  <c r="T135" i="76" s="1"/>
  <c r="Q61" i="76"/>
  <c r="N107" i="76"/>
  <c r="Q145" i="76"/>
  <c r="K98" i="76"/>
  <c r="N73" i="76"/>
  <c r="W73" i="76" s="1"/>
  <c r="N161" i="76"/>
  <c r="W161" i="76" s="1"/>
  <c r="Q43" i="76"/>
  <c r="Q100" i="76"/>
  <c r="K132" i="76"/>
  <c r="Q128" i="76"/>
  <c r="N130" i="76"/>
  <c r="AD77" i="75"/>
  <c r="Y68" i="75"/>
  <c r="N76" i="76"/>
  <c r="Q4" i="1"/>
  <c r="R77" i="75"/>
  <c r="AO68" i="75"/>
  <c r="Q21" i="76"/>
  <c r="Q106" i="76"/>
  <c r="AT67" i="75"/>
  <c r="K53" i="76"/>
  <c r="T53" i="76" s="1"/>
  <c r="Q79" i="76"/>
  <c r="K27" i="76"/>
  <c r="K59" i="76"/>
  <c r="Q27" i="76"/>
  <c r="K9" i="76"/>
  <c r="T9" i="76" s="1"/>
  <c r="Q53" i="76"/>
  <c r="N139" i="76"/>
  <c r="K62" i="76"/>
  <c r="T62" i="76" s="1"/>
  <c r="N23" i="76"/>
  <c r="K166" i="76"/>
  <c r="K58" i="76"/>
  <c r="AU68" i="75"/>
  <c r="Q76" i="76"/>
  <c r="W68" i="75"/>
  <c r="K64" i="76"/>
  <c r="K23" i="76"/>
  <c r="Q28" i="76"/>
  <c r="N146" i="76"/>
  <c r="Q169" i="76"/>
  <c r="Z67" i="75"/>
  <c r="N61" i="76"/>
  <c r="W61" i="76" s="1"/>
  <c r="N39" i="76"/>
  <c r="W39" i="76" s="1"/>
  <c r="Q35" i="76"/>
  <c r="U77" i="75"/>
  <c r="T4" i="1"/>
  <c r="E77" i="75"/>
  <c r="D4" i="1"/>
  <c r="AV77" i="75"/>
  <c r="Q57" i="76"/>
  <c r="N62" i="76"/>
  <c r="W62" i="76" s="1"/>
  <c r="K158" i="76"/>
  <c r="T158" i="76" s="1"/>
  <c r="S158" i="76" s="1"/>
  <c r="R158" i="76" s="1"/>
  <c r="Q99" i="76"/>
  <c r="AZ68" i="75"/>
  <c r="Q42" i="76"/>
  <c r="M68" i="75"/>
  <c r="AX67" i="75"/>
  <c r="K44" i="76"/>
  <c r="N3" i="76"/>
  <c r="AT68" i="75"/>
  <c r="N120" i="76"/>
  <c r="W120" i="76" s="1"/>
  <c r="S120" i="76" s="1"/>
  <c r="R120" i="76" s="1"/>
  <c r="Q4" i="76"/>
  <c r="N4" i="1"/>
  <c r="O77" i="75"/>
  <c r="K100" i="76"/>
  <c r="T100" i="76" s="1"/>
  <c r="AX77" i="75"/>
  <c r="Q39" i="76"/>
  <c r="K134" i="76"/>
  <c r="N53" i="76"/>
  <c r="W53" i="76" s="1"/>
  <c r="N112" i="76"/>
  <c r="W112" i="76" s="1"/>
  <c r="V68" i="75"/>
  <c r="U4" i="1"/>
  <c r="V77" i="75"/>
  <c r="Q68" i="75"/>
  <c r="AR67" i="75"/>
  <c r="Q18" i="76"/>
  <c r="Q59" i="76"/>
  <c r="Q16" i="76"/>
  <c r="AP67" i="75"/>
  <c r="AI67" i="75"/>
  <c r="N68" i="76"/>
  <c r="AM68" i="75"/>
  <c r="K22" i="76"/>
  <c r="AE77" i="75"/>
  <c r="K63" i="76"/>
  <c r="T63" i="76" s="1"/>
  <c r="K90" i="76"/>
  <c r="N151" i="76"/>
  <c r="Q87" i="76"/>
  <c r="H68" i="75"/>
  <c r="N129" i="76"/>
  <c r="N131" i="76"/>
  <c r="K163" i="76"/>
  <c r="K76" i="76"/>
  <c r="J67" i="75"/>
  <c r="N68" i="75"/>
  <c r="S67" i="75"/>
  <c r="F68" i="75"/>
  <c r="K67" i="75"/>
  <c r="R68" i="75"/>
  <c r="J68" i="75"/>
  <c r="O67" i="75"/>
  <c r="D68" i="75"/>
  <c r="R67" i="75"/>
  <c r="E68" i="75"/>
  <c r="G67" i="75"/>
  <c r="O68" i="75"/>
  <c r="D67" i="75"/>
  <c r="N67" i="75"/>
  <c r="E67" i="75"/>
  <c r="S68" i="75"/>
  <c r="G68" i="75"/>
  <c r="F67" i="75"/>
  <c r="K68" i="75"/>
  <c r="S9" i="76"/>
  <c r="R9" i="76" s="1"/>
  <c r="M13" i="76"/>
  <c r="P13" i="76"/>
  <c r="O13" i="76"/>
  <c r="L13" i="76"/>
  <c r="N13" i="76"/>
  <c r="P24" i="76"/>
  <c r="Y24" i="76" s="1"/>
  <c r="L24" i="76"/>
  <c r="U24" i="76" s="1"/>
  <c r="M24" i="76"/>
  <c r="V24" i="76" s="1"/>
  <c r="O24" i="76"/>
  <c r="X24" i="76" s="1"/>
  <c r="N24" i="76"/>
  <c r="W24" i="76" s="1"/>
  <c r="L164" i="76"/>
  <c r="O164" i="76"/>
  <c r="P164" i="76"/>
  <c r="M164" i="76"/>
  <c r="N164" i="76"/>
  <c r="O108" i="76"/>
  <c r="L108" i="76"/>
  <c r="P108" i="76"/>
  <c r="M108" i="76"/>
  <c r="N108" i="76"/>
  <c r="P85" i="76"/>
  <c r="Y85" i="76" s="1"/>
  <c r="O85" i="76"/>
  <c r="X85" i="76" s="1"/>
  <c r="L85" i="76"/>
  <c r="U85" i="76" s="1"/>
  <c r="M85" i="76"/>
  <c r="V85" i="76" s="1"/>
  <c r="N85" i="76"/>
  <c r="W85" i="76" s="1"/>
  <c r="M90" i="76"/>
  <c r="P90" i="76"/>
  <c r="O90" i="76"/>
  <c r="L90" i="76"/>
  <c r="N90" i="76"/>
  <c r="S82" i="76"/>
  <c r="R82" i="76" s="1"/>
  <c r="S61" i="76"/>
  <c r="R61" i="76" s="1"/>
  <c r="S106" i="76"/>
  <c r="R106" i="76" s="1"/>
  <c r="S127" i="76"/>
  <c r="R127" i="76" s="1"/>
  <c r="Q13" i="76"/>
  <c r="Q24" i="76"/>
  <c r="Q164" i="76"/>
  <c r="P159" i="76"/>
  <c r="M159" i="76"/>
  <c r="Q159" i="76"/>
  <c r="O159" i="76"/>
  <c r="N159" i="76"/>
  <c r="L159" i="76"/>
  <c r="O19" i="76"/>
  <c r="L19" i="76"/>
  <c r="N19" i="76"/>
  <c r="P19" i="76"/>
  <c r="Q19" i="76"/>
  <c r="M19" i="76"/>
  <c r="Q108" i="76"/>
  <c r="Q85" i="76"/>
  <c r="P119" i="76"/>
  <c r="L119" i="76"/>
  <c r="N119" i="76"/>
  <c r="M119" i="76"/>
  <c r="O119" i="76"/>
  <c r="Q119" i="76"/>
  <c r="Q90" i="76"/>
  <c r="M31" i="76"/>
  <c r="N31" i="76"/>
  <c r="Q31" i="76"/>
  <c r="P31" i="76"/>
  <c r="L31" i="76"/>
  <c r="O31" i="76"/>
  <c r="O92" i="76"/>
  <c r="N92" i="76"/>
  <c r="M92" i="76"/>
  <c r="P92" i="76"/>
  <c r="Q92" i="76"/>
  <c r="L92" i="76"/>
  <c r="N28" i="76"/>
  <c r="V2" i="76"/>
  <c r="S2" i="76" s="1"/>
  <c r="R2" i="76" s="1"/>
  <c r="S94" i="76" l="1"/>
  <c r="R94" i="76" s="1"/>
  <c r="S73" i="76"/>
  <c r="R73" i="76" s="1"/>
  <c r="S135" i="76"/>
  <c r="R135" i="76" s="1"/>
  <c r="S14" i="76"/>
  <c r="R14" i="76" s="1"/>
  <c r="S53" i="76"/>
  <c r="R53" i="76" s="1"/>
  <c r="S85" i="76"/>
  <c r="R85" i="76" s="1"/>
  <c r="X3" i="76"/>
  <c r="T24" i="1"/>
  <c r="W3" i="76"/>
  <c r="Q24" i="1"/>
  <c r="Y3" i="76"/>
  <c r="W24" i="1"/>
  <c r="V3" i="76"/>
  <c r="N24" i="1"/>
  <c r="T3" i="76"/>
  <c r="H24" i="1"/>
  <c r="U3" i="76"/>
  <c r="K24" i="1"/>
  <c r="S24" i="76"/>
  <c r="R24" i="76" s="1"/>
  <c r="S161" i="76"/>
  <c r="R161" i="76" s="1"/>
  <c r="S15" i="76"/>
  <c r="R15" i="76" s="1"/>
  <c r="S122" i="76"/>
  <c r="R122" i="76" s="1"/>
  <c r="S54" i="76"/>
  <c r="R54" i="76" s="1"/>
  <c r="S138" i="76"/>
  <c r="R138" i="76" s="1"/>
  <c r="S96" i="76"/>
  <c r="R96" i="76" s="1"/>
  <c r="S167" i="76"/>
  <c r="R167" i="76" s="1"/>
  <c r="S43" i="76"/>
  <c r="R43" i="76" s="1"/>
  <c r="S51" i="76"/>
  <c r="R51" i="76" s="1"/>
  <c r="S39" i="76"/>
  <c r="R39" i="76" s="1"/>
  <c r="S42" i="76"/>
  <c r="R42" i="76" s="1"/>
  <c r="S113" i="76"/>
  <c r="R113" i="76" s="1"/>
  <c r="S38" i="76"/>
  <c r="R38" i="76" s="1"/>
  <c r="S79" i="76"/>
  <c r="R79" i="76" s="1"/>
  <c r="S16" i="76"/>
  <c r="R16" i="76" s="1"/>
  <c r="S114" i="76"/>
  <c r="R114" i="76" s="1"/>
  <c r="S105" i="76"/>
  <c r="R105" i="76" s="1"/>
  <c r="S7" i="76"/>
  <c r="R7" i="76" s="1"/>
  <c r="S150" i="76"/>
  <c r="R150" i="76" s="1"/>
  <c r="S67" i="76"/>
  <c r="R67" i="76" s="1"/>
  <c r="S29" i="76"/>
  <c r="R29" i="76" s="1"/>
  <c r="S112" i="76"/>
  <c r="R112" i="76" s="1"/>
  <c r="S56" i="76"/>
  <c r="R56" i="76" s="1"/>
  <c r="S32" i="76"/>
  <c r="R32" i="76" s="1"/>
  <c r="S5" i="76"/>
  <c r="R5" i="76" s="1"/>
  <c r="S84" i="76"/>
  <c r="R84" i="76" s="1"/>
  <c r="S81" i="76"/>
  <c r="R81" i="76" s="1"/>
  <c r="S66" i="76"/>
  <c r="R66" i="76" s="1"/>
  <c r="S147" i="76"/>
  <c r="R147" i="76" s="1"/>
  <c r="S34" i="76"/>
  <c r="R34" i="76" s="1"/>
  <c r="S8" i="76"/>
  <c r="R8" i="76" s="1"/>
  <c r="S45" i="76"/>
  <c r="R45" i="76" s="1"/>
  <c r="S48" i="76"/>
  <c r="R48" i="76" s="1"/>
  <c r="S50" i="76"/>
  <c r="R50" i="76" s="1"/>
  <c r="S170" i="76"/>
  <c r="R170" i="76" s="1"/>
  <c r="S63" i="76"/>
  <c r="R63" i="76" s="1"/>
  <c r="S100" i="76"/>
  <c r="R100" i="76" s="1"/>
  <c r="S62" i="76"/>
  <c r="R62" i="76" s="1"/>
  <c r="S102" i="76"/>
  <c r="R102" i="76" s="1"/>
  <c r="S154" i="76"/>
  <c r="R154" i="76" s="1"/>
  <c r="S88" i="76"/>
  <c r="R88" i="76" s="1"/>
  <c r="S87" i="76"/>
  <c r="R87" i="76" s="1"/>
  <c r="S169" i="76"/>
  <c r="R169" i="76" s="1"/>
  <c r="S3" i="76" l="1"/>
  <c r="R3" i="76" s="1"/>
  <c r="D125" i="76"/>
  <c r="I125" i="76"/>
  <c r="C125" i="76"/>
  <c r="H125" i="76"/>
  <c r="C97" i="76"/>
  <c r="E125" i="76"/>
  <c r="G125" i="76"/>
  <c r="F125" i="76"/>
  <c r="J125" i="76"/>
  <c r="Q125" i="76" l="1"/>
  <c r="N125" i="76"/>
  <c r="W76" i="76" s="1"/>
  <c r="O125" i="76"/>
  <c r="X151" i="76" s="1"/>
  <c r="L125" i="76"/>
  <c r="M125" i="76"/>
  <c r="P125" i="76"/>
  <c r="Y103" i="76" s="1"/>
  <c r="K125" i="76"/>
  <c r="T18" i="76" s="1"/>
  <c r="P97" i="76"/>
  <c r="O97" i="76"/>
  <c r="X159" i="76" s="1"/>
  <c r="Q97" i="76"/>
  <c r="M97" i="76"/>
  <c r="V57" i="76" s="1"/>
  <c r="N97" i="76"/>
  <c r="L97" i="76"/>
  <c r="U149" i="76" s="1"/>
  <c r="W97" i="76"/>
  <c r="W19" i="76"/>
  <c r="U159" i="76"/>
  <c r="W145" i="76"/>
  <c r="T109" i="76"/>
  <c r="W22" i="76"/>
  <c r="T69" i="76"/>
  <c r="T103" i="76"/>
  <c r="T19" i="76"/>
  <c r="W163" i="76"/>
  <c r="X160" i="76"/>
  <c r="X89" i="76"/>
  <c r="X157" i="76"/>
  <c r="X26" i="76"/>
  <c r="T26" i="1"/>
  <c r="X145" i="76"/>
  <c r="X146" i="76"/>
  <c r="Y68" i="76"/>
  <c r="K26" i="1"/>
  <c r="Y18" i="76"/>
  <c r="W28" i="1"/>
  <c r="Y99" i="76"/>
  <c r="Y110" i="76"/>
  <c r="Y52" i="76"/>
  <c r="Y160" i="76"/>
  <c r="V160" i="76"/>
  <c r="X57" i="76"/>
  <c r="W128" i="76"/>
  <c r="W111" i="76"/>
  <c r="W93" i="76"/>
  <c r="W92" i="76"/>
  <c r="W110" i="76"/>
  <c r="W125" i="76"/>
  <c r="T35" i="76"/>
  <c r="X101" i="76"/>
  <c r="Y109" i="76"/>
  <c r="V75" i="76"/>
  <c r="V156" i="76"/>
  <c r="V46" i="76"/>
  <c r="V44" i="76"/>
  <c r="V11" i="76"/>
  <c r="V98" i="76"/>
  <c r="V110" i="76"/>
  <c r="V123" i="76"/>
  <c r="V109" i="76"/>
  <c r="T141" i="76"/>
  <c r="T57" i="76"/>
  <c r="U131" i="76"/>
  <c r="Q28" i="1"/>
  <c r="X72" i="76"/>
  <c r="V93" i="76"/>
  <c r="T151" i="76"/>
  <c r="T157" i="76"/>
  <c r="T52" i="76"/>
  <c r="V52" i="76"/>
  <c r="Q26" i="1"/>
  <c r="V92" i="76"/>
  <c r="W107" i="76"/>
  <c r="W18" i="76"/>
  <c r="T165" i="76"/>
  <c r="V72" i="76"/>
  <c r="V131" i="76"/>
  <c r="T92" i="76"/>
  <c r="T68" i="76"/>
  <c r="T26" i="76"/>
  <c r="T110" i="76"/>
  <c r="H26" i="1"/>
  <c r="T71" i="76"/>
  <c r="W35" i="76"/>
  <c r="X93" i="76"/>
  <c r="X18" i="76"/>
  <c r="X78" i="76"/>
  <c r="X75" i="76"/>
  <c r="X64" i="76"/>
  <c r="X123" i="76"/>
  <c r="X128" i="76"/>
  <c r="X103" i="76"/>
  <c r="X36" i="76"/>
  <c r="X52" i="76"/>
  <c r="X49" i="76"/>
  <c r="X110" i="76"/>
  <c r="Y49" i="76"/>
  <c r="U71" i="76"/>
  <c r="U78" i="76"/>
  <c r="Y19" i="76"/>
  <c r="Y125" i="76"/>
  <c r="Y159" i="76"/>
  <c r="Y146" i="76"/>
  <c r="Y128" i="76"/>
  <c r="Y64" i="76"/>
  <c r="Y89" i="76"/>
  <c r="Y124" i="76"/>
  <c r="Y165" i="76"/>
  <c r="Y93" i="76"/>
  <c r="X99" i="76"/>
  <c r="V19" i="76"/>
  <c r="W149" i="76"/>
  <c r="W123" i="76"/>
  <c r="W165" i="76"/>
  <c r="W141" i="76"/>
  <c r="W57" i="76"/>
  <c r="W75" i="76"/>
  <c r="W99" i="76"/>
  <c r="T46" i="76"/>
  <c r="V146" i="76"/>
  <c r="V145" i="76"/>
  <c r="N26" i="1"/>
  <c r="V111" i="76"/>
  <c r="V49" i="76"/>
  <c r="T23" i="76"/>
  <c r="W146" i="76"/>
  <c r="T44" i="76"/>
  <c r="V157" i="76"/>
  <c r="T11" i="76"/>
  <c r="T47" i="76"/>
  <c r="T133" i="76"/>
  <c r="V89" i="76"/>
  <c r="X124" i="76"/>
  <c r="X76" i="76"/>
  <c r="V76" i="76"/>
  <c r="T146" i="76"/>
  <c r="T59" i="76"/>
  <c r="U133" i="76"/>
  <c r="Y97" i="76"/>
  <c r="X97" i="76"/>
  <c r="W109" i="76"/>
  <c r="W98" i="76"/>
  <c r="W71" i="76"/>
  <c r="W26" i="76"/>
  <c r="Y151" i="76"/>
  <c r="T36" i="76"/>
  <c r="W72" i="76"/>
  <c r="V23" i="76"/>
  <c r="W23" i="76"/>
  <c r="V36" i="76"/>
  <c r="V28" i="76"/>
  <c r="T28" i="76"/>
  <c r="W89" i="76"/>
  <c r="W59" i="76"/>
  <c r="V133" i="76"/>
  <c r="W101" i="76"/>
  <c r="W68" i="76"/>
  <c r="Y26" i="76"/>
  <c r="W151" i="76"/>
  <c r="W49" i="76"/>
  <c r="T124" i="76"/>
  <c r="T78" i="76"/>
  <c r="V101" i="76"/>
  <c r="W36" i="76"/>
  <c r="W27" i="76"/>
  <c r="W139" i="76"/>
  <c r="N28" i="1"/>
  <c r="V149" i="76"/>
  <c r="X19" i="76"/>
  <c r="X69" i="76"/>
  <c r="Y27" i="76"/>
  <c r="W27" i="1"/>
  <c r="W25" i="1" s="1"/>
  <c r="W47" i="76"/>
  <c r="V116" i="76"/>
  <c r="U165" i="76"/>
  <c r="X35" i="76"/>
  <c r="Y157" i="76"/>
  <c r="Q27" i="1"/>
  <c r="Q25" i="1" s="1"/>
  <c r="V59" i="76"/>
  <c r="X116" i="76"/>
  <c r="W44" i="76"/>
  <c r="X107" i="76"/>
  <c r="Y111" i="76"/>
  <c r="X133" i="76"/>
  <c r="Y163" i="76"/>
  <c r="V68" i="76" l="1"/>
  <c r="V107" i="76"/>
  <c r="Y139" i="76"/>
  <c r="Y28" i="76"/>
  <c r="T28" i="1"/>
  <c r="X77" i="76"/>
  <c r="H28" i="1"/>
  <c r="W160" i="76"/>
  <c r="Y36" i="76"/>
  <c r="V77" i="76"/>
  <c r="T156" i="76"/>
  <c r="T139" i="76"/>
  <c r="V151" i="76"/>
  <c r="Y131" i="76"/>
  <c r="X141" i="76"/>
  <c r="W124" i="76"/>
  <c r="X46" i="76"/>
  <c r="W64" i="76"/>
  <c r="W26" i="1"/>
  <c r="X121" i="76"/>
  <c r="V22" i="76"/>
  <c r="V125" i="76"/>
  <c r="Y47" i="76"/>
  <c r="H27" i="1"/>
  <c r="H25" i="1" s="1"/>
  <c r="Y22" i="76"/>
  <c r="W78" i="76"/>
  <c r="N27" i="1"/>
  <c r="N25" i="1" s="1"/>
  <c r="V71" i="76"/>
  <c r="W52" i="76"/>
  <c r="Y71" i="76"/>
  <c r="Y149" i="76"/>
  <c r="V141" i="76"/>
  <c r="U141" i="76"/>
  <c r="V69" i="76"/>
  <c r="T101" i="76"/>
  <c r="T131" i="76"/>
  <c r="X47" i="76"/>
  <c r="T93" i="76"/>
  <c r="T22" i="76"/>
  <c r="T98" i="76"/>
  <c r="Y77" i="76"/>
  <c r="V18" i="76"/>
  <c r="W11" i="76"/>
  <c r="W159" i="76"/>
  <c r="Y46" i="76"/>
  <c r="Y75" i="76"/>
  <c r="X44" i="76"/>
  <c r="T86" i="76"/>
  <c r="Y107" i="76"/>
  <c r="V47" i="76"/>
  <c r="V103" i="76"/>
  <c r="W131" i="76"/>
  <c r="Y145" i="76"/>
  <c r="Y98" i="76"/>
  <c r="Y101" i="76"/>
  <c r="X165" i="76"/>
  <c r="T27" i="76"/>
  <c r="X80" i="76"/>
  <c r="V26" i="76"/>
  <c r="U98" i="76"/>
  <c r="Y69" i="76"/>
  <c r="Y156" i="76"/>
  <c r="U47" i="76"/>
  <c r="T111" i="76"/>
  <c r="W80" i="76"/>
  <c r="T27" i="1"/>
  <c r="T159" i="76"/>
  <c r="W103" i="76"/>
  <c r="X11" i="76"/>
  <c r="X125" i="76"/>
  <c r="Y116" i="76"/>
  <c r="X28" i="76"/>
  <c r="W133" i="76"/>
  <c r="Y80" i="76"/>
  <c r="W144" i="76"/>
  <c r="W70" i="76"/>
  <c r="W155" i="76"/>
  <c r="W115" i="76"/>
  <c r="W153" i="76"/>
  <c r="W74" i="76"/>
  <c r="W6" i="76"/>
  <c r="W65" i="76"/>
  <c r="W142" i="76"/>
  <c r="W33" i="76"/>
  <c r="W162" i="76"/>
  <c r="W126" i="76"/>
  <c r="W37" i="76"/>
  <c r="W12" i="76"/>
  <c r="W152" i="76"/>
  <c r="W91" i="76"/>
  <c r="W83" i="76"/>
  <c r="W25" i="76"/>
  <c r="W17" i="76"/>
  <c r="W41" i="76"/>
  <c r="W104" i="76"/>
  <c r="W119" i="76"/>
  <c r="W168" i="76"/>
  <c r="W148" i="76"/>
  <c r="W31" i="76"/>
  <c r="W143" i="76"/>
  <c r="W95" i="76"/>
  <c r="Y25" i="76"/>
  <c r="Y83" i="76"/>
  <c r="Y37" i="76"/>
  <c r="Y65" i="76"/>
  <c r="Y144" i="76"/>
  <c r="Y70" i="76"/>
  <c r="Y162" i="76"/>
  <c r="Y95" i="76"/>
  <c r="Y17" i="76"/>
  <c r="Y142" i="76"/>
  <c r="Y143" i="76"/>
  <c r="Y33" i="76"/>
  <c r="Y12" i="76"/>
  <c r="Y153" i="76"/>
  <c r="Y104" i="76"/>
  <c r="Y126" i="76"/>
  <c r="Y155" i="76"/>
  <c r="Y168" i="76"/>
  <c r="Y74" i="76"/>
  <c r="Y119" i="76"/>
  <c r="Y31" i="76"/>
  <c r="Y148" i="76"/>
  <c r="Y41" i="76"/>
  <c r="Y152" i="76"/>
  <c r="Y115" i="76"/>
  <c r="Y91" i="76"/>
  <c r="Y6" i="76"/>
  <c r="U125" i="76"/>
  <c r="V78" i="76"/>
  <c r="V153" i="76"/>
  <c r="V126" i="76"/>
  <c r="V6" i="76"/>
  <c r="V155" i="76"/>
  <c r="V104" i="76"/>
  <c r="V148" i="76"/>
  <c r="V115" i="76"/>
  <c r="V91" i="76"/>
  <c r="V70" i="76"/>
  <c r="V144" i="76"/>
  <c r="V41" i="76"/>
  <c r="V95" i="76"/>
  <c r="V37" i="76"/>
  <c r="V168" i="76"/>
  <c r="V74" i="76"/>
  <c r="V143" i="76"/>
  <c r="V152" i="76"/>
  <c r="V12" i="76"/>
  <c r="V33" i="76"/>
  <c r="V83" i="76"/>
  <c r="V17" i="76"/>
  <c r="V162" i="76"/>
  <c r="V65" i="76"/>
  <c r="V31" i="76"/>
  <c r="V25" i="76"/>
  <c r="V142" i="76"/>
  <c r="V119" i="76"/>
  <c r="T40" i="76"/>
  <c r="T41" i="76"/>
  <c r="T126" i="76"/>
  <c r="T74" i="76"/>
  <c r="T83" i="76"/>
  <c r="T97" i="76"/>
  <c r="T119" i="76"/>
  <c r="T31" i="76"/>
  <c r="T148" i="76"/>
  <c r="T25" i="76"/>
  <c r="T6" i="76"/>
  <c r="T65" i="76"/>
  <c r="T155" i="76"/>
  <c r="T162" i="76"/>
  <c r="T12" i="76"/>
  <c r="T153" i="76"/>
  <c r="T115" i="76"/>
  <c r="T33" i="76"/>
  <c r="T168" i="76"/>
  <c r="T104" i="76"/>
  <c r="T144" i="76"/>
  <c r="T70" i="76"/>
  <c r="T152" i="76"/>
  <c r="T91" i="76"/>
  <c r="T37" i="76"/>
  <c r="T95" i="76"/>
  <c r="T143" i="76"/>
  <c r="T142" i="76"/>
  <c r="T17" i="76"/>
  <c r="U109" i="76"/>
  <c r="U126" i="76"/>
  <c r="U25" i="76"/>
  <c r="U144" i="76"/>
  <c r="U155" i="76"/>
  <c r="U83" i="76"/>
  <c r="U17" i="76"/>
  <c r="U31" i="76"/>
  <c r="U95" i="76"/>
  <c r="U152" i="76"/>
  <c r="U162" i="76"/>
  <c r="U12" i="76"/>
  <c r="U37" i="76"/>
  <c r="U168" i="76"/>
  <c r="U148" i="76"/>
  <c r="U142" i="76"/>
  <c r="U6" i="76"/>
  <c r="U153" i="76"/>
  <c r="U119" i="76"/>
  <c r="U104" i="76"/>
  <c r="U143" i="76"/>
  <c r="U115" i="76"/>
  <c r="U70" i="76"/>
  <c r="U33" i="76"/>
  <c r="U65" i="76"/>
  <c r="U74" i="76"/>
  <c r="U91" i="76"/>
  <c r="U41" i="76"/>
  <c r="X68" i="76"/>
  <c r="X104" i="76"/>
  <c r="X143" i="76"/>
  <c r="X142" i="76"/>
  <c r="X74" i="76"/>
  <c r="X91" i="76"/>
  <c r="X83" i="76"/>
  <c r="X115" i="76"/>
  <c r="X155" i="76"/>
  <c r="X17" i="76"/>
  <c r="X6" i="76"/>
  <c r="X33" i="76"/>
  <c r="X152" i="76"/>
  <c r="X126" i="76"/>
  <c r="X119" i="76"/>
  <c r="X12" i="76"/>
  <c r="X95" i="76"/>
  <c r="X37" i="76"/>
  <c r="X70" i="76"/>
  <c r="X148" i="76"/>
  <c r="X168" i="76"/>
  <c r="X31" i="76"/>
  <c r="X25" i="76"/>
  <c r="X153" i="76"/>
  <c r="S153" i="76" s="1"/>
  <c r="X65" i="76"/>
  <c r="X162" i="76"/>
  <c r="X144" i="76"/>
  <c r="X41" i="76"/>
  <c r="T116" i="76"/>
  <c r="X22" i="76"/>
  <c r="V86" i="76"/>
  <c r="V99" i="76"/>
  <c r="T49" i="76"/>
  <c r="W46" i="76"/>
  <c r="X149" i="76"/>
  <c r="X109" i="76"/>
  <c r="X71" i="76"/>
  <c r="T128" i="76"/>
  <c r="X163" i="76"/>
  <c r="X156" i="76"/>
  <c r="X86" i="76"/>
  <c r="W116" i="76"/>
  <c r="V97" i="76"/>
  <c r="X139" i="76"/>
  <c r="V124" i="76"/>
  <c r="Y141" i="76"/>
  <c r="W121" i="76"/>
  <c r="T89" i="76"/>
  <c r="T80" i="76"/>
  <c r="T125" i="76"/>
  <c r="V163" i="76"/>
  <c r="Y123" i="76"/>
  <c r="Y121" i="76"/>
  <c r="V128" i="76"/>
  <c r="W157" i="76"/>
  <c r="Y72" i="76"/>
  <c r="X59" i="76"/>
  <c r="Y76" i="76"/>
  <c r="V159" i="76"/>
  <c r="T99" i="76"/>
  <c r="W28" i="76"/>
  <c r="U151" i="76"/>
  <c r="U146" i="76"/>
  <c r="X92" i="76"/>
  <c r="U36" i="76"/>
  <c r="T164" i="76"/>
  <c r="T55" i="76"/>
  <c r="V35" i="76"/>
  <c r="V64" i="76"/>
  <c r="V165" i="76"/>
  <c r="V139" i="76"/>
  <c r="X23" i="76"/>
  <c r="T75" i="76"/>
  <c r="W156" i="76"/>
  <c r="Y78" i="76"/>
  <c r="T10" i="76"/>
  <c r="T130" i="76"/>
  <c r="V80" i="76"/>
  <c r="X27" i="76"/>
  <c r="W86" i="76"/>
  <c r="V27" i="76"/>
  <c r="V121" i="76"/>
  <c r="W77" i="76"/>
  <c r="X111" i="76"/>
  <c r="Y57" i="76"/>
  <c r="X131" i="76"/>
  <c r="S131" i="76" s="1"/>
  <c r="T76" i="76"/>
  <c r="T107" i="76"/>
  <c r="T30" i="76"/>
  <c r="T118" i="76"/>
  <c r="Y44" i="76"/>
  <c r="Y11" i="76"/>
  <c r="T149" i="76"/>
  <c r="T77" i="76"/>
  <c r="T163" i="76"/>
  <c r="T4" i="76"/>
  <c r="T90" i="76"/>
  <c r="T13" i="76"/>
  <c r="T166" i="76"/>
  <c r="T134" i="76"/>
  <c r="Y59" i="76"/>
  <c r="Y23" i="76"/>
  <c r="T160" i="76"/>
  <c r="T72" i="76"/>
  <c r="T64" i="76"/>
  <c r="T145" i="76"/>
  <c r="T108" i="76"/>
  <c r="T20" i="76"/>
  <c r="T132" i="76"/>
  <c r="T140" i="76"/>
  <c r="W69" i="76"/>
  <c r="Y133" i="76"/>
  <c r="Y92" i="76"/>
  <c r="Y86" i="76"/>
  <c r="Y35" i="76"/>
  <c r="T121" i="76"/>
  <c r="T123" i="76"/>
  <c r="T137" i="76"/>
  <c r="T58" i="76"/>
  <c r="T129" i="76"/>
  <c r="T136" i="76"/>
  <c r="T117" i="76"/>
  <c r="T21" i="76"/>
  <c r="T25" i="1"/>
  <c r="S159" i="76"/>
  <c r="S125" i="76"/>
  <c r="U116" i="76"/>
  <c r="U156" i="76"/>
  <c r="S156" i="76" s="1"/>
  <c r="U68" i="76"/>
  <c r="U52" i="76"/>
  <c r="S52" i="76" s="1"/>
  <c r="U18" i="76"/>
  <c r="S18" i="76" s="1"/>
  <c r="U163" i="76"/>
  <c r="S163" i="76" s="1"/>
  <c r="U23" i="76"/>
  <c r="U27" i="76"/>
  <c r="U75" i="76"/>
  <c r="S75" i="76" s="1"/>
  <c r="U44" i="76"/>
  <c r="S44" i="76" s="1"/>
  <c r="U86" i="76"/>
  <c r="U80" i="76"/>
  <c r="U110" i="76"/>
  <c r="S110" i="76" s="1"/>
  <c r="U107" i="76"/>
  <c r="S107" i="76" s="1"/>
  <c r="S68" i="76"/>
  <c r="U97" i="76"/>
  <c r="S151" i="76"/>
  <c r="K28" i="1"/>
  <c r="U93" i="76"/>
  <c r="S93" i="76" s="1"/>
  <c r="U103" i="76"/>
  <c r="S103" i="76" s="1"/>
  <c r="U157" i="76"/>
  <c r="S157" i="76" s="1"/>
  <c r="U77" i="76"/>
  <c r="S77" i="76" s="1"/>
  <c r="U92" i="76"/>
  <c r="U35" i="76"/>
  <c r="U72" i="76"/>
  <c r="K27" i="1"/>
  <c r="U69" i="76"/>
  <c r="S69" i="76" s="1"/>
  <c r="U101" i="76"/>
  <c r="S101" i="76" s="1"/>
  <c r="U64" i="76"/>
  <c r="U26" i="76"/>
  <c r="S26" i="76" s="1"/>
  <c r="U121" i="76"/>
  <c r="U123" i="76"/>
  <c r="U19" i="76"/>
  <c r="S19" i="76" s="1"/>
  <c r="S133" i="76"/>
  <c r="S165" i="76"/>
  <c r="S149" i="76"/>
  <c r="S78" i="76"/>
  <c r="S71" i="76"/>
  <c r="U89" i="76"/>
  <c r="S141" i="76"/>
  <c r="U11" i="76"/>
  <c r="U59" i="76"/>
  <c r="S59" i="76" s="1"/>
  <c r="U128" i="76"/>
  <c r="S128" i="76" s="1"/>
  <c r="U124" i="76"/>
  <c r="U49" i="76"/>
  <c r="S49" i="76" s="1"/>
  <c r="U28" i="76"/>
  <c r="S28" i="76" s="1"/>
  <c r="U160" i="76"/>
  <c r="S160" i="76" s="1"/>
  <c r="U99" i="76"/>
  <c r="U76" i="76"/>
  <c r="S76" i="76" s="1"/>
  <c r="U111" i="76"/>
  <c r="S111" i="76" s="1"/>
  <c r="S47" i="76"/>
  <c r="S97" i="76"/>
  <c r="U57" i="76"/>
  <c r="S57" i="76" s="1"/>
  <c r="W21" i="76"/>
  <c r="W108" i="76"/>
  <c r="W30" i="76"/>
  <c r="W55" i="76"/>
  <c r="W58" i="76"/>
  <c r="W4" i="76"/>
  <c r="W10" i="76"/>
  <c r="W164" i="76"/>
  <c r="W132" i="76"/>
  <c r="W140" i="76"/>
  <c r="W136" i="76"/>
  <c r="W13" i="76"/>
  <c r="W137" i="76"/>
  <c r="W134" i="76"/>
  <c r="W60" i="76"/>
  <c r="W90" i="76"/>
  <c r="W40" i="76"/>
  <c r="W129" i="76"/>
  <c r="W130" i="76"/>
  <c r="W118" i="76"/>
  <c r="W117" i="76"/>
  <c r="W166" i="76"/>
  <c r="W20" i="76"/>
  <c r="V58" i="76"/>
  <c r="V4" i="76"/>
  <c r="V140" i="76"/>
  <c r="V108" i="76"/>
  <c r="V21" i="76"/>
  <c r="V20" i="76"/>
  <c r="V117" i="76"/>
  <c r="V118" i="76"/>
  <c r="V137" i="76"/>
  <c r="V132" i="76"/>
  <c r="V10" i="76"/>
  <c r="V129" i="76"/>
  <c r="V55" i="76"/>
  <c r="V136" i="76"/>
  <c r="V164" i="76"/>
  <c r="V30" i="76"/>
  <c r="V134" i="76"/>
  <c r="V13" i="76"/>
  <c r="V166" i="76"/>
  <c r="V40" i="76"/>
  <c r="V130" i="76"/>
  <c r="V90" i="76"/>
  <c r="V60" i="76"/>
  <c r="X98" i="76"/>
  <c r="S98" i="76" s="1"/>
  <c r="X30" i="76"/>
  <c r="X132" i="76"/>
  <c r="X140" i="76"/>
  <c r="X117" i="76"/>
  <c r="X134" i="76"/>
  <c r="X20" i="76"/>
  <c r="X58" i="76"/>
  <c r="X108" i="76"/>
  <c r="X130" i="76"/>
  <c r="X118" i="76"/>
  <c r="X129" i="76"/>
  <c r="X40" i="76"/>
  <c r="X164" i="76"/>
  <c r="X10" i="76"/>
  <c r="X166" i="76"/>
  <c r="X137" i="76"/>
  <c r="X136" i="76"/>
  <c r="X60" i="76"/>
  <c r="X4" i="76"/>
  <c r="X90" i="76"/>
  <c r="X21" i="76"/>
  <c r="X13" i="76"/>
  <c r="X55" i="76"/>
  <c r="Y60" i="76"/>
  <c r="Y166" i="76"/>
  <c r="Y30" i="76"/>
  <c r="Y137" i="76"/>
  <c r="Y134" i="76"/>
  <c r="Y108" i="76"/>
  <c r="Y164" i="76"/>
  <c r="Y4" i="76"/>
  <c r="Y140" i="76"/>
  <c r="Y117" i="76"/>
  <c r="Y40" i="76"/>
  <c r="Y10" i="76"/>
  <c r="Y20" i="76"/>
  <c r="Y58" i="76"/>
  <c r="Y21" i="76"/>
  <c r="Y136" i="76"/>
  <c r="Y129" i="76"/>
  <c r="Y13" i="76"/>
  <c r="Y132" i="76"/>
  <c r="Y130" i="76"/>
  <c r="Y90" i="76"/>
  <c r="Y55" i="76"/>
  <c r="Y118" i="76"/>
  <c r="S109" i="76"/>
  <c r="U46" i="76"/>
  <c r="S46" i="76" s="1"/>
  <c r="U130" i="76"/>
  <c r="U137" i="76"/>
  <c r="U166" i="76"/>
  <c r="U20" i="76"/>
  <c r="U60" i="76"/>
  <c r="U30" i="76"/>
  <c r="U10" i="76"/>
  <c r="U55" i="76"/>
  <c r="U140" i="76"/>
  <c r="U21" i="76"/>
  <c r="S21" i="76" s="1"/>
  <c r="U136" i="76"/>
  <c r="U132" i="76"/>
  <c r="U164" i="76"/>
  <c r="U58" i="76"/>
  <c r="U117" i="76"/>
  <c r="U90" i="76"/>
  <c r="U134" i="76"/>
  <c r="U40" i="76"/>
  <c r="U13" i="76"/>
  <c r="U118" i="76"/>
  <c r="U4" i="76"/>
  <c r="U129" i="76"/>
  <c r="U108" i="76"/>
  <c r="U22" i="76"/>
  <c r="S22" i="76" s="1"/>
  <c r="S121" i="76"/>
  <c r="S86" i="76"/>
  <c r="S89" i="76"/>
  <c r="U139" i="76"/>
  <c r="S139" i="76" s="1"/>
  <c r="U145" i="76"/>
  <c r="S145" i="76" s="1"/>
  <c r="S116" i="76"/>
  <c r="S146" i="76"/>
  <c r="S124" i="76"/>
  <c r="S36" i="76"/>
  <c r="S27" i="76"/>
  <c r="S80" i="76"/>
  <c r="S23" i="76"/>
  <c r="S58" i="76" l="1"/>
  <c r="S129" i="76"/>
  <c r="S137" i="76"/>
  <c r="S64" i="76"/>
  <c r="S11" i="76"/>
  <c r="S72" i="76"/>
  <c r="S4" i="76"/>
  <c r="S99" i="76"/>
  <c r="S123" i="76"/>
  <c r="S35" i="76"/>
  <c r="S92" i="76"/>
  <c r="S17" i="76"/>
  <c r="S37" i="76"/>
  <c r="S144" i="76"/>
  <c r="S115" i="76"/>
  <c r="S155" i="76"/>
  <c r="S148" i="76"/>
  <c r="S83" i="76"/>
  <c r="S70" i="76"/>
  <c r="S142" i="76"/>
  <c r="S91" i="76"/>
  <c r="S65" i="76"/>
  <c r="S31" i="76"/>
  <c r="S90" i="76"/>
  <c r="S20" i="76"/>
  <c r="S152" i="76"/>
  <c r="S168" i="76"/>
  <c r="S12" i="76"/>
  <c r="S6" i="76"/>
  <c r="S119" i="76"/>
  <c r="S126" i="76"/>
  <c r="S162" i="76"/>
  <c r="S74" i="76"/>
  <c r="S164" i="76"/>
  <c r="S143" i="76"/>
  <c r="S95" i="76"/>
  <c r="S33" i="76"/>
  <c r="S25" i="76"/>
  <c r="S41" i="76"/>
  <c r="S104" i="76"/>
  <c r="S55" i="76"/>
  <c r="S118" i="76"/>
  <c r="S13" i="76"/>
  <c r="S117" i="76"/>
  <c r="S166" i="76"/>
  <c r="S132" i="76"/>
  <c r="S136" i="76"/>
  <c r="S108" i="76"/>
  <c r="S10" i="76"/>
  <c r="S40" i="76"/>
  <c r="S30" i="76"/>
  <c r="K25" i="1"/>
  <c r="S134" i="76"/>
  <c r="S140" i="76"/>
  <c r="S60" i="76"/>
  <c r="R60" i="76" s="1"/>
  <c r="S130" i="76"/>
  <c r="R97" i="76" l="1"/>
  <c r="R104" i="76"/>
  <c r="R95" i="76"/>
  <c r="R162" i="76"/>
  <c r="R12" i="76"/>
  <c r="R65" i="76"/>
  <c r="R83" i="76"/>
  <c r="R144" i="76"/>
  <c r="R41" i="76"/>
  <c r="R143" i="76"/>
  <c r="R126" i="76"/>
  <c r="R168" i="76"/>
  <c r="R91" i="76"/>
  <c r="R148" i="76"/>
  <c r="R37" i="76"/>
  <c r="R25" i="76"/>
  <c r="R119" i="76"/>
  <c r="R142" i="76"/>
  <c r="R155" i="76"/>
  <c r="R17" i="76"/>
  <c r="R152" i="76"/>
  <c r="R33" i="76"/>
  <c r="R74" i="76"/>
  <c r="R6" i="76"/>
  <c r="R125" i="76"/>
  <c r="R31" i="76"/>
  <c r="R70" i="76"/>
  <c r="R115" i="76"/>
  <c r="R153" i="76"/>
  <c r="R129" i="76"/>
  <c r="R35" i="76"/>
  <c r="R137" i="76"/>
  <c r="R98" i="76"/>
  <c r="R64" i="76"/>
  <c r="R23" i="76"/>
  <c r="R10" i="76"/>
  <c r="R57" i="76"/>
  <c r="R76" i="76"/>
  <c r="R146" i="76"/>
  <c r="R160" i="76"/>
  <c r="R134" i="76"/>
  <c r="R131" i="76"/>
  <c r="R116" i="76"/>
  <c r="R49" i="76"/>
  <c r="R26" i="76"/>
  <c r="R110" i="76"/>
  <c r="R69" i="76"/>
  <c r="R132" i="76"/>
  <c r="R157" i="76"/>
  <c r="R68" i="76"/>
  <c r="R86" i="76"/>
  <c r="R111" i="76"/>
  <c r="R59" i="76"/>
  <c r="R28" i="76"/>
  <c r="R149" i="76"/>
  <c r="R121" i="76"/>
  <c r="R165" i="76"/>
  <c r="R107" i="76"/>
  <c r="R151" i="76"/>
  <c r="R75" i="76"/>
  <c r="R99" i="76"/>
  <c r="R136" i="76"/>
  <c r="R11" i="76"/>
  <c r="R130" i="76"/>
  <c r="R4" i="76"/>
  <c r="R108" i="76"/>
  <c r="R90" i="76"/>
  <c r="R166" i="76"/>
  <c r="R55" i="76"/>
  <c r="R27" i="76"/>
  <c r="R92" i="76"/>
  <c r="R163" i="76"/>
  <c r="R52" i="76"/>
  <c r="R139" i="76"/>
  <c r="R18" i="76"/>
  <c r="R19" i="76"/>
  <c r="R80" i="76"/>
  <c r="R93" i="76"/>
  <c r="R123" i="76"/>
  <c r="R141" i="76"/>
  <c r="R133" i="76"/>
  <c r="R145" i="76"/>
  <c r="R77" i="76"/>
  <c r="R71" i="76"/>
  <c r="R117" i="76"/>
  <c r="R58" i="76"/>
  <c r="R140" i="76"/>
  <c r="R30" i="76"/>
  <c r="R20" i="76"/>
  <c r="R118" i="76"/>
  <c r="R22" i="76"/>
  <c r="Z24" i="1" s="1"/>
  <c r="R78" i="76"/>
  <c r="R109" i="76"/>
  <c r="R159" i="76"/>
  <c r="R44" i="76"/>
  <c r="R46" i="76"/>
  <c r="R103" i="76"/>
  <c r="R89" i="76"/>
  <c r="R156" i="76"/>
  <c r="R128" i="76"/>
  <c r="R101" i="76"/>
  <c r="R47" i="76"/>
  <c r="R72" i="76"/>
  <c r="R36" i="76"/>
  <c r="R124" i="76"/>
  <c r="R21" i="76"/>
  <c r="R13" i="76"/>
  <c r="R164" i="76"/>
  <c r="R40" i="76"/>
  <c r="Z26" i="1" l="1"/>
  <c r="Z27" i="1"/>
  <c r="Z28" i="1"/>
  <c r="Z25" i="1" l="1"/>
</calcChain>
</file>

<file path=xl/sharedStrings.xml><?xml version="1.0" encoding="utf-8"?>
<sst xmlns="http://schemas.openxmlformats.org/spreadsheetml/2006/main" count="3329" uniqueCount="437">
  <si>
    <t>Week starting with:</t>
  </si>
  <si>
    <t>System Time (hrs)</t>
  </si>
  <si>
    <t>Participation %</t>
  </si>
  <si>
    <t>Total</t>
  </si>
  <si>
    <t>Select Caller</t>
  </si>
  <si>
    <t># of Weeks Worked</t>
  </si>
  <si>
    <t>CALLER AVERAGE:</t>
  </si>
  <si>
    <t>Employee</t>
  </si>
  <si>
    <t>Contact</t>
  </si>
  <si>
    <t>Amount</t>
  </si>
  <si>
    <t>Contacts</t>
  </si>
  <si>
    <t>Caller</t>
  </si>
  <si>
    <t>Count</t>
  </si>
  <si>
    <t>Rate</t>
  </si>
  <si>
    <t>Total Amount</t>
  </si>
  <si>
    <t>TELEFUND MEDIAN:</t>
  </si>
  <si>
    <t>Percentile Selction</t>
  </si>
  <si>
    <t>Data Selection</t>
  </si>
  <si>
    <t>Chart Table:</t>
  </si>
  <si>
    <t>Lower</t>
  </si>
  <si>
    <t>Upper</t>
  </si>
  <si>
    <t>Participation</t>
  </si>
  <si>
    <t>Telefund Median</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</si>
  <si>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</si>
  <si>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</si>
  <si>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</si>
  <si>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</si>
  <si>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</si>
  <si>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</si>
  <si>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</si>
  <si>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</si>
  <si>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</si>
  <si>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</si>
  <si>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</si>
  <si>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</si>
  <si>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</si>
  <si>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</si>
  <si>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</si>
  <si>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</si>
  <si>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</si>
  <si>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</si>
  <si>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</si>
  <si>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</si>
  <si>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</si>
  <si>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</si>
  <si>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</si>
  <si>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</si>
  <si>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</si>
  <si>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</si>
  <si>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</si>
  <si>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</si>
  <si>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</si>
  <si>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</si>
  <si>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</si>
  <si>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</si>
  <si>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</si>
  <si>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</si>
  <si>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</si>
  <si>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</si>
  <si>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</si>
  <si>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</si>
  <si>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</si>
  <si>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</si>
  <si>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</si>
  <si>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</si>
  <si>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</si>
  <si>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</si>
  <si>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</si>
  <si>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</si>
  <si>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</si>
  <si>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</si>
  <si>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</si>
  <si>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</si>
  <si>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Lower Percentile:</t>
  </si>
  <si>
    <t>Upper Percentile:</t>
  </si>
  <si>
    <t>Begin Date:</t>
  </si>
  <si>
    <t>End Date:</t>
  </si>
  <si>
    <t>Lower Bound Table:</t>
  </si>
  <si>
    <t>Upper Bound Table:</t>
  </si>
  <si>
    <t>Dates Index</t>
  </si>
  <si>
    <t>List References</t>
  </si>
  <si>
    <t>MID RANGE:</t>
  </si>
  <si>
    <t>System Time:</t>
  </si>
  <si>
    <t>Expected System Time Table:</t>
  </si>
  <si>
    <t>Employee Actual</t>
  </si>
  <si>
    <t>Employee Expected</t>
  </si>
  <si>
    <t>Employee Position:</t>
  </si>
  <si>
    <t>System Time Standing</t>
  </si>
  <si>
    <t>DL</t>
  </si>
  <si>
    <t>ZL</t>
  </si>
  <si>
    <t>Expected Time:</t>
  </si>
  <si>
    <t>Allowed Time Off:</t>
  </si>
  <si>
    <t xml:space="preserve">Graph Selection </t>
  </si>
  <si>
    <t>Bound Settings</t>
  </si>
  <si>
    <t>Name</t>
  </si>
  <si>
    <t>System Time</t>
  </si>
  <si>
    <t>ContactHr</t>
  </si>
  <si>
    <t>Telefund Weekly Stats:</t>
  </si>
  <si>
    <t>Telefund Weekly Stats and Chart Data</t>
  </si>
  <si>
    <t>System Time Data</t>
  </si>
  <si>
    <t>Dynamic Dates</t>
  </si>
  <si>
    <t>Year</t>
  </si>
  <si>
    <t>Immediate Gift %</t>
  </si>
  <si>
    <t>Recurring Gift %</t>
  </si>
  <si>
    <t>Immediate $ / Hour</t>
  </si>
  <si>
    <t>Immediate Gifts / Hr</t>
  </si>
  <si>
    <t>Recurring Gifts / Hr</t>
  </si>
  <si>
    <t>Fundraising Score</t>
  </si>
  <si>
    <t>Participation Rate</t>
  </si>
  <si>
    <t>Immediate Gift Rate</t>
  </si>
  <si>
    <t>Recurring Gift Rate</t>
  </si>
  <si>
    <t>Recurring Gifts per Hour</t>
  </si>
  <si>
    <t>Immediate Gifts per Hour</t>
  </si>
  <si>
    <t>Immediate Amount per Hour</t>
  </si>
  <si>
    <t>Sep.01</t>
  </si>
  <si>
    <t>Jan.06</t>
  </si>
  <si>
    <t>Jan.13</t>
  </si>
  <si>
    <t>Jan.20</t>
  </si>
  <si>
    <t>Jan.27</t>
  </si>
  <si>
    <t>Feb.10</t>
  </si>
  <si>
    <t>Feb.03</t>
  </si>
  <si>
    <t>Feb.17</t>
  </si>
  <si>
    <t>Feb.24</t>
  </si>
  <si>
    <t>Mar.03</t>
  </si>
  <si>
    <t>Mar.10</t>
  </si>
  <si>
    <t>Mar.17</t>
  </si>
  <si>
    <t>Mar.24</t>
  </si>
  <si>
    <t>Mar.31</t>
  </si>
  <si>
    <t>Apr.07</t>
  </si>
  <si>
    <t>Apr.14</t>
  </si>
  <si>
    <t>Apr.21</t>
  </si>
  <si>
    <t>Apr.28</t>
  </si>
  <si>
    <t>May.05</t>
  </si>
  <si>
    <t>May.12</t>
  </si>
  <si>
    <t>May.19</t>
  </si>
  <si>
    <t>May.26</t>
  </si>
  <si>
    <t>Jun.16</t>
  </si>
  <si>
    <t>Jun.23</t>
  </si>
  <si>
    <t>Jun.30</t>
  </si>
  <si>
    <t>Jul.07</t>
  </si>
  <si>
    <t>Jun.09</t>
  </si>
  <si>
    <t>Jun.02</t>
  </si>
  <si>
    <t>Jul.14</t>
  </si>
  <si>
    <t>Jul.21</t>
  </si>
  <si>
    <t>Jul.28</t>
  </si>
  <si>
    <t>Aug.04</t>
  </si>
  <si>
    <t>Aug.11</t>
  </si>
  <si>
    <t>Aug.18</t>
  </si>
  <si>
    <t>Aug.25</t>
  </si>
  <si>
    <t>Sep.08</t>
  </si>
  <si>
    <t>Sep.15</t>
  </si>
  <si>
    <t>Sep.22</t>
  </si>
  <si>
    <t>Sep.29</t>
  </si>
  <si>
    <t>Oct.06</t>
  </si>
  <si>
    <t>Oct.13</t>
  </si>
  <si>
    <t>Oct.20</t>
  </si>
  <si>
    <t>Oct.27</t>
  </si>
  <si>
    <t>Nov.03</t>
  </si>
  <si>
    <t>Nov.10</t>
  </si>
  <si>
    <t>Nov.17</t>
  </si>
  <si>
    <t>Nov.24</t>
  </si>
  <si>
    <t>Dec.08</t>
  </si>
  <si>
    <t>Dec.01</t>
  </si>
  <si>
    <t>Dec.15</t>
  </si>
  <si>
    <t>Immediate</t>
  </si>
  <si>
    <t>Gift Rate</t>
  </si>
  <si>
    <t>Recurring</t>
  </si>
  <si>
    <t>Amount/Hr</t>
  </si>
  <si>
    <t>Gifts/Hr</t>
  </si>
  <si>
    <t>Fundraising</t>
  </si>
  <si>
    <t>Score</t>
  </si>
  <si>
    <t>---</t>
  </si>
  <si>
    <t>Rank</t>
  </si>
  <si>
    <t>System</t>
  </si>
  <si>
    <t>Time</t>
  </si>
  <si>
    <t>Gifts</t>
  </si>
  <si>
    <t>One Time</t>
  </si>
  <si>
    <t>Formatted Date 2018</t>
  </si>
  <si>
    <t>Formatted Date 2019</t>
  </si>
  <si>
    <t>Selection Dates 2018</t>
  </si>
  <si>
    <t>Selection Dates 2019</t>
  </si>
  <si>
    <t>Jan.05</t>
  </si>
  <si>
    <t>Jan.12</t>
  </si>
  <si>
    <t>Jan.19</t>
  </si>
  <si>
    <t>Jan.26</t>
  </si>
  <si>
    <t>Total Gifts</t>
  </si>
  <si>
    <t>One-Time Gifts</t>
  </si>
  <si>
    <t>Recurring Gifts</t>
  </si>
  <si>
    <t>One-Time Amount</t>
  </si>
  <si>
    <t>Recurring Amount</t>
  </si>
  <si>
    <t>Immediate Amt / Hour</t>
  </si>
  <si>
    <t>Immediate Gifts / Hour</t>
  </si>
  <si>
    <t>Recurring Gifts  / Hour</t>
  </si>
  <si>
    <t>Percent Rank PR</t>
  </si>
  <si>
    <t>Percent Rank IGR</t>
  </si>
  <si>
    <t>Percent Rank RGR</t>
  </si>
  <si>
    <t>Percent Rank IAH</t>
  </si>
  <si>
    <t>Percent Rank IGH</t>
  </si>
  <si>
    <t>Percent Rank RGH</t>
  </si>
  <si>
    <t>Weights for F-Score</t>
  </si>
  <si>
    <r>
      <t>R.G. / Hour Error (</t>
    </r>
    <r>
      <rPr>
        <b/>
        <sz val="11"/>
        <color theme="1"/>
        <rFont val="Calibri"/>
        <family val="2"/>
      </rPr>
      <t xml:space="preserve">±) </t>
    </r>
  </si>
  <si>
    <t>Calling Percentile</t>
  </si>
  <si>
    <t>F-Score</t>
  </si>
  <si>
    <t>Feb.02</t>
  </si>
  <si>
    <t>Feb.09</t>
  </si>
  <si>
    <t>Feb.16</t>
  </si>
  <si>
    <t>Feb.23</t>
  </si>
  <si>
    <t>Mar.02</t>
  </si>
  <si>
    <t>Mar.09</t>
  </si>
  <si>
    <t>Mar.16</t>
  </si>
  <si>
    <t>Mar.23</t>
  </si>
  <si>
    <t>Mar.30</t>
  </si>
  <si>
    <t>Apr.06</t>
  </si>
  <si>
    <t>Apr.13</t>
  </si>
  <si>
    <t>Apr.20</t>
  </si>
  <si>
    <t>Apr.27</t>
  </si>
  <si>
    <t>May.04</t>
  </si>
  <si>
    <t>May.11</t>
  </si>
  <si>
    <t>May.18</t>
  </si>
  <si>
    <t>May.25</t>
  </si>
  <si>
    <t>Jun.01</t>
  </si>
  <si>
    <t>Jun.08</t>
  </si>
  <si>
    <t>Jun.15</t>
  </si>
  <si>
    <t>Jun.22</t>
  </si>
  <si>
    <t>Jun.29</t>
  </si>
  <si>
    <t>Jul.06</t>
  </si>
  <si>
    <t>Jul.13</t>
  </si>
  <si>
    <t>Jul.20</t>
  </si>
  <si>
    <t>Jul.27</t>
  </si>
  <si>
    <t>Aug.03</t>
  </si>
  <si>
    <t>Aug.10</t>
  </si>
  <si>
    <t>Aug.17</t>
  </si>
  <si>
    <t>Aug.24</t>
  </si>
  <si>
    <t>Aug.31</t>
  </si>
  <si>
    <t>Sep.07</t>
  </si>
  <si>
    <t>Sep.14</t>
  </si>
  <si>
    <t>Sep.21</t>
  </si>
  <si>
    <t>Sep.28</t>
  </si>
  <si>
    <t>Oct.05</t>
  </si>
  <si>
    <t>Oct.12</t>
  </si>
  <si>
    <t>Oct.19</t>
  </si>
  <si>
    <t>Oct.26</t>
  </si>
  <si>
    <t>Nov.02</t>
  </si>
  <si>
    <t>Nov.09</t>
  </si>
  <si>
    <t>Nov.16</t>
  </si>
  <si>
    <t>Nov.23</t>
  </si>
  <si>
    <t>Nov.30</t>
  </si>
  <si>
    <t>Dec.07</t>
  </si>
  <si>
    <t>Dec.14</t>
  </si>
  <si>
    <r>
      <t>Imm. Rate Error (</t>
    </r>
    <r>
      <rPr>
        <b/>
        <sz val="11"/>
        <color theme="1"/>
        <rFont val="Calibri"/>
        <family val="2"/>
      </rPr>
      <t xml:space="preserve">±) </t>
    </r>
  </si>
  <si>
    <t xml:space="preserve">Rec. Rate Error (±) </t>
  </si>
  <si>
    <t>Error Bounds</t>
  </si>
  <si>
    <t>Active</t>
  </si>
  <si>
    <t># of Active Callers</t>
  </si>
  <si>
    <t>Include Inactive Employees</t>
  </si>
  <si>
    <t>Logical Rows</t>
  </si>
  <si>
    <t>True</t>
  </si>
  <si>
    <t>False</t>
  </si>
  <si>
    <t>Blanked out Reference Name</t>
  </si>
  <si>
    <t>(Blank)</t>
  </si>
  <si>
    <t>Lead Trainer</t>
  </si>
  <si>
    <t xml:space="preserve"> </t>
  </si>
  <si>
    <t>Jan 19 - Jan 25</t>
  </si>
  <si>
    <t>Jan 26 - Feb 1</t>
  </si>
  <si>
    <t>Feb 2 - Feb 8</t>
  </si>
  <si>
    <t>Feb 16 - Feb 22</t>
  </si>
  <si>
    <t>Feb 3 - Feb 9</t>
  </si>
  <si>
    <t>Feb 23 - Mar 1</t>
  </si>
  <si>
    <t>Mar 2 - Mar 8</t>
  </si>
  <si>
    <t xml:space="preserve">Boris Sandu </t>
  </si>
  <si>
    <t xml:space="preserve">Emery Hoggs </t>
  </si>
  <si>
    <t xml:space="preserve">Joseff Reeves </t>
  </si>
  <si>
    <t xml:space="preserve">Alara Bench </t>
  </si>
  <si>
    <t xml:space="preserve">Adam Briggs </t>
  </si>
  <si>
    <t xml:space="preserve">Kara Andrews </t>
  </si>
  <si>
    <t xml:space="preserve">Mehmet Brus </t>
  </si>
  <si>
    <t xml:space="preserve">Rea French </t>
  </si>
  <si>
    <t xml:space="preserve">Rogan Brooks </t>
  </si>
  <si>
    <t xml:space="preserve">Isha Perry </t>
  </si>
  <si>
    <t xml:space="preserve">Barbara Sparks </t>
  </si>
  <si>
    <t xml:space="preserve">Maud Diaz </t>
  </si>
  <si>
    <t xml:space="preserve">Breanna Hooper </t>
  </si>
  <si>
    <t xml:space="preserve">Frazer Fry </t>
  </si>
  <si>
    <t xml:space="preserve">Tabatha Fray </t>
  </si>
  <si>
    <t xml:space="preserve">Martyna England </t>
  </si>
  <si>
    <t xml:space="preserve">Mary Brown </t>
  </si>
  <si>
    <t xml:space="preserve">Dorian Ramos </t>
  </si>
  <si>
    <t xml:space="preserve">Stephanie Parti </t>
  </si>
  <si>
    <t xml:space="preserve">Keiron Cope </t>
  </si>
  <si>
    <t xml:space="preserve">Karl Wood </t>
  </si>
  <si>
    <t xml:space="preserve">Riley McNeil </t>
  </si>
  <si>
    <t xml:space="preserve">Vlad Frasier </t>
  </si>
  <si>
    <t xml:space="preserve">Alys Davey </t>
  </si>
  <si>
    <t>Gregory Parson</t>
  </si>
  <si>
    <t>Jason Long</t>
  </si>
  <si>
    <t xml:space="preserve">Anwen Robinson </t>
  </si>
  <si>
    <t xml:space="preserve">Korban McCray </t>
  </si>
  <si>
    <t xml:space="preserve">Neriah Mueller </t>
  </si>
  <si>
    <t xml:space="preserve">Mason Mueller </t>
  </si>
  <si>
    <t xml:space="preserve">Jackson Blan </t>
  </si>
  <si>
    <t xml:space="preserve">Umaia Colley </t>
  </si>
  <si>
    <t xml:space="preserve">Peyton Rangel </t>
  </si>
  <si>
    <t xml:space="preserve">Melinda Ferguson </t>
  </si>
  <si>
    <t xml:space="preserve">Grayson Joymai </t>
  </si>
  <si>
    <t xml:space="preserve">Cherie Banks </t>
  </si>
  <si>
    <t xml:space="preserve">Nancy Tervino </t>
  </si>
  <si>
    <t xml:space="preserve">Loren Appleton </t>
  </si>
  <si>
    <t xml:space="preserve">Isabelle Whiton </t>
  </si>
  <si>
    <t xml:space="preserve">Jenna Kerns </t>
  </si>
  <si>
    <t xml:space="preserve">Emer Snow </t>
  </si>
  <si>
    <t xml:space="preserve">Corbin Thoat </t>
  </si>
  <si>
    <t xml:space="preserve">Kyla Dudley </t>
  </si>
  <si>
    <t xml:space="preserve">Yuvraj Dens </t>
  </si>
  <si>
    <t xml:space="preserve">Zach Yugma </t>
  </si>
  <si>
    <t xml:space="preserve">Nicholaa Ward </t>
  </si>
  <si>
    <t xml:space="preserve">Ashleigh Wu </t>
  </si>
  <si>
    <t xml:space="preserve">Madeline Finley </t>
  </si>
  <si>
    <t xml:space="preserve">Jens Layson </t>
  </si>
  <si>
    <t xml:space="preserve">Joel Owens </t>
  </si>
  <si>
    <t xml:space="preserve">Caol Xi </t>
  </si>
  <si>
    <t xml:space="preserve">Beau Dolden </t>
  </si>
  <si>
    <t xml:space="preserve">Aqib Tyler </t>
  </si>
  <si>
    <t xml:space="preserve">Nisha Gibbons </t>
  </si>
  <si>
    <t xml:space="preserve">Shyam Boyd </t>
  </si>
  <si>
    <t xml:space="preserve">Samuel Dayo </t>
  </si>
  <si>
    <t xml:space="preserve">Kenneth Choi </t>
  </si>
  <si>
    <t xml:space="preserve">Lauren Hewitt </t>
  </si>
  <si>
    <t xml:space="preserve">Abigail Mueller </t>
  </si>
  <si>
    <t xml:space="preserve">Eddie Rogers </t>
  </si>
  <si>
    <t xml:space="preserve">Cali Beck </t>
  </si>
  <si>
    <t xml:space="preserve">Diego Gunn </t>
  </si>
  <si>
    <t xml:space="preserve">Gregory Jeb </t>
  </si>
  <si>
    <t xml:space="preserve">Mack Gold </t>
  </si>
  <si>
    <t xml:space="preserve">Berndate Butler </t>
  </si>
  <si>
    <t xml:space="preserve">Eddie Reg </t>
  </si>
  <si>
    <t xml:space="preserve">Jacob Suh </t>
  </si>
  <si>
    <t xml:space="preserve">Lucas Ness </t>
  </si>
  <si>
    <t xml:space="preserve">Abby Red </t>
  </si>
  <si>
    <t xml:space="preserve">John Tree </t>
  </si>
  <si>
    <t xml:space="preserve">Lauren Yapsen </t>
  </si>
  <si>
    <t xml:space="preserve">Penelope Grese </t>
  </si>
  <si>
    <t xml:space="preserve">Sam Pong </t>
  </si>
  <si>
    <t xml:space="preserve">Roland Berg </t>
  </si>
  <si>
    <t xml:space="preserve">Zane McArthur </t>
  </si>
  <si>
    <t xml:space="preserve">Francis Lougan </t>
  </si>
  <si>
    <t xml:space="preserve">Moesha Herbert </t>
  </si>
  <si>
    <t xml:space="preserve">Kasper Moayap </t>
  </si>
  <si>
    <t xml:space="preserve">Allfred Haliday </t>
  </si>
  <si>
    <t xml:space="preserve">Willmer Morisson </t>
  </si>
  <si>
    <t xml:space="preserve">Cynthia Walters </t>
  </si>
  <si>
    <t xml:space="preserve">Nick Khel </t>
  </si>
  <si>
    <t xml:space="preserve">Tomi Wiggins </t>
  </si>
  <si>
    <t xml:space="preserve">Deliah Newman </t>
  </si>
  <si>
    <t xml:space="preserve">Garrett Frinly </t>
  </si>
  <si>
    <t xml:space="preserve">Harlan Gameron </t>
  </si>
  <si>
    <t xml:space="preserve">Leile Contrea </t>
  </si>
  <si>
    <t xml:space="preserve">Jace Pittman </t>
  </si>
  <si>
    <t xml:space="preserve">Elli Owen </t>
  </si>
  <si>
    <t xml:space="preserve">Haleemah Schmitt </t>
  </si>
  <si>
    <t xml:space="preserve">Larry Lopez </t>
  </si>
  <si>
    <t xml:space="preserve">Kenzo Fisher </t>
  </si>
  <si>
    <t xml:space="preserve">Denise Millar </t>
  </si>
  <si>
    <t xml:space="preserve">Humera Humphree </t>
  </si>
  <si>
    <t xml:space="preserve">Aayat Barr </t>
  </si>
  <si>
    <t xml:space="preserve">Kris Olber </t>
  </si>
  <si>
    <t xml:space="preserve">Teyson Jol </t>
  </si>
  <si>
    <t xml:space="preserve">Cerys Rosemary </t>
  </si>
  <si>
    <t xml:space="preserve">Jaspal Ellis </t>
  </si>
  <si>
    <t xml:space="preserve">Maja Thorpe </t>
  </si>
  <si>
    <t xml:space="preserve">Peter Lopis </t>
  </si>
  <si>
    <t xml:space="preserve">Penny Moore </t>
  </si>
  <si>
    <t xml:space="preserve">Rachelle Kuat </t>
  </si>
  <si>
    <t xml:space="preserve">Angel Cordova </t>
  </si>
  <si>
    <t xml:space="preserve">Nellie Allred </t>
  </si>
  <si>
    <t xml:space="preserve">Cecily Whitting </t>
  </si>
  <si>
    <t xml:space="preserve">Jim Kingser </t>
  </si>
  <si>
    <t xml:space="preserve">Yusha Roman </t>
  </si>
  <si>
    <t xml:space="preserve">Elise Akro </t>
  </si>
  <si>
    <t xml:space="preserve">Macie Powell </t>
  </si>
  <si>
    <t xml:space="preserve">Paul Long </t>
  </si>
  <si>
    <t xml:space="preserve">Joseph Tallys </t>
  </si>
  <si>
    <t xml:space="preserve">Elana Delacruz </t>
  </si>
  <si>
    <t xml:space="preserve">Chris Quinn </t>
  </si>
  <si>
    <t xml:space="preserve">Rhodri Andrews </t>
  </si>
  <si>
    <t xml:space="preserve">Violet Adam </t>
  </si>
  <si>
    <t xml:space="preserve">Bianka Edin </t>
  </si>
  <si>
    <t xml:space="preserve">Sufyan Sanchez </t>
  </si>
  <si>
    <t xml:space="preserve">Trystan Maro </t>
  </si>
  <si>
    <t xml:space="preserve">Aayush Shop </t>
  </si>
  <si>
    <t xml:space="preserve">Kayden Dodsonl </t>
  </si>
  <si>
    <t xml:space="preserve">Flynn Olsen </t>
  </si>
  <si>
    <t xml:space="preserve">Page Lindsay </t>
  </si>
  <si>
    <t xml:space="preserve">Jasmine Le </t>
  </si>
  <si>
    <t xml:space="preserve">Christopher Martin </t>
  </si>
  <si>
    <t xml:space="preserve">Chay Dickson </t>
  </si>
  <si>
    <t xml:space="preserve">Braydon Hampton </t>
  </si>
  <si>
    <t xml:space="preserve">Samantha Hamiliton </t>
  </si>
  <si>
    <t xml:space="preserve">Tim Lonser </t>
  </si>
  <si>
    <t xml:space="preserve">Usman Fellow </t>
  </si>
  <si>
    <t xml:space="preserve">Antoinette Brandy </t>
  </si>
  <si>
    <t xml:space="preserve">Lee Waller </t>
  </si>
  <si>
    <t xml:space="preserve">Misty Olson </t>
  </si>
  <si>
    <t xml:space="preserve">Ricardo Fitz </t>
  </si>
  <si>
    <t xml:space="preserve">Tehya Macfarland </t>
  </si>
  <si>
    <t xml:space="preserve">Kristy Creg </t>
  </si>
  <si>
    <t xml:space="preserve">Olga Kuat </t>
  </si>
  <si>
    <t xml:space="preserve">Ariyan Whitworth </t>
  </si>
  <si>
    <t xml:space="preserve">Anne Ferrell </t>
  </si>
  <si>
    <t xml:space="preserve">Borys Mejia </t>
  </si>
  <si>
    <t xml:space="preserve">Paullette Tolsto </t>
  </si>
  <si>
    <t xml:space="preserve">Bryn Jacobson </t>
  </si>
  <si>
    <t xml:space="preserve">Madison Herp </t>
  </si>
  <si>
    <t xml:space="preserve">Brie Poulsen </t>
  </si>
  <si>
    <t xml:space="preserve">Thor Bosra </t>
  </si>
  <si>
    <t xml:space="preserve">Julius McCayon </t>
  </si>
  <si>
    <t xml:space="preserve">Leia Tolpor </t>
  </si>
  <si>
    <t xml:space="preserve">Roger Kolson </t>
  </si>
  <si>
    <t xml:space="preserve">Kelsey McCannon </t>
  </si>
  <si>
    <t xml:space="preserve">Abu Darmin </t>
  </si>
  <si>
    <t xml:space="preserve">Liz Thoat </t>
  </si>
  <si>
    <t xml:space="preserve">Maximus Arty </t>
  </si>
  <si>
    <t xml:space="preserve">Juniper Kidd </t>
  </si>
  <si>
    <t xml:space="preserve">Leslie Query </t>
  </si>
  <si>
    <t xml:space="preserve">Chad Bonsley </t>
  </si>
  <si>
    <t xml:space="preserve">Petra Bonner </t>
  </si>
  <si>
    <t xml:space="preserve">Milo Buan </t>
  </si>
  <si>
    <t xml:space="preserve">Nettie Higgins </t>
  </si>
  <si>
    <t xml:space="preserve">Julien Peason </t>
  </si>
  <si>
    <t xml:space="preserve">Alfriede Tre </t>
  </si>
  <si>
    <t xml:space="preserve">Justice Kolpos </t>
  </si>
  <si>
    <t xml:space="preserve">Jaol Soaps </t>
  </si>
  <si>
    <t xml:space="preserve">Nettie Paut </t>
  </si>
  <si>
    <t xml:space="preserve">Bartholomew Tegi </t>
  </si>
  <si>
    <t xml:space="preserve">Agatha Snow </t>
  </si>
  <si>
    <t xml:space="preserve">Phil Golup </t>
  </si>
  <si>
    <t xml:space="preserve">George Moran </t>
  </si>
  <si>
    <t>Aaron Lake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</si>
</sst>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8" formatCode="&quot;$&quot;#,##0.00_);[Red]\(&quot;$&quot;#,##0.00\)"/>
    <numFmt numFmtId="164" formatCode="&quot;$&quot;#,##0.00"/>
    <numFmt numFmtId="165" formatCode="[$-409]d\-mmm;@"/>
    <numFmt numFmtId="166" formatCode="&quot;$&quot;0.00"/>
    <numFmt numFmtId="167" formatCode="mmm\-dd"/>
    <numFmt numFmtId="168" formatCode="mm/dd/yy;@"/>
    <numFmt numFmtId="169" formatCode="0.000%"/>
  </numFmts>
  <fonts count="34" x14ac:knownFonts="1">
    <font>
      <sz val="11"/>
      <color theme="1"/>
      <name val="Calibri"/>
      <family val="2"/>
      <scheme val="minor"/>
    </font>
    <font>
      <sz val="11"/>
      <color theme="1"/>
      <name val="Calibri"/>
      <family val="2"/>
      <scheme val="minor"/>
    </font>
    <font>
      <b/>
      <sz val="11"/>
      <color theme="0"/>
      <name val="Calibri"/>
      <family val="2"/>
      <scheme val="minor"/>
    </font>
    <font>
      <i/>
      <sz val="11"/>
      <color rgb="FF7F7F7F"/>
      <name val="Calibri"/>
      <family val="2"/>
      <scheme val="minor"/>
    </font>
    <font>
      <b/>
      <sz val="11"/>
      <color theme="1"/>
      <name val="Calibri"/>
      <family val="2"/>
      <scheme val="minor"/>
    </font>
    <font>
      <b/>
      <u/>
      <sz val="18"/>
      <color theme="1"/>
      <name val="Calibri"/>
      <family val="2"/>
      <scheme val="minor"/>
    </font>
    <font>
      <sz val="9"/>
      <color theme="1"/>
      <name val="Verdana"/>
      <family val="2"/>
    </font>
    <font>
      <sz val="12"/>
      <color theme="1"/>
      <name val="Calibri"/>
      <family val="2"/>
      <scheme val="minor"/>
    </font>
    <font>
      <sz val="11"/>
      <color rgb="FF9C6500"/>
      <name val="Calibri"/>
      <family val="2"/>
      <scheme val="minor"/>
    </font>
    <font>
      <b/>
      <sz val="11"/>
      <name val="Calibri"/>
      <family val="2"/>
      <scheme val="minor"/>
    </font>
    <font>
      <sz val="8"/>
      <color theme="1"/>
      <name val="Calibri"/>
      <family val="2"/>
      <scheme val="minor"/>
    </font>
    <font>
      <b/>
      <sz val="11"/>
      <color theme="1"/>
      <name val="Calibri"/>
      <family val="2"/>
    </font>
    <font>
      <sz val="11"/>
      <color theme="0"/>
      <name val="Calibri"/>
      <family val="2"/>
      <scheme val="minor"/>
    </font>
    <font>
      <sz val="11"/>
      <name val="Calibri"/>
      <family val="2"/>
      <scheme val="minor"/>
    </font>
    <font>
      <sz val="11"/>
      <color rgb="FF0A0101"/>
      <name val="Calibri"/>
      <family val="2"/>
      <scheme val="minor"/>
    </font>
    <font>
      <sz val="9"/>
      <name val="Verdana"/>
      <family val="2"/>
    </font>
    <font>
      <b/>
      <sz val="12"/>
      <color theme="1"/>
      <name val="Calibri"/>
      <family val="2"/>
      <scheme val="minor"/>
    </font>
    <font>
      <i/>
      <sz val="11"/>
      <color theme="0" tint="-0.499984740745262"/>
      <name val="Calibri"/>
      <family val="2"/>
      <scheme val="minor"/>
    </font>
    <font>
      <b/>
      <sz val="10"/>
      <color theme="1"/>
      <name val="Calibri"/>
      <family val="2"/>
      <scheme val="minor"/>
    </font>
    <font>
      <b/>
      <sz val="9"/>
      <color theme="1"/>
      <name val="Verdana"/>
      <family val="2"/>
    </font>
    <font>
      <sz val="9"/>
      <name val="Verdana"/>
      <family val="2"/>
    </font>
    <font>
      <sz val="9"/>
      <color theme="1"/>
      <name val="Verdana"/>
      <family val="2"/>
    </font>
    <font>
      <sz val="11"/>
      <color rgb="FF0A0101"/>
      <name val="Calibri"/>
      <family val="2"/>
      <scheme val="minor"/>
    </font>
    <font>
      <sz val="11"/>
      <color theme="1"/>
      <name val="Calibri"/>
      <family val="2"/>
      <scheme val="minor"/>
    </font>
    <font>
      <sz val="9"/>
      <color theme="1"/>
      <name val="Verdana"/>
      <family val="2"/>
    </font>
    <font>
      <sz val="11"/>
      <color rgb="FF0A0101"/>
      <name val="Calibri"/>
      <family val="2"/>
      <scheme val="minor"/>
    </font>
    <font>
      <sz val="11"/>
      <color theme="1"/>
      <name val="Calibri"/>
      <family val="2"/>
      <scheme val="minor"/>
    </font>
    <font>
      <sz val="9"/>
      <color theme="1"/>
      <name val="Verdana"/>
      <family val="2"/>
    </font>
    <font>
      <sz val="11"/>
      <color rgb="FF0A0101"/>
      <name val="Calibri"/>
      <family val="2"/>
      <scheme val="minor"/>
    </font>
    <font>
      <sz val="11"/>
      <color theme="1"/>
      <name val="Calibri"/>
      <family val="2"/>
      <scheme val="minor"/>
    </font>
    <font>
      <sz val="10"/>
      <color theme="1"/>
      <name val="Calibri"/>
      <family val="2"/>
      <scheme val="minor"/>
    </font>
    <font>
      <sz val="9"/>
      <color theme="1"/>
      <name val="Verdana"/>
      <family val="2"/>
    </font>
    <font>
      <sz val="11"/>
      <color rgb="FF0A0101"/>
      <name val="Calibri"/>
      <family val="2"/>
      <scheme val="minor"/>
    </font>
    <font>
      <sz val="11"/>
      <color theme="1"/>
      <name val="Calibri"/>
      <family val="2"/>
      <scheme val="minor"/>
    </font>
  </fonts>
  <fills count="13">
    <fill>
      <patternFill patternType="none"/>
    </fill>
    <fill>
      <patternFill patternType="gray125"/>
    </fill>
    <fill>
      <patternFill patternType="solid">
        <fgColor theme="6" tint="0.79998168889431442"/>
        <bgColor indexed="64"/>
      </patternFill>
    </fill>
    <fill>
      <patternFill patternType="solid">
        <fgColor rgb="FFFFC000"/>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rgb="FF0070C0"/>
        <bgColor indexed="64"/>
      </patternFill>
    </fill>
    <fill>
      <patternFill patternType="solid">
        <fgColor theme="0"/>
        <bgColor indexed="64"/>
      </patternFill>
    </fill>
    <fill>
      <patternFill patternType="solid">
        <fgColor rgb="FFFFEB9C"/>
      </patternFill>
    </fill>
    <fill>
      <patternFill patternType="solid">
        <fgColor theme="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4" tint="0.79998168889431442"/>
        <bgColor indexed="64"/>
      </patternFill>
    </fill>
  </fills>
  <borders count="20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thin">
        <color auto="1"/>
      </left>
      <right style="thin">
        <color indexed="64"/>
      </right>
      <top/>
      <bottom style="thin">
        <color auto="1"/>
      </bottom>
      <diagonal/>
    </border>
    <border>
      <left style="thin">
        <color auto="1"/>
      </left>
      <right style="thin">
        <color indexed="64"/>
      </right>
      <top style="thin">
        <color auto="1"/>
      </top>
      <bottom style="thin">
        <color auto="1"/>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style="medium">
        <color indexed="64"/>
      </right>
      <top style="thin">
        <color auto="1"/>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style="medium">
        <color indexed="64"/>
      </right>
      <top/>
      <bottom style="medium">
        <color indexed="64"/>
      </bottom>
      <diagonal/>
    </border>
    <border>
      <left style="thin">
        <color auto="1"/>
      </left>
      <right style="thin">
        <color indexed="64"/>
      </right>
      <top style="thin">
        <color auto="1"/>
      </top>
      <bottom style="thin">
        <color auto="1"/>
      </bottom>
      <diagonal/>
    </border>
    <border>
      <left style="medium">
        <color indexed="64"/>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auto="1"/>
      </left>
      <right/>
      <top style="medium">
        <color indexed="64"/>
      </top>
      <bottom style="thin">
        <color auto="1"/>
      </bottom>
      <diagonal/>
    </border>
    <border>
      <left/>
      <right style="thin">
        <color indexed="64"/>
      </right>
      <top style="medium">
        <color indexed="64"/>
      </top>
      <bottom style="thin">
        <color auto="1"/>
      </bottom>
      <diagonal/>
    </border>
    <border>
      <left style="thin">
        <color indexed="64"/>
      </left>
      <right style="thin">
        <color rgb="FF000000"/>
      </right>
      <top style="thin">
        <color rgb="FF000000"/>
      </top>
      <bottom/>
      <diagonal/>
    </border>
    <border>
      <left style="thin">
        <color indexed="64"/>
      </left>
      <right style="thin">
        <color indexed="64"/>
      </right>
      <top/>
      <bottom style="medium">
        <color indexed="64"/>
      </bottom>
      <diagonal/>
    </border>
    <border>
      <left style="thin">
        <color auto="1"/>
      </left>
      <right style="thin">
        <color indexed="64"/>
      </right>
      <top style="thin">
        <color indexed="64"/>
      </top>
      <bottom style="thin">
        <color auto="1"/>
      </bottom>
      <diagonal/>
    </border>
    <border>
      <left/>
      <right style="thin">
        <color indexed="64"/>
      </right>
      <top style="medium">
        <color indexed="64"/>
      </top>
      <bottom style="medium">
        <color indexed="64"/>
      </bottom>
      <diagonal/>
    </border>
    <border>
      <left style="thin">
        <color auto="1"/>
      </left>
      <right style="thin">
        <color indexed="64"/>
      </right>
      <top style="thin">
        <color indexed="64"/>
      </top>
      <bottom style="medium">
        <color indexed="64"/>
      </bottom>
      <diagonal/>
    </border>
    <border>
      <left style="thin">
        <color auto="1"/>
      </left>
      <right/>
      <top style="thin">
        <color indexed="64"/>
      </top>
      <bottom style="medium">
        <color indexed="64"/>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auto="1"/>
      </left>
      <right style="thin">
        <color indexed="64"/>
      </right>
      <top style="thin">
        <color auto="1"/>
      </top>
      <bottom/>
      <diagonal/>
    </border>
    <border>
      <left style="thin">
        <color auto="1"/>
      </left>
      <right style="thin">
        <color indexed="64"/>
      </right>
      <top style="thin">
        <color auto="1"/>
      </top>
      <bottom style="thin">
        <color auto="1"/>
      </bottom>
      <diagonal/>
    </border>
    <border>
      <left style="thin">
        <color auto="1"/>
      </left>
      <right style="thin">
        <color auto="1"/>
      </right>
      <top style="thin">
        <color auto="1"/>
      </top>
      <bottom style="thin">
        <color auto="1"/>
      </bottom>
      <diagonal/>
    </border>
    <border>
      <left style="thin">
        <color indexed="64"/>
      </left>
      <right style="thin">
        <color auto="1"/>
      </right>
      <top style="thin">
        <color auto="1"/>
      </top>
      <bottom style="thin">
        <color auto="1"/>
      </bottom>
      <diagonal/>
    </border>
    <border>
      <left style="thin">
        <color auto="1"/>
      </left>
      <right style="thin">
        <color indexed="64"/>
      </right>
      <top/>
      <bottom style="thin">
        <color auto="1"/>
      </bottom>
      <diagonal/>
    </border>
    <border>
      <left style="thin">
        <color auto="1"/>
      </left>
      <right style="thin">
        <color auto="1"/>
      </right>
      <top/>
      <bottom style="thin">
        <color auto="1"/>
      </bottom>
      <diagonal/>
    </border>
    <border>
      <left style="thin">
        <color rgb="FF000000"/>
      </left>
      <right style="thin">
        <color auto="1"/>
      </right>
      <top/>
      <bottom style="thin">
        <color auto="1"/>
      </bottom>
      <diagonal/>
    </border>
    <border>
      <left style="thin">
        <color indexed="64"/>
      </left>
      <right style="thin">
        <color rgb="FF000000"/>
      </right>
      <top/>
      <bottom style="thin">
        <color auto="1"/>
      </bottom>
      <diagonal/>
    </border>
    <border>
      <left style="thin">
        <color indexed="64"/>
      </left>
      <right style="thin">
        <color indexed="64"/>
      </right>
      <top/>
      <bottom style="thin">
        <color auto="1"/>
      </bottom>
      <diagonal/>
    </border>
    <border>
      <left style="thin">
        <color auto="1"/>
      </left>
      <right style="thin">
        <color indexed="64"/>
      </right>
      <top style="thin">
        <color auto="1"/>
      </top>
      <bottom/>
      <diagonal/>
    </border>
    <border>
      <left style="thin">
        <color auto="1"/>
      </left>
      <right style="thin">
        <color auto="1"/>
      </right>
      <top style="thin">
        <color auto="1"/>
      </top>
      <bottom/>
      <diagonal/>
    </border>
    <border>
      <left style="thin">
        <color rgb="FF000000"/>
      </left>
      <right style="thin">
        <color auto="1"/>
      </right>
      <top style="thin">
        <color auto="1"/>
      </top>
      <bottom/>
      <diagonal/>
    </border>
    <border>
      <left style="thin">
        <color indexed="64"/>
      </left>
      <right style="thin">
        <color indexed="64"/>
      </right>
      <top style="thin">
        <color indexed="64"/>
      </top>
      <bottom style="thin">
        <color auto="1"/>
      </bottom>
      <diagonal/>
    </border>
    <border>
      <left style="thin">
        <color auto="1"/>
      </left>
      <right style="thin">
        <color auto="1"/>
      </right>
      <top style="thin">
        <color auto="1"/>
      </top>
      <bottom/>
      <diagonal/>
    </border>
    <border>
      <left style="thin">
        <color auto="1"/>
      </left>
      <right style="thin">
        <color indexed="64"/>
      </right>
      <top style="thin">
        <color auto="1"/>
      </top>
      <bottom/>
      <diagonal/>
    </border>
    <border>
      <left style="thin">
        <color auto="1"/>
      </left>
      <right style="thin">
        <color auto="1"/>
      </right>
      <top/>
      <bottom style="thin">
        <color auto="1"/>
      </bottom>
      <diagonal/>
    </border>
    <border>
      <left style="thin">
        <color auto="1"/>
      </left>
      <right style="thin">
        <color indexed="64"/>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indexed="64"/>
      </right>
      <top style="thin">
        <color auto="1"/>
      </top>
      <bottom style="thin">
        <color auto="1"/>
      </bottom>
      <diagonal/>
    </border>
    <border>
      <left style="thin">
        <color auto="1"/>
      </left>
      <right style="thin">
        <color indexed="64"/>
      </right>
      <top style="thin">
        <color indexed="64"/>
      </top>
      <bottom style="thin">
        <color auto="1"/>
      </bottom>
      <diagonal/>
    </border>
    <border>
      <left style="thin">
        <color auto="1"/>
      </left>
      <right style="thin">
        <color indexed="64"/>
      </right>
      <top/>
      <bottom style="thin">
        <color auto="1"/>
      </bottom>
      <diagonal/>
    </border>
    <border>
      <left style="thin">
        <color auto="1"/>
      </left>
      <right style="thin">
        <color rgb="FF000000"/>
      </right>
      <top/>
      <bottom style="thin">
        <color auto="1"/>
      </bottom>
      <diagonal/>
    </border>
    <border>
      <left style="thin">
        <color rgb="FF000000"/>
      </left>
      <right style="thin">
        <color auto="1"/>
      </right>
      <top style="thin">
        <color auto="1"/>
      </top>
      <bottom/>
      <diagonal/>
    </border>
    <border>
      <left style="thin">
        <color rgb="FF000000"/>
      </left>
      <right style="thin">
        <color auto="1"/>
      </right>
      <top/>
      <bottom style="thin">
        <color auto="1"/>
      </bottom>
      <diagonal/>
    </border>
    <border>
      <left style="medium">
        <color indexed="64"/>
      </left>
      <right/>
      <top/>
      <bottom/>
      <diagonal/>
    </border>
    <border>
      <left style="thin">
        <color auto="1"/>
      </left>
      <right/>
      <top style="medium">
        <color indexed="64"/>
      </top>
      <bottom style="medium">
        <color indexed="64"/>
      </bottom>
      <diagonal/>
    </border>
    <border>
      <left style="thin">
        <color auto="1"/>
      </left>
      <right/>
      <top style="medium">
        <color indexed="64"/>
      </top>
      <bottom/>
      <diagonal/>
    </border>
    <border>
      <left style="thin">
        <color auto="1"/>
      </left>
      <right style="thin">
        <color auto="1"/>
      </right>
      <top style="thin">
        <color auto="1"/>
      </top>
      <bottom/>
      <diagonal/>
    </border>
    <border>
      <left style="thin">
        <color auto="1"/>
      </left>
      <right style="thin">
        <color indexed="64"/>
      </right>
      <top style="thin">
        <color auto="1"/>
      </top>
      <bottom/>
      <diagonal/>
    </border>
    <border>
      <left style="thin">
        <color auto="1"/>
      </left>
      <right style="thin">
        <color auto="1"/>
      </right>
      <top/>
      <bottom style="thin">
        <color auto="1"/>
      </bottom>
      <diagonal/>
    </border>
    <border>
      <left style="thin">
        <color auto="1"/>
      </left>
      <right style="thin">
        <color indexed="64"/>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indexed="64"/>
      </right>
      <top style="thin">
        <color auto="1"/>
      </top>
      <bottom style="thin">
        <color auto="1"/>
      </bottom>
      <diagonal/>
    </border>
    <border>
      <left style="thin">
        <color auto="1"/>
      </left>
      <right style="thin">
        <color indexed="64"/>
      </right>
      <top style="thin">
        <color indexed="64"/>
      </top>
      <bottom style="thin">
        <color auto="1"/>
      </bottom>
      <diagonal/>
    </border>
    <border>
      <left style="thin">
        <color auto="1"/>
      </left>
      <right style="thin">
        <color indexed="64"/>
      </right>
      <top/>
      <bottom style="thin">
        <color auto="1"/>
      </bottom>
      <diagonal/>
    </border>
    <border>
      <left style="thin">
        <color indexed="64"/>
      </left>
      <right style="thin">
        <color rgb="FF000000"/>
      </right>
      <top/>
      <bottom style="thin">
        <color auto="1"/>
      </bottom>
      <diagonal/>
    </border>
    <border>
      <left style="thin">
        <color rgb="FF000000"/>
      </left>
      <right style="thin">
        <color auto="1"/>
      </right>
      <top style="thin">
        <color auto="1"/>
      </top>
      <bottom/>
      <diagonal/>
    </border>
    <border>
      <left style="thin">
        <color rgb="FF000000"/>
      </left>
      <right style="thin">
        <color auto="1"/>
      </right>
      <top/>
      <bottom style="thin">
        <color auto="1"/>
      </bottom>
      <diagonal/>
    </border>
    <border>
      <left style="thin">
        <color indexed="64"/>
      </left>
      <right style="thin">
        <color indexed="64"/>
      </right>
      <top style="thin">
        <color indexed="64"/>
      </top>
      <bottom style="thin">
        <color auto="1"/>
      </bottom>
      <diagonal/>
    </border>
    <border>
      <left style="thin">
        <color rgb="FF000000"/>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indexed="64"/>
      </right>
      <top style="thin">
        <color auto="1"/>
      </top>
      <bottom/>
      <diagonal/>
    </border>
    <border>
      <left style="thin">
        <color indexed="64"/>
      </left>
      <right style="thin">
        <color indexed="64"/>
      </right>
      <top/>
      <bottom style="thin">
        <color auto="1"/>
      </bottom>
      <diagonal/>
    </border>
    <border>
      <left style="thin">
        <color indexed="64"/>
      </left>
      <right style="thin">
        <color rgb="FF000000"/>
      </right>
      <top/>
      <bottom style="thin">
        <color auto="1"/>
      </bottom>
      <diagonal/>
    </border>
    <border>
      <left style="thin">
        <color rgb="FF000000"/>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indexed="64"/>
      </right>
      <top/>
      <bottom style="thin">
        <color auto="1"/>
      </bottom>
      <diagonal/>
    </border>
    <border>
      <left style="thin">
        <color indexed="64"/>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indexed="64"/>
      </right>
      <top style="thin">
        <color auto="1"/>
      </top>
      <bottom style="thin">
        <color auto="1"/>
      </bottom>
      <diagonal/>
    </border>
    <border>
      <left style="thin">
        <color auto="1"/>
      </left>
      <right style="thin">
        <color auto="1"/>
      </right>
      <top style="thin">
        <color auto="1"/>
      </top>
      <bottom/>
      <diagonal/>
    </border>
    <border>
      <left style="thin">
        <color auto="1"/>
      </left>
      <right style="thin">
        <color indexed="64"/>
      </right>
      <top style="thin">
        <color auto="1"/>
      </top>
      <bottom/>
      <diagonal/>
    </border>
    <border>
      <left style="thin">
        <color auto="1"/>
      </left>
      <right style="thin">
        <color auto="1"/>
      </right>
      <top/>
      <bottom style="thin">
        <color auto="1"/>
      </bottom>
      <diagonal/>
    </border>
    <border>
      <left style="thin">
        <color auto="1"/>
      </left>
      <right style="thin">
        <color indexed="64"/>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indexed="64"/>
      </right>
      <top style="thin">
        <color auto="1"/>
      </top>
      <bottom style="thin">
        <color auto="1"/>
      </bottom>
      <diagonal/>
    </border>
    <border>
      <left style="thin">
        <color auto="1"/>
      </left>
      <right style="thin">
        <color indexed="64"/>
      </right>
      <top style="thin">
        <color indexed="64"/>
      </top>
      <bottom style="thin">
        <color auto="1"/>
      </bottom>
      <diagonal/>
    </border>
    <border>
      <left style="thin">
        <color auto="1"/>
      </left>
      <right style="thin">
        <color indexed="64"/>
      </right>
      <top/>
      <bottom style="thin">
        <color auto="1"/>
      </bottom>
      <diagonal/>
    </border>
    <border>
      <left style="thin">
        <color indexed="64"/>
      </left>
      <right style="thin">
        <color rgb="FF000000"/>
      </right>
      <top/>
      <bottom style="thin">
        <color auto="1"/>
      </bottom>
      <diagonal/>
    </border>
    <border>
      <left style="thin">
        <color rgb="FF000000"/>
      </left>
      <right style="thin">
        <color auto="1"/>
      </right>
      <top style="thin">
        <color auto="1"/>
      </top>
      <bottom/>
      <diagonal/>
    </border>
    <border>
      <left style="thin">
        <color rgb="FF000000"/>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indexed="64"/>
      </right>
      <top style="thin">
        <color auto="1"/>
      </top>
      <bottom/>
      <diagonal/>
    </border>
    <border>
      <left style="thin">
        <color auto="1"/>
      </left>
      <right style="thin">
        <color auto="1"/>
      </right>
      <top/>
      <bottom style="thin">
        <color auto="1"/>
      </bottom>
      <diagonal/>
    </border>
    <border>
      <left style="thin">
        <color auto="1"/>
      </left>
      <right style="thin">
        <color indexed="64"/>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indexed="64"/>
      </right>
      <top style="thin">
        <color auto="1"/>
      </top>
      <bottom style="thin">
        <color auto="1"/>
      </bottom>
      <diagonal/>
    </border>
    <border>
      <left style="thin">
        <color auto="1"/>
      </left>
      <right style="thin">
        <color indexed="64"/>
      </right>
      <top style="thin">
        <color indexed="64"/>
      </top>
      <bottom style="thin">
        <color auto="1"/>
      </bottom>
      <diagonal/>
    </border>
    <border>
      <left style="thin">
        <color auto="1"/>
      </left>
      <right style="thin">
        <color indexed="64"/>
      </right>
      <top/>
      <bottom style="thin">
        <color auto="1"/>
      </bottom>
      <diagonal/>
    </border>
    <border>
      <left style="thin">
        <color indexed="64"/>
      </left>
      <right style="thin">
        <color rgb="FF000000"/>
      </right>
      <top/>
      <bottom style="thin">
        <color auto="1"/>
      </bottom>
      <diagonal/>
    </border>
    <border>
      <left style="thin">
        <color rgb="FF000000"/>
      </left>
      <right style="thin">
        <color auto="1"/>
      </right>
      <top style="thin">
        <color auto="1"/>
      </top>
      <bottom/>
      <diagonal/>
    </border>
    <border>
      <left style="thin">
        <color rgb="FF000000"/>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indexed="64"/>
      </right>
      <top style="thin">
        <color auto="1"/>
      </top>
      <bottom/>
      <diagonal/>
    </border>
    <border>
      <left style="thin">
        <color auto="1"/>
      </left>
      <right style="thin">
        <color auto="1"/>
      </right>
      <top/>
      <bottom style="thin">
        <color auto="1"/>
      </bottom>
      <diagonal/>
    </border>
    <border>
      <left style="thin">
        <color auto="1"/>
      </left>
      <right style="thin">
        <color indexed="64"/>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indexed="64"/>
      </right>
      <top style="thin">
        <color auto="1"/>
      </top>
      <bottom style="thin">
        <color auto="1"/>
      </bottom>
      <diagonal/>
    </border>
    <border>
      <left style="thin">
        <color auto="1"/>
      </left>
      <right style="thin">
        <color indexed="64"/>
      </right>
      <top style="thin">
        <color indexed="64"/>
      </top>
      <bottom style="thin">
        <color auto="1"/>
      </bottom>
      <diagonal/>
    </border>
    <border>
      <left style="thin">
        <color auto="1"/>
      </left>
      <right style="thin">
        <color indexed="64"/>
      </right>
      <top/>
      <bottom style="thin">
        <color auto="1"/>
      </bottom>
      <diagonal/>
    </border>
    <border>
      <left style="thin">
        <color indexed="64"/>
      </left>
      <right style="thin">
        <color rgb="FF000000"/>
      </right>
      <top/>
      <bottom style="thin">
        <color auto="1"/>
      </bottom>
      <diagonal/>
    </border>
    <border>
      <left style="thin">
        <color rgb="FF000000"/>
      </left>
      <right style="thin">
        <color auto="1"/>
      </right>
      <top style="thin">
        <color auto="1"/>
      </top>
      <bottom/>
      <diagonal/>
    </border>
    <border>
      <left style="thin">
        <color rgb="FF000000"/>
      </left>
      <right style="thin">
        <color auto="1"/>
      </right>
      <top/>
      <bottom style="thin">
        <color auto="1"/>
      </bottom>
      <diagonal/>
    </border>
    <border>
      <left style="thin">
        <color indexed="64"/>
      </left>
      <right style="thin">
        <color indexed="64"/>
      </right>
      <top style="thin">
        <color indexed="64"/>
      </top>
      <bottom style="thin">
        <color auto="1"/>
      </bottom>
      <diagonal/>
    </border>
    <border>
      <left style="thin">
        <color rgb="FF000000"/>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indexed="64"/>
      </right>
      <top style="thin">
        <color auto="1"/>
      </top>
      <bottom/>
      <diagonal/>
    </border>
    <border>
      <left style="thin">
        <color indexed="64"/>
      </left>
      <right style="thin">
        <color indexed="64"/>
      </right>
      <top/>
      <bottom style="thin">
        <color auto="1"/>
      </bottom>
      <diagonal/>
    </border>
    <border>
      <left style="thin">
        <color indexed="64"/>
      </left>
      <right style="thin">
        <color rgb="FF000000"/>
      </right>
      <top/>
      <bottom style="thin">
        <color auto="1"/>
      </bottom>
      <diagonal/>
    </border>
    <border>
      <left style="thin">
        <color rgb="FF000000"/>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indexed="64"/>
      </right>
      <top/>
      <bottom style="thin">
        <color auto="1"/>
      </bottom>
      <diagonal/>
    </border>
    <border>
      <left style="thin">
        <color indexed="64"/>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indexed="64"/>
      </right>
      <top style="thin">
        <color auto="1"/>
      </top>
      <bottom style="thin">
        <color auto="1"/>
      </bottom>
      <diagonal/>
    </border>
    <border>
      <left style="thin">
        <color auto="1"/>
      </left>
      <right style="thin">
        <color auto="1"/>
      </right>
      <top style="thin">
        <color auto="1"/>
      </top>
      <bottom/>
      <diagonal/>
    </border>
    <border>
      <left style="thin">
        <color auto="1"/>
      </left>
      <right style="thin">
        <color indexed="64"/>
      </right>
      <top style="thin">
        <color auto="1"/>
      </top>
      <bottom/>
      <diagonal/>
    </border>
    <border>
      <left style="thin">
        <color auto="1"/>
      </left>
      <right style="thin">
        <color auto="1"/>
      </right>
      <top/>
      <bottom style="thin">
        <color auto="1"/>
      </bottom>
      <diagonal/>
    </border>
    <border>
      <left style="thin">
        <color auto="1"/>
      </left>
      <right style="thin">
        <color indexed="64"/>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indexed="64"/>
      </right>
      <top style="thin">
        <color auto="1"/>
      </top>
      <bottom style="thin">
        <color auto="1"/>
      </bottom>
      <diagonal/>
    </border>
    <border>
      <left style="thin">
        <color auto="1"/>
      </left>
      <right style="thin">
        <color indexed="64"/>
      </right>
      <top style="thin">
        <color indexed="64"/>
      </top>
      <bottom style="thin">
        <color auto="1"/>
      </bottom>
      <diagonal/>
    </border>
    <border>
      <left style="thin">
        <color auto="1"/>
      </left>
      <right style="thin">
        <color indexed="64"/>
      </right>
      <top/>
      <bottom style="thin">
        <color auto="1"/>
      </bottom>
      <diagonal/>
    </border>
    <border>
      <left style="thin">
        <color indexed="64"/>
      </left>
      <right style="thin">
        <color rgb="FF000000"/>
      </right>
      <top/>
      <bottom style="thin">
        <color auto="1"/>
      </bottom>
      <diagonal/>
    </border>
    <border>
      <left style="thin">
        <color rgb="FF000000"/>
      </left>
      <right style="thin">
        <color auto="1"/>
      </right>
      <top style="thin">
        <color auto="1"/>
      </top>
      <bottom/>
      <diagonal/>
    </border>
    <border>
      <left style="thin">
        <color rgb="FF000000"/>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indexed="64"/>
      </right>
      <top style="thin">
        <color auto="1"/>
      </top>
      <bottom/>
      <diagonal/>
    </border>
    <border>
      <left style="thin">
        <color auto="1"/>
      </left>
      <right style="thin">
        <color auto="1"/>
      </right>
      <top/>
      <bottom style="thin">
        <color auto="1"/>
      </bottom>
      <diagonal/>
    </border>
    <border>
      <left style="thin">
        <color auto="1"/>
      </left>
      <right style="thin">
        <color indexed="64"/>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indexed="64"/>
      </right>
      <top style="thin">
        <color auto="1"/>
      </top>
      <bottom style="thin">
        <color auto="1"/>
      </bottom>
      <diagonal/>
    </border>
    <border>
      <left style="thin">
        <color auto="1"/>
      </left>
      <right style="thin">
        <color indexed="64"/>
      </right>
      <top style="thin">
        <color indexed="64"/>
      </top>
      <bottom style="thin">
        <color auto="1"/>
      </bottom>
      <diagonal/>
    </border>
    <border>
      <left style="thin">
        <color auto="1"/>
      </left>
      <right style="thin">
        <color indexed="64"/>
      </right>
      <top/>
      <bottom style="thin">
        <color auto="1"/>
      </bottom>
      <diagonal/>
    </border>
    <border>
      <left style="thin">
        <color indexed="64"/>
      </left>
      <right style="thin">
        <color rgb="FF000000"/>
      </right>
      <top/>
      <bottom style="thin">
        <color auto="1"/>
      </bottom>
      <diagonal/>
    </border>
    <border>
      <left style="thin">
        <color rgb="FF000000"/>
      </left>
      <right style="thin">
        <color auto="1"/>
      </right>
      <top style="thin">
        <color auto="1"/>
      </top>
      <bottom/>
      <diagonal/>
    </border>
    <border>
      <left style="thin">
        <color rgb="FF000000"/>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indexed="64"/>
      </right>
      <top style="thin">
        <color auto="1"/>
      </top>
      <bottom/>
      <diagonal/>
    </border>
    <border>
      <left style="thin">
        <color auto="1"/>
      </left>
      <right style="thin">
        <color auto="1"/>
      </right>
      <top/>
      <bottom style="thin">
        <color auto="1"/>
      </bottom>
      <diagonal/>
    </border>
    <border>
      <left style="thin">
        <color auto="1"/>
      </left>
      <right style="thin">
        <color indexed="64"/>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indexed="64"/>
      </right>
      <top style="thin">
        <color auto="1"/>
      </top>
      <bottom style="thin">
        <color auto="1"/>
      </bottom>
      <diagonal/>
    </border>
    <border>
      <left style="thin">
        <color auto="1"/>
      </left>
      <right style="thin">
        <color indexed="64"/>
      </right>
      <top style="thin">
        <color indexed="64"/>
      </top>
      <bottom style="thin">
        <color auto="1"/>
      </bottom>
      <diagonal/>
    </border>
    <border>
      <left style="thin">
        <color auto="1"/>
      </left>
      <right style="thin">
        <color indexed="64"/>
      </right>
      <top/>
      <bottom style="thin">
        <color auto="1"/>
      </bottom>
      <diagonal/>
    </border>
    <border>
      <left style="thin">
        <color indexed="64"/>
      </left>
      <right style="thin">
        <color rgb="FF000000"/>
      </right>
      <top/>
      <bottom style="thin">
        <color auto="1"/>
      </bottom>
      <diagonal/>
    </border>
    <border>
      <left style="thin">
        <color rgb="FF000000"/>
      </left>
      <right style="thin">
        <color auto="1"/>
      </right>
      <top style="thin">
        <color auto="1"/>
      </top>
      <bottom/>
      <diagonal/>
    </border>
    <border>
      <left style="thin">
        <color rgb="FF000000"/>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indexed="64"/>
      </right>
      <top style="thin">
        <color auto="1"/>
      </top>
      <bottom/>
      <diagonal/>
    </border>
    <border>
      <left style="thin">
        <color auto="1"/>
      </left>
      <right style="thin">
        <color auto="1"/>
      </right>
      <top/>
      <bottom style="thin">
        <color auto="1"/>
      </bottom>
      <diagonal/>
    </border>
    <border>
      <left style="thin">
        <color auto="1"/>
      </left>
      <right style="thin">
        <color indexed="64"/>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indexed="64"/>
      </right>
      <top style="thin">
        <color auto="1"/>
      </top>
      <bottom style="thin">
        <color auto="1"/>
      </bottom>
      <diagonal/>
    </border>
    <border>
      <left style="thin">
        <color auto="1"/>
      </left>
      <right style="thin">
        <color indexed="64"/>
      </right>
      <top style="thin">
        <color indexed="64"/>
      </top>
      <bottom style="thin">
        <color auto="1"/>
      </bottom>
      <diagonal/>
    </border>
    <border>
      <left style="thin">
        <color auto="1"/>
      </left>
      <right style="thin">
        <color indexed="64"/>
      </right>
      <top/>
      <bottom style="thin">
        <color auto="1"/>
      </bottom>
      <diagonal/>
    </border>
    <border>
      <left style="thin">
        <color indexed="64"/>
      </left>
      <right style="thin">
        <color rgb="FF000000"/>
      </right>
      <top/>
      <bottom style="thin">
        <color auto="1"/>
      </bottom>
      <diagonal/>
    </border>
    <border>
      <left style="thin">
        <color rgb="FF000000"/>
      </left>
      <right style="thin">
        <color auto="1"/>
      </right>
      <top style="thin">
        <color auto="1"/>
      </top>
      <bottom/>
      <diagonal/>
    </border>
    <border>
      <left style="thin">
        <color rgb="FF000000"/>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indexed="64"/>
      </right>
      <top style="thin">
        <color auto="1"/>
      </top>
      <bottom/>
      <diagonal/>
    </border>
    <border>
      <left style="thin">
        <color auto="1"/>
      </left>
      <right style="thin">
        <color auto="1"/>
      </right>
      <top/>
      <bottom style="thin">
        <color auto="1"/>
      </bottom>
      <diagonal/>
    </border>
    <border>
      <left style="thin">
        <color auto="1"/>
      </left>
      <right style="thin">
        <color indexed="64"/>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indexed="64"/>
      </right>
      <top style="thin">
        <color auto="1"/>
      </top>
      <bottom style="thin">
        <color auto="1"/>
      </bottom>
      <diagonal/>
    </border>
    <border>
      <left style="thin">
        <color auto="1"/>
      </left>
      <right style="thin">
        <color indexed="64"/>
      </right>
      <top style="thin">
        <color indexed="64"/>
      </top>
      <bottom style="thin">
        <color auto="1"/>
      </bottom>
      <diagonal/>
    </border>
    <border>
      <left style="thin">
        <color auto="1"/>
      </left>
      <right style="thin">
        <color indexed="64"/>
      </right>
      <top/>
      <bottom style="thin">
        <color auto="1"/>
      </bottom>
      <diagonal/>
    </border>
    <border>
      <left style="thin">
        <color indexed="64"/>
      </left>
      <right style="thin">
        <color rgb="FF000000"/>
      </right>
      <top/>
      <bottom style="thin">
        <color auto="1"/>
      </bottom>
      <diagonal/>
    </border>
    <border>
      <left style="thin">
        <color rgb="FF000000"/>
      </left>
      <right style="thin">
        <color auto="1"/>
      </right>
      <top style="thin">
        <color auto="1"/>
      </top>
      <bottom/>
      <diagonal/>
    </border>
    <border>
      <left style="thin">
        <color rgb="FF000000"/>
      </left>
      <right style="thin">
        <color auto="1"/>
      </right>
      <top/>
      <bottom style="thin">
        <color auto="1"/>
      </bottom>
      <diagonal/>
    </border>
  </borders>
  <cellStyleXfs count="4">
    <xf numFmtId="0" fontId="0" fillId="0" borderId="0"/>
    <xf numFmtId="9" fontId="1" fillId="0" borderId="0" applyFont="0" applyFill="0" applyBorder="0" applyAlignment="0" applyProtection="0"/>
    <xf numFmtId="0" fontId="3" fillId="0" borderId="0" applyNumberFormat="0" applyFill="0" applyBorder="0" applyAlignment="0" applyProtection="0"/>
    <xf numFmtId="0" fontId="8" fillId="8" borderId="0" applyNumberFormat="0" applyBorder="0" applyAlignment="0" applyProtection="0"/>
  </cellStyleXfs>
  <cellXfs count="659">
    <xf numFmtId="0" fontId="0" fillId="0" borderId="0" xfId="0"/>
    <xf numFmtId="16" fontId="4" fillId="3" borderId="4" xfId="0" applyNumberFormat="1" applyFont="1" applyFill="1" applyBorder="1"/>
    <xf numFmtId="0" fontId="4" fillId="5" borderId="4" xfId="0" applyFont="1" applyFill="1" applyBorder="1"/>
    <xf numFmtId="0" fontId="4" fillId="0" borderId="9" xfId="0" applyFont="1" applyBorder="1" applyAlignment="1"/>
    <xf numFmtId="0" fontId="0" fillId="0" borderId="0" xfId="0" applyNumberFormat="1"/>
    <xf numFmtId="9" fontId="0" fillId="0" borderId="0" xfId="0" applyNumberFormat="1"/>
    <xf numFmtId="16" fontId="0" fillId="0" borderId="0" xfId="0" applyNumberFormat="1" applyFont="1"/>
    <xf numFmtId="16" fontId="7" fillId="0" borderId="0" xfId="0" applyNumberFormat="1" applyFont="1" applyBorder="1" applyAlignment="1"/>
    <xf numFmtId="16" fontId="0" fillId="7" borderId="0" xfId="0" applyNumberFormat="1" applyFill="1" applyBorder="1"/>
    <xf numFmtId="0" fontId="0" fillId="7" borderId="0" xfId="0" applyFill="1" applyBorder="1"/>
    <xf numFmtId="10" fontId="0" fillId="7" borderId="0" xfId="1" applyNumberFormat="1" applyFont="1" applyFill="1" applyBorder="1"/>
    <xf numFmtId="10" fontId="0" fillId="5" borderId="14" xfId="1" applyNumberFormat="1" applyFont="1" applyFill="1" applyBorder="1"/>
    <xf numFmtId="10" fontId="0" fillId="4" borderId="14" xfId="1" applyNumberFormat="1" applyFont="1" applyFill="1" applyBorder="1"/>
    <xf numFmtId="2" fontId="0" fillId="5" borderId="14" xfId="0" applyNumberFormat="1" applyFill="1" applyBorder="1"/>
    <xf numFmtId="0" fontId="9" fillId="8" borderId="4" xfId="3" applyFont="1" applyBorder="1"/>
    <xf numFmtId="0" fontId="0" fillId="0" borderId="0" xfId="0" applyBorder="1" applyAlignment="1"/>
    <xf numFmtId="2" fontId="0" fillId="0" borderId="0" xfId="0" applyNumberFormat="1" applyBorder="1" applyAlignment="1"/>
    <xf numFmtId="2" fontId="3" fillId="0" borderId="0" xfId="2" applyNumberFormat="1" applyBorder="1" applyAlignment="1"/>
    <xf numFmtId="16" fontId="0" fillId="0" borderId="0" xfId="0" applyNumberFormat="1" applyFill="1" applyBorder="1"/>
    <xf numFmtId="0" fontId="0" fillId="0" borderId="0" xfId="0" applyFill="1" applyBorder="1"/>
    <xf numFmtId="10" fontId="0" fillId="0" borderId="0" xfId="1" applyNumberFormat="1" applyFont="1" applyFill="1" applyBorder="1"/>
    <xf numFmtId="0" fontId="0" fillId="0" borderId="0" xfId="0" applyFill="1"/>
    <xf numFmtId="0" fontId="0" fillId="0" borderId="0" xfId="0"/>
    <xf numFmtId="10" fontId="0" fillId="4" borderId="5" xfId="1" applyNumberFormat="1" applyFont="1" applyFill="1" applyBorder="1"/>
    <xf numFmtId="0" fontId="2" fillId="0" borderId="9" xfId="0" applyFont="1" applyBorder="1" applyAlignment="1"/>
    <xf numFmtId="164" fontId="0" fillId="4" borderId="14" xfId="0" applyNumberFormat="1" applyFill="1" applyBorder="1"/>
    <xf numFmtId="2" fontId="0" fillId="9" borderId="5" xfId="0" applyNumberFormat="1" applyFill="1" applyBorder="1"/>
    <xf numFmtId="164" fontId="0" fillId="4" borderId="5" xfId="1" applyNumberFormat="1" applyFont="1" applyFill="1" applyBorder="1"/>
    <xf numFmtId="2" fontId="0" fillId="4" borderId="5" xfId="1" applyNumberFormat="1" applyFont="1" applyFill="1" applyBorder="1"/>
    <xf numFmtId="2" fontId="0" fillId="4" borderId="4" xfId="1" applyNumberFormat="1" applyFont="1" applyFill="1" applyBorder="1"/>
    <xf numFmtId="10" fontId="4" fillId="11" borderId="4" xfId="1" applyNumberFormat="1" applyFont="1" applyFill="1" applyBorder="1"/>
    <xf numFmtId="0" fontId="9" fillId="11" borderId="4" xfId="3" applyFont="1" applyFill="1" applyBorder="1"/>
    <xf numFmtId="0" fontId="4" fillId="12" borderId="10" xfId="0" applyFont="1" applyFill="1" applyBorder="1"/>
    <xf numFmtId="0" fontId="4" fillId="12" borderId="4" xfId="0" applyFont="1" applyFill="1" applyBorder="1"/>
    <xf numFmtId="0" fontId="0" fillId="7" borderId="0" xfId="0" applyNumberFormat="1" applyFill="1" applyBorder="1"/>
    <xf numFmtId="1" fontId="0" fillId="0" borderId="0" xfId="0" applyNumberFormat="1"/>
    <xf numFmtId="10" fontId="0" fillId="0" borderId="0" xfId="1" applyNumberFormat="1" applyFont="1" applyAlignment="1">
      <alignment horizontal="left"/>
    </xf>
    <xf numFmtId="164" fontId="0" fillId="0" borderId="0" xfId="0" applyNumberFormat="1" applyAlignment="1">
      <alignment horizontal="left"/>
    </xf>
    <xf numFmtId="2" fontId="0" fillId="0" borderId="0" xfId="0" applyNumberFormat="1" applyAlignment="1">
      <alignment horizontal="left"/>
    </xf>
    <xf numFmtId="0" fontId="9" fillId="5" borderId="4" xfId="3" applyFont="1" applyFill="1" applyBorder="1"/>
    <xf numFmtId="0" fontId="4" fillId="5" borderId="4" xfId="0" applyFont="1" applyFill="1" applyBorder="1" applyAlignment="1">
      <alignment horizontal="left"/>
    </xf>
    <xf numFmtId="0" fontId="0" fillId="0" borderId="0" xfId="0" quotePrefix="1" applyNumberFormat="1"/>
    <xf numFmtId="49" fontId="0" fillId="0" borderId="0" xfId="0" applyNumberFormat="1"/>
    <xf numFmtId="0" fontId="0" fillId="7" borderId="0" xfId="1" applyNumberFormat="1" applyFont="1" applyFill="1" applyBorder="1"/>
    <xf numFmtId="16" fontId="4" fillId="3" borderId="10" xfId="0" applyNumberFormat="1" applyFont="1" applyFill="1" applyBorder="1"/>
    <xf numFmtId="0" fontId="0" fillId="5" borderId="1" xfId="0" applyFill="1" applyBorder="1"/>
    <xf numFmtId="0" fontId="0" fillId="5" borderId="13" xfId="0" applyNumberFormat="1" applyFill="1" applyBorder="1"/>
    <xf numFmtId="0" fontId="0" fillId="5" borderId="14" xfId="0" applyFill="1" applyBorder="1"/>
    <xf numFmtId="0" fontId="0" fillId="4" borderId="14" xfId="0" applyFill="1" applyBorder="1"/>
    <xf numFmtId="0" fontId="0" fillId="4" borderId="19" xfId="0" applyFill="1" applyBorder="1"/>
    <xf numFmtId="0" fontId="4" fillId="3" borderId="4" xfId="0" applyFont="1" applyFill="1" applyBorder="1"/>
    <xf numFmtId="9" fontId="1" fillId="0" borderId="4" xfId="1" applyFont="1" applyFill="1" applyBorder="1"/>
    <xf numFmtId="0" fontId="9" fillId="0" borderId="0" xfId="3" applyFont="1" applyFill="1" applyBorder="1"/>
    <xf numFmtId="2" fontId="0" fillId="0" borderId="0" xfId="0" applyNumberFormat="1" applyFill="1" applyBorder="1"/>
    <xf numFmtId="0" fontId="4" fillId="5" borderId="1" xfId="0" applyFont="1" applyFill="1" applyBorder="1"/>
    <xf numFmtId="0" fontId="4" fillId="4" borderId="1" xfId="0" applyFont="1" applyFill="1" applyBorder="1"/>
    <xf numFmtId="0" fontId="0" fillId="5" borderId="2" xfId="0" applyFill="1" applyBorder="1"/>
    <xf numFmtId="0" fontId="0" fillId="5" borderId="3" xfId="0" applyFill="1" applyBorder="1"/>
    <xf numFmtId="0" fontId="4" fillId="4" borderId="4" xfId="0" applyFont="1" applyFill="1" applyBorder="1"/>
    <xf numFmtId="0" fontId="4" fillId="0" borderId="0" xfId="0" applyFont="1" applyBorder="1" applyAlignment="1"/>
    <xf numFmtId="0" fontId="4" fillId="11" borderId="4" xfId="0" applyFont="1" applyFill="1" applyBorder="1"/>
    <xf numFmtId="2" fontId="0" fillId="4" borderId="23" xfId="0" applyNumberFormat="1" applyFill="1" applyBorder="1"/>
    <xf numFmtId="10" fontId="0" fillId="5" borderId="13" xfId="1" applyNumberFormat="1" applyFont="1" applyFill="1" applyBorder="1"/>
    <xf numFmtId="2" fontId="0" fillId="5" borderId="19" xfId="0" applyNumberFormat="1" applyFill="1" applyBorder="1"/>
    <xf numFmtId="0" fontId="0" fillId="5" borderId="13" xfId="0" applyFill="1" applyBorder="1"/>
    <xf numFmtId="0" fontId="0" fillId="5" borderId="23" xfId="0" applyFill="1" applyBorder="1"/>
    <xf numFmtId="2" fontId="0" fillId="4" borderId="19" xfId="0" applyNumberFormat="1" applyFill="1" applyBorder="1"/>
    <xf numFmtId="165" fontId="0" fillId="0" borderId="4" xfId="0" applyNumberFormat="1" applyBorder="1" applyAlignment="1">
      <alignment horizontal="right"/>
    </xf>
    <xf numFmtId="10" fontId="4" fillId="4" borderId="1" xfId="0" applyNumberFormat="1" applyFont="1" applyFill="1" applyBorder="1" applyAlignment="1">
      <alignment horizontal="left"/>
    </xf>
    <xf numFmtId="10" fontId="4" fillId="4" borderId="3" xfId="0" applyNumberFormat="1" applyFont="1" applyFill="1" applyBorder="1" applyAlignment="1">
      <alignment horizontal="left"/>
    </xf>
    <xf numFmtId="0" fontId="0" fillId="0" borderId="7" xfId="0" applyFill="1" applyBorder="1" applyAlignment="1"/>
    <xf numFmtId="0" fontId="0" fillId="0" borderId="8" xfId="0" applyFill="1" applyBorder="1" applyAlignment="1"/>
    <xf numFmtId="0" fontId="0" fillId="0" borderId="10" xfId="0" applyNumberFormat="1" applyBorder="1" applyAlignment="1">
      <alignment horizontal="right"/>
    </xf>
    <xf numFmtId="0" fontId="0" fillId="0" borderId="0" xfId="0" applyAlignment="1">
      <alignment horizontal="left"/>
    </xf>
    <xf numFmtId="165" fontId="0" fillId="0" borderId="0" xfId="0" applyNumberFormat="1"/>
    <xf numFmtId="0" fontId="12" fillId="0" borderId="0" xfId="0" applyFont="1"/>
    <xf numFmtId="0" fontId="4" fillId="0" borderId="0" xfId="0" applyFont="1"/>
    <xf numFmtId="16" fontId="0" fillId="0" borderId="0" xfId="0" applyNumberFormat="1"/>
    <xf numFmtId="2" fontId="0" fillId="0" borderId="0" xfId="0" applyNumberFormat="1" applyBorder="1" applyAlignment="1">
      <alignment horizontal="left"/>
    </xf>
    <xf numFmtId="164" fontId="0" fillId="0" borderId="0" xfId="0" applyNumberFormat="1" applyBorder="1" applyAlignment="1">
      <alignment horizontal="left"/>
    </xf>
    <xf numFmtId="10" fontId="0" fillId="0" borderId="0" xfId="1" applyNumberFormat="1" applyFont="1" applyBorder="1" applyAlignment="1">
      <alignment horizontal="left"/>
    </xf>
    <xf numFmtId="0" fontId="0" fillId="0" borderId="0" xfId="0" applyBorder="1"/>
    <xf numFmtId="0" fontId="6" fillId="0" borderId="0" xfId="0" applyFont="1" applyFill="1" applyBorder="1" applyAlignment="1">
      <alignment horizontal="left" vertical="center"/>
    </xf>
    <xf numFmtId="0" fontId="14" fillId="0" borderId="0" xfId="0" applyFont="1" applyFill="1" applyBorder="1" applyAlignment="1">
      <alignment horizontal="center"/>
    </xf>
    <xf numFmtId="164" fontId="14" fillId="0" borderId="0" xfId="0" applyNumberFormat="1" applyFont="1" applyFill="1" applyBorder="1" applyAlignment="1">
      <alignment horizontal="center"/>
    </xf>
    <xf numFmtId="164" fontId="0" fillId="0" borderId="0" xfId="0" applyNumberFormat="1" applyFont="1" applyFill="1" applyBorder="1" applyAlignment="1">
      <alignment horizontal="center" vertical="center"/>
    </xf>
    <xf numFmtId="2" fontId="0" fillId="0" borderId="0" xfId="0" applyNumberFormat="1" applyFont="1" applyFill="1" applyBorder="1" applyAlignment="1">
      <alignment horizontal="center" vertical="center"/>
    </xf>
    <xf numFmtId="0" fontId="0" fillId="0" borderId="0" xfId="0" applyBorder="1" applyAlignment="1">
      <alignment horizontal="center"/>
    </xf>
    <xf numFmtId="164" fontId="0" fillId="0" borderId="0" xfId="0" applyNumberFormat="1" applyBorder="1" applyAlignment="1">
      <alignment horizontal="center"/>
    </xf>
    <xf numFmtId="0" fontId="0" fillId="0" borderId="0" xfId="0" applyFont="1" applyBorder="1" applyAlignment="1">
      <alignment horizontal="center"/>
    </xf>
    <xf numFmtId="2" fontId="0" fillId="0" borderId="0" xfId="0" applyNumberFormat="1"/>
    <xf numFmtId="0" fontId="14" fillId="0" borderId="0" xfId="0" applyNumberFormat="1" applyFont="1" applyFill="1" applyBorder="1" applyAlignment="1">
      <alignment horizontal="center"/>
    </xf>
    <xf numFmtId="10" fontId="0" fillId="0" borderId="0" xfId="1" applyNumberFormat="1" applyFont="1" applyFill="1" applyBorder="1" applyAlignment="1">
      <alignment horizontal="center" vertical="center"/>
    </xf>
    <xf numFmtId="0" fontId="6" fillId="0" borderId="0" xfId="0" applyFont="1" applyAlignment="1">
      <alignment horizontal="center" vertical="center"/>
    </xf>
    <xf numFmtId="0" fontId="6" fillId="0" borderId="0" xfId="0" applyFont="1" applyAlignment="1">
      <alignment horizontal="left" vertical="center"/>
    </xf>
    <xf numFmtId="0" fontId="0" fillId="5" borderId="22" xfId="1" applyNumberFormat="1" applyFont="1" applyFill="1" applyBorder="1"/>
    <xf numFmtId="0" fontId="0" fillId="5" borderId="9" xfId="1" applyNumberFormat="1" applyFont="1" applyFill="1" applyBorder="1"/>
    <xf numFmtId="0" fontId="0" fillId="5" borderId="3" xfId="1" applyNumberFormat="1" applyFont="1" applyFill="1" applyBorder="1"/>
    <xf numFmtId="0" fontId="0" fillId="4" borderId="1" xfId="0" applyFill="1" applyBorder="1"/>
    <xf numFmtId="0" fontId="0" fillId="4" borderId="2" xfId="0" applyFill="1" applyBorder="1"/>
    <xf numFmtId="0" fontId="0" fillId="4" borderId="3" xfId="0" applyFill="1" applyBorder="1"/>
    <xf numFmtId="49" fontId="0" fillId="4" borderId="3" xfId="0" applyNumberFormat="1" applyFill="1" applyBorder="1" applyAlignment="1">
      <alignment horizontal="right"/>
    </xf>
    <xf numFmtId="16" fontId="0" fillId="4" borderId="2" xfId="0" applyNumberFormat="1" applyFill="1" applyBorder="1"/>
    <xf numFmtId="16" fontId="0" fillId="4" borderId="1" xfId="0" applyNumberFormat="1" applyFill="1" applyBorder="1"/>
    <xf numFmtId="16" fontId="0" fillId="4" borderId="3" xfId="0" applyNumberFormat="1" applyFill="1" applyBorder="1"/>
    <xf numFmtId="49" fontId="0" fillId="4" borderId="2" xfId="0" applyNumberFormat="1" applyFill="1" applyBorder="1" applyAlignment="1">
      <alignment horizontal="right"/>
    </xf>
    <xf numFmtId="49" fontId="0" fillId="5" borderId="2" xfId="0" applyNumberFormat="1" applyFill="1" applyBorder="1" applyAlignment="1">
      <alignment horizontal="right"/>
    </xf>
    <xf numFmtId="1" fontId="14" fillId="0" borderId="0" xfId="0" applyNumberFormat="1" applyFont="1" applyFill="1" applyBorder="1" applyAlignment="1">
      <alignment horizontal="center"/>
    </xf>
    <xf numFmtId="1" fontId="0" fillId="0" borderId="0" xfId="0" applyNumberFormat="1" applyBorder="1" applyAlignment="1">
      <alignment horizontal="center"/>
    </xf>
    <xf numFmtId="0" fontId="13" fillId="3" borderId="29" xfId="0" applyFont="1" applyFill="1" applyBorder="1" applyAlignment="1">
      <alignment wrapText="1"/>
    </xf>
    <xf numFmtId="0" fontId="15" fillId="3" borderId="30" xfId="0" applyFont="1" applyFill="1" applyBorder="1" applyAlignment="1">
      <alignment horizontal="center" vertical="center" wrapText="1"/>
    </xf>
    <xf numFmtId="1" fontId="15" fillId="3" borderId="30" xfId="0" applyNumberFormat="1" applyFont="1" applyFill="1" applyBorder="1" applyAlignment="1">
      <alignment horizontal="center" vertical="center" wrapText="1"/>
    </xf>
    <xf numFmtId="164" fontId="15" fillId="3" borderId="30" xfId="0" applyNumberFormat="1" applyFont="1" applyFill="1" applyBorder="1" applyAlignment="1">
      <alignment horizontal="center" vertical="center" wrapText="1"/>
    </xf>
    <xf numFmtId="10" fontId="15" fillId="3" borderId="30" xfId="1" applyNumberFormat="1" applyFont="1" applyFill="1" applyBorder="1" applyAlignment="1">
      <alignment horizontal="center" vertical="center" wrapText="1"/>
    </xf>
    <xf numFmtId="10" fontId="0" fillId="0" borderId="0" xfId="1" applyNumberFormat="1" applyFont="1" applyBorder="1" applyAlignment="1">
      <alignment horizontal="center"/>
    </xf>
    <xf numFmtId="0" fontId="20" fillId="3" borderId="34" xfId="0" applyFont="1" applyFill="1" applyBorder="1" applyAlignment="1">
      <alignment horizontal="center" vertical="center" wrapText="1"/>
    </xf>
    <xf numFmtId="0" fontId="0" fillId="0" borderId="15" xfId="0" applyFill="1" applyBorder="1" applyAlignment="1">
      <alignment horizontal="center"/>
    </xf>
    <xf numFmtId="0" fontId="0" fillId="0" borderId="0" xfId="0" applyFill="1" applyBorder="1" applyAlignment="1">
      <alignment horizontal="center"/>
    </xf>
    <xf numFmtId="167" fontId="4" fillId="3" borderId="4" xfId="0" applyNumberFormat="1" applyFont="1" applyFill="1" applyBorder="1"/>
    <xf numFmtId="165" fontId="4" fillId="3" borderId="4" xfId="0" applyNumberFormat="1" applyFont="1" applyFill="1" applyBorder="1" applyAlignment="1">
      <alignment horizontal="left"/>
    </xf>
    <xf numFmtId="167" fontId="4" fillId="3" borderId="4" xfId="0" applyNumberFormat="1" applyFont="1" applyFill="1" applyBorder="1" applyAlignment="1">
      <alignment horizontal="right"/>
    </xf>
    <xf numFmtId="167" fontId="4" fillId="3" borderId="10" xfId="0" applyNumberFormat="1" applyFont="1" applyFill="1" applyBorder="1" applyAlignment="1">
      <alignment horizontal="right"/>
    </xf>
    <xf numFmtId="0" fontId="4" fillId="5" borderId="10" xfId="0" applyFont="1" applyFill="1" applyBorder="1"/>
    <xf numFmtId="0" fontId="4" fillId="5" borderId="24" xfId="0" applyFont="1" applyFill="1" applyBorder="1"/>
    <xf numFmtId="0" fontId="0" fillId="4" borderId="2" xfId="0" applyFont="1" applyFill="1" applyBorder="1"/>
    <xf numFmtId="0" fontId="13" fillId="4" borderId="2" xfId="3" applyFont="1" applyFill="1" applyBorder="1"/>
    <xf numFmtId="49" fontId="0" fillId="4" borderId="3" xfId="0" applyNumberFormat="1" applyFont="1" applyFill="1" applyBorder="1"/>
    <xf numFmtId="10" fontId="4" fillId="5" borderId="1" xfId="0" applyNumberFormat="1" applyFont="1" applyFill="1" applyBorder="1" applyAlignment="1">
      <alignment horizontal="left"/>
    </xf>
    <xf numFmtId="10" fontId="4" fillId="5" borderId="3" xfId="0" applyNumberFormat="1" applyFont="1" applyFill="1" applyBorder="1" applyAlignment="1">
      <alignment horizontal="left"/>
    </xf>
    <xf numFmtId="2" fontId="1" fillId="0" borderId="4" xfId="1" applyNumberFormat="1" applyFont="1" applyFill="1" applyBorder="1"/>
    <xf numFmtId="49" fontId="0" fillId="5" borderId="3" xfId="0" applyNumberFormat="1" applyFill="1" applyBorder="1" applyAlignment="1">
      <alignment horizontal="right"/>
    </xf>
    <xf numFmtId="0" fontId="13" fillId="3" borderId="36" xfId="0" applyFont="1" applyFill="1" applyBorder="1" applyAlignment="1">
      <alignment wrapText="1"/>
    </xf>
    <xf numFmtId="0" fontId="15" fillId="3" borderId="37" xfId="0" applyFont="1" applyFill="1" applyBorder="1" applyAlignment="1">
      <alignment horizontal="center" vertical="center" wrapText="1"/>
    </xf>
    <xf numFmtId="0" fontId="15" fillId="3" borderId="38" xfId="0" applyFont="1" applyFill="1" applyBorder="1" applyAlignment="1">
      <alignment horizontal="center" vertical="center"/>
    </xf>
    <xf numFmtId="0" fontId="21" fillId="0" borderId="0" xfId="0" applyFont="1" applyFill="1" applyBorder="1" applyAlignment="1">
      <alignment horizontal="left" vertical="center"/>
    </xf>
    <xf numFmtId="0" fontId="22" fillId="0" borderId="0" xfId="0" applyNumberFormat="1" applyFont="1" applyFill="1" applyBorder="1" applyAlignment="1">
      <alignment horizontal="center"/>
    </xf>
    <xf numFmtId="1" fontId="22" fillId="0" borderId="0" xfId="0" applyNumberFormat="1" applyFont="1" applyFill="1" applyBorder="1" applyAlignment="1">
      <alignment horizontal="center"/>
    </xf>
    <xf numFmtId="164" fontId="22" fillId="0" borderId="0" xfId="0" applyNumberFormat="1" applyFont="1" applyFill="1" applyBorder="1" applyAlignment="1">
      <alignment horizontal="center"/>
    </xf>
    <xf numFmtId="10" fontId="23" fillId="0" borderId="0" xfId="1" applyNumberFormat="1" applyFont="1" applyFill="1" applyBorder="1" applyAlignment="1">
      <alignment horizontal="center" vertical="center"/>
    </xf>
    <xf numFmtId="164" fontId="23" fillId="0" borderId="0" xfId="0" applyNumberFormat="1" applyFont="1" applyFill="1" applyBorder="1" applyAlignment="1">
      <alignment horizontal="center" vertical="center"/>
    </xf>
    <xf numFmtId="2" fontId="23" fillId="0" borderId="0" xfId="0" applyNumberFormat="1" applyFont="1" applyFill="1" applyBorder="1" applyAlignment="1">
      <alignment horizontal="center" vertical="center"/>
    </xf>
    <xf numFmtId="0" fontId="0" fillId="0" borderId="0" xfId="0" applyNumberFormat="1" applyFill="1" applyBorder="1" applyAlignment="1">
      <alignment horizontal="center"/>
    </xf>
    <xf numFmtId="0" fontId="10" fillId="0" borderId="0" xfId="0" applyFont="1" applyFill="1" applyBorder="1" applyAlignment="1">
      <alignment horizontal="right" vertical="center"/>
    </xf>
    <xf numFmtId="49" fontId="0" fillId="4" borderId="1" xfId="0" applyNumberFormat="1" applyFont="1" applyFill="1" applyBorder="1" applyAlignment="1">
      <alignment horizontal="right"/>
    </xf>
    <xf numFmtId="0" fontId="4" fillId="5" borderId="20" xfId="0" applyFont="1" applyFill="1" applyBorder="1"/>
    <xf numFmtId="49" fontId="0" fillId="5" borderId="20" xfId="0" applyNumberFormat="1" applyFont="1" applyFill="1" applyBorder="1" applyAlignment="1">
      <alignment horizontal="right"/>
    </xf>
    <xf numFmtId="49" fontId="0" fillId="5" borderId="21" xfId="0" applyNumberFormat="1" applyFill="1" applyBorder="1" applyAlignment="1">
      <alignment horizontal="right"/>
    </xf>
    <xf numFmtId="0" fontId="0" fillId="4" borderId="2" xfId="0" applyNumberFormat="1" applyFont="1" applyFill="1" applyBorder="1" applyAlignment="1">
      <alignment horizontal="right"/>
    </xf>
    <xf numFmtId="0" fontId="0" fillId="4" borderId="2" xfId="0" applyNumberFormat="1" applyFill="1" applyBorder="1" applyAlignment="1">
      <alignment horizontal="right"/>
    </xf>
    <xf numFmtId="0" fontId="0" fillId="0" borderId="35" xfId="0" applyBorder="1" applyAlignment="1">
      <alignment horizontal="center"/>
    </xf>
    <xf numFmtId="0" fontId="6" fillId="0" borderId="40" xfId="0" applyFont="1" applyBorder="1" applyAlignment="1">
      <alignment horizontal="left" vertical="center"/>
    </xf>
    <xf numFmtId="0" fontId="24" fillId="0" borderId="0" xfId="0" applyFont="1" applyFill="1" applyBorder="1" applyAlignment="1">
      <alignment horizontal="left" vertical="center"/>
    </xf>
    <xf numFmtId="0" fontId="25" fillId="0" borderId="0" xfId="0" applyNumberFormat="1" applyFont="1" applyFill="1" applyBorder="1" applyAlignment="1">
      <alignment horizontal="center"/>
    </xf>
    <xf numFmtId="1" fontId="25" fillId="0" borderId="0" xfId="0" applyNumberFormat="1" applyFont="1" applyFill="1" applyBorder="1" applyAlignment="1">
      <alignment horizontal="center"/>
    </xf>
    <xf numFmtId="164" fontId="25" fillId="0" borderId="0" xfId="0" applyNumberFormat="1" applyFont="1" applyFill="1" applyBorder="1" applyAlignment="1">
      <alignment horizontal="center"/>
    </xf>
    <xf numFmtId="10" fontId="26" fillId="0" borderId="0" xfId="1" applyNumberFormat="1" applyFont="1" applyFill="1" applyBorder="1" applyAlignment="1">
      <alignment horizontal="center" vertical="center"/>
    </xf>
    <xf numFmtId="164" fontId="26" fillId="0" borderId="0" xfId="0" applyNumberFormat="1" applyFont="1" applyFill="1" applyBorder="1" applyAlignment="1">
      <alignment horizontal="center" vertical="center"/>
    </xf>
    <xf numFmtId="2" fontId="26" fillId="0" borderId="0" xfId="0" applyNumberFormat="1" applyFont="1" applyFill="1" applyBorder="1" applyAlignment="1">
      <alignment horizontal="center" vertical="center"/>
    </xf>
    <xf numFmtId="0" fontId="6" fillId="0" borderId="0" xfId="0" applyFont="1" applyBorder="1" applyAlignment="1">
      <alignment horizontal="left" vertical="center"/>
    </xf>
    <xf numFmtId="0" fontId="0" fillId="0" borderId="15" xfId="0" applyNumberFormat="1" applyFill="1" applyBorder="1" applyAlignment="1">
      <alignment horizontal="center"/>
    </xf>
    <xf numFmtId="0" fontId="27" fillId="0" borderId="0" xfId="0" applyFont="1" applyFill="1" applyBorder="1" applyAlignment="1">
      <alignment horizontal="left" vertical="center"/>
    </xf>
    <xf numFmtId="0" fontId="28" fillId="0" borderId="0" xfId="0" applyNumberFormat="1" applyFont="1" applyFill="1" applyBorder="1" applyAlignment="1">
      <alignment horizontal="center"/>
    </xf>
    <xf numFmtId="1" fontId="28" fillId="0" borderId="0" xfId="0" applyNumberFormat="1" applyFont="1" applyFill="1" applyBorder="1" applyAlignment="1">
      <alignment horizontal="center"/>
    </xf>
    <xf numFmtId="164" fontId="28" fillId="0" borderId="0" xfId="0" applyNumberFormat="1" applyFont="1" applyFill="1" applyBorder="1" applyAlignment="1">
      <alignment horizontal="center"/>
    </xf>
    <xf numFmtId="2" fontId="29" fillId="0" borderId="0" xfId="0" applyNumberFormat="1" applyFont="1" applyFill="1" applyBorder="1" applyAlignment="1">
      <alignment horizontal="center" vertical="center"/>
    </xf>
    <xf numFmtId="10" fontId="29" fillId="0" borderId="0" xfId="1" applyNumberFormat="1" applyFont="1" applyFill="1" applyBorder="1" applyAlignment="1">
      <alignment horizontal="center" vertical="center"/>
    </xf>
    <xf numFmtId="164" fontId="29" fillId="0" borderId="0" xfId="0" applyNumberFormat="1" applyFont="1" applyFill="1" applyBorder="1" applyAlignment="1">
      <alignment horizontal="center" vertical="center"/>
    </xf>
    <xf numFmtId="0" fontId="15" fillId="3" borderId="34" xfId="0" applyFont="1" applyFill="1" applyBorder="1" applyAlignment="1">
      <alignment horizontal="center" vertical="center" wrapText="1"/>
    </xf>
    <xf numFmtId="0" fontId="15" fillId="3" borderId="30" xfId="0" applyNumberFormat="1" applyFont="1" applyFill="1" applyBorder="1" applyAlignment="1">
      <alignment horizontal="center" vertical="center" wrapText="1"/>
    </xf>
    <xf numFmtId="0" fontId="0" fillId="0" borderId="0" xfId="0" applyNumberFormat="1" applyFont="1" applyBorder="1" applyAlignment="1">
      <alignment horizontal="center"/>
    </xf>
    <xf numFmtId="2" fontId="1" fillId="0" borderId="0" xfId="1" applyNumberFormat="1" applyFont="1" applyFill="1" applyBorder="1" applyAlignment="1">
      <alignment horizontal="center" vertical="center"/>
    </xf>
    <xf numFmtId="2" fontId="26" fillId="0" borderId="0" xfId="1" applyNumberFormat="1" applyFont="1" applyFill="1" applyBorder="1" applyAlignment="1">
      <alignment horizontal="center" vertical="center"/>
    </xf>
    <xf numFmtId="2" fontId="29" fillId="0" borderId="0" xfId="1" applyNumberFormat="1" applyFont="1" applyFill="1" applyBorder="1" applyAlignment="1">
      <alignment horizontal="center" vertical="center"/>
    </xf>
    <xf numFmtId="2" fontId="0" fillId="0" borderId="0" xfId="1" applyNumberFormat="1" applyFont="1" applyFill="1" applyBorder="1" applyAlignment="1">
      <alignment horizontal="center" vertical="center"/>
    </xf>
    <xf numFmtId="2" fontId="23" fillId="0" borderId="0" xfId="1" applyNumberFormat="1" applyFont="1" applyFill="1" applyBorder="1" applyAlignment="1">
      <alignment horizontal="center" vertical="center"/>
    </xf>
    <xf numFmtId="2" fontId="19" fillId="0" borderId="42" xfId="0" applyNumberFormat="1" applyFont="1" applyBorder="1" applyAlignment="1">
      <alignment horizontal="center" vertical="center"/>
    </xf>
    <xf numFmtId="2" fontId="19" fillId="0" borderId="43" xfId="0" applyNumberFormat="1" applyFont="1" applyBorder="1" applyAlignment="1">
      <alignment horizontal="center" vertical="center"/>
    </xf>
    <xf numFmtId="166" fontId="19" fillId="0" borderId="43" xfId="0" applyNumberFormat="1" applyFont="1" applyBorder="1" applyAlignment="1">
      <alignment horizontal="center" vertical="center"/>
    </xf>
    <xf numFmtId="10" fontId="19" fillId="0" borderId="43" xfId="0" applyNumberFormat="1" applyFont="1" applyBorder="1" applyAlignment="1">
      <alignment horizontal="center" vertical="center"/>
    </xf>
    <xf numFmtId="10" fontId="19" fillId="0" borderId="43" xfId="0" applyNumberFormat="1" applyFont="1" applyBorder="1" applyAlignment="1">
      <alignment horizontal="center" vertical="center" wrapText="1"/>
    </xf>
    <xf numFmtId="8" fontId="19" fillId="0" borderId="43" xfId="0" applyNumberFormat="1" applyFont="1" applyBorder="1" applyAlignment="1">
      <alignment horizontal="center" vertical="center" wrapText="1"/>
    </xf>
    <xf numFmtId="0" fontId="19" fillId="0" borderId="43" xfId="0" applyFont="1" applyBorder="1" applyAlignment="1">
      <alignment horizontal="center" vertical="center" wrapText="1"/>
    </xf>
    <xf numFmtId="2" fontId="19" fillId="0" borderId="43" xfId="0" applyNumberFormat="1" applyFont="1" applyBorder="1" applyAlignment="1">
      <alignment horizontal="center" vertical="center" wrapText="1"/>
    </xf>
    <xf numFmtId="0" fontId="19" fillId="0" borderId="43" xfId="0" applyFont="1" applyBorder="1" applyAlignment="1">
      <alignment horizontal="left" vertical="center"/>
    </xf>
    <xf numFmtId="0" fontId="6" fillId="0" borderId="44" xfId="0" applyFont="1" applyBorder="1" applyAlignment="1">
      <alignment horizontal="center" vertical="center"/>
    </xf>
    <xf numFmtId="2" fontId="6" fillId="0" borderId="42" xfId="0" applyNumberFormat="1" applyFont="1" applyBorder="1" applyAlignment="1">
      <alignment horizontal="center" vertical="center"/>
    </xf>
    <xf numFmtId="2" fontId="6" fillId="0" borderId="43" xfId="0" applyNumberFormat="1" applyFont="1" applyBorder="1" applyAlignment="1">
      <alignment horizontal="center" vertical="center"/>
    </xf>
    <xf numFmtId="166" fontId="6" fillId="0" borderId="43" xfId="0" applyNumberFormat="1" applyFont="1" applyBorder="1" applyAlignment="1">
      <alignment horizontal="center" vertical="center"/>
    </xf>
    <xf numFmtId="10" fontId="6" fillId="0" borderId="43" xfId="0" applyNumberFormat="1" applyFont="1" applyBorder="1" applyAlignment="1">
      <alignment horizontal="center" vertical="center"/>
    </xf>
    <xf numFmtId="10" fontId="6" fillId="0" borderId="43" xfId="0" applyNumberFormat="1" applyFont="1" applyBorder="1" applyAlignment="1">
      <alignment horizontal="center" vertical="center" wrapText="1"/>
    </xf>
    <xf numFmtId="8" fontId="6" fillId="0" borderId="43" xfId="0" applyNumberFormat="1" applyFont="1" applyBorder="1" applyAlignment="1">
      <alignment horizontal="center" vertical="center" wrapText="1"/>
    </xf>
    <xf numFmtId="0" fontId="6" fillId="0" borderId="43" xfId="0" applyFont="1" applyBorder="1" applyAlignment="1">
      <alignment horizontal="center" vertical="center" wrapText="1"/>
    </xf>
    <xf numFmtId="2" fontId="6" fillId="0" borderId="43" xfId="0" applyNumberFormat="1" applyFont="1" applyBorder="1" applyAlignment="1">
      <alignment horizontal="center" vertical="center" wrapText="1"/>
    </xf>
    <xf numFmtId="0" fontId="6" fillId="0" borderId="43" xfId="0" applyFont="1" applyBorder="1" applyAlignment="1">
      <alignment horizontal="left" vertical="center"/>
    </xf>
    <xf numFmtId="0" fontId="19" fillId="0" borderId="45" xfId="0" applyFont="1" applyBorder="1" applyAlignment="1">
      <alignment horizontal="center" vertical="center"/>
    </xf>
    <xf numFmtId="0" fontId="19" fillId="0" borderId="46" xfId="0" applyFont="1" applyBorder="1" applyAlignment="1">
      <alignment horizontal="center" vertical="center"/>
    </xf>
    <xf numFmtId="0" fontId="19" fillId="0" borderId="47" xfId="0" applyFont="1" applyBorder="1" applyAlignment="1">
      <alignment horizontal="center" vertical="center"/>
    </xf>
    <xf numFmtId="0" fontId="19" fillId="0" borderId="50" xfId="0" applyFont="1" applyBorder="1" applyAlignment="1">
      <alignment horizontal="center" vertical="center"/>
    </xf>
    <xf numFmtId="0" fontId="19" fillId="0" borderId="51" xfId="0" applyFont="1" applyBorder="1" applyAlignment="1">
      <alignment horizontal="center" vertical="center"/>
    </xf>
    <xf numFmtId="0" fontId="19" fillId="0" borderId="52" xfId="0" applyFont="1" applyBorder="1" applyAlignment="1">
      <alignment horizontal="center" vertical="center"/>
    </xf>
    <xf numFmtId="3" fontId="19" fillId="0" borderId="43" xfId="0" applyNumberFormat="1" applyFont="1" applyBorder="1" applyAlignment="1">
      <alignment horizontal="center" vertical="center" wrapText="1"/>
    </xf>
    <xf numFmtId="0" fontId="0" fillId="0" borderId="15" xfId="0" applyBorder="1"/>
    <xf numFmtId="0" fontId="6" fillId="0" borderId="0" xfId="0" quotePrefix="1" applyFont="1" applyFill="1" applyBorder="1" applyAlignment="1">
      <alignment horizontal="left" vertical="center"/>
    </xf>
    <xf numFmtId="0" fontId="6" fillId="0" borderId="58" xfId="0" applyFont="1" applyBorder="1" applyAlignment="1">
      <alignment horizontal="center" vertical="center"/>
    </xf>
    <xf numFmtId="0" fontId="6" fillId="0" borderId="59" xfId="0" applyFont="1" applyBorder="1" applyAlignment="1">
      <alignment horizontal="center" vertical="center" wrapText="1"/>
    </xf>
    <xf numFmtId="2" fontId="6" fillId="0" borderId="59" xfId="0" applyNumberFormat="1" applyFont="1" applyBorder="1" applyAlignment="1">
      <alignment horizontal="center" vertical="center" wrapText="1"/>
    </xf>
    <xf numFmtId="8" fontId="6" fillId="0" borderId="59" xfId="0" applyNumberFormat="1" applyFont="1" applyBorder="1" applyAlignment="1">
      <alignment horizontal="center" vertical="center" wrapText="1"/>
    </xf>
    <xf numFmtId="10" fontId="6" fillId="0" borderId="59" xfId="0" applyNumberFormat="1" applyFont="1" applyBorder="1" applyAlignment="1">
      <alignment horizontal="center" vertical="center" wrapText="1"/>
    </xf>
    <xf numFmtId="10" fontId="6" fillId="0" borderId="59" xfId="0" applyNumberFormat="1" applyFont="1" applyBorder="1" applyAlignment="1">
      <alignment horizontal="center" vertical="center"/>
    </xf>
    <xf numFmtId="166" fontId="6" fillId="0" borderId="59" xfId="0" applyNumberFormat="1" applyFont="1" applyBorder="1" applyAlignment="1">
      <alignment horizontal="center" vertical="center"/>
    </xf>
    <xf numFmtId="2" fontId="6" fillId="0" borderId="59" xfId="0" applyNumberFormat="1" applyFont="1" applyBorder="1" applyAlignment="1">
      <alignment horizontal="center" vertical="center"/>
    </xf>
    <xf numFmtId="2" fontId="6" fillId="0" borderId="60" xfId="0" applyNumberFormat="1" applyFont="1" applyBorder="1" applyAlignment="1">
      <alignment horizontal="center" vertical="center"/>
    </xf>
    <xf numFmtId="0" fontId="19" fillId="0" borderId="59" xfId="0" applyFont="1" applyBorder="1" applyAlignment="1">
      <alignment horizontal="center" vertical="center" wrapText="1"/>
    </xf>
    <xf numFmtId="2" fontId="19" fillId="0" borderId="59" xfId="0" applyNumberFormat="1" applyFont="1" applyBorder="1" applyAlignment="1">
      <alignment horizontal="center" vertical="center" wrapText="1"/>
    </xf>
    <xf numFmtId="3" fontId="19" fillId="0" borderId="59" xfId="0" applyNumberFormat="1" applyFont="1" applyBorder="1" applyAlignment="1">
      <alignment horizontal="center" vertical="center" wrapText="1"/>
    </xf>
    <xf numFmtId="8" fontId="19" fillId="0" borderId="59" xfId="0" applyNumberFormat="1" applyFont="1" applyBorder="1" applyAlignment="1">
      <alignment horizontal="center" vertical="center" wrapText="1"/>
    </xf>
    <xf numFmtId="10" fontId="19" fillId="0" borderId="59" xfId="0" applyNumberFormat="1" applyFont="1" applyBorder="1" applyAlignment="1">
      <alignment horizontal="center" vertical="center" wrapText="1"/>
    </xf>
    <xf numFmtId="0" fontId="19" fillId="0" borderId="64" xfId="0" applyFont="1" applyBorder="1" applyAlignment="1">
      <alignment horizontal="center" vertical="center"/>
    </xf>
    <xf numFmtId="0" fontId="19" fillId="0" borderId="54" xfId="0" applyFont="1" applyBorder="1" applyAlignment="1">
      <alignment horizontal="center" vertical="center"/>
    </xf>
    <xf numFmtId="0" fontId="19" fillId="0" borderId="55" xfId="0" applyFont="1" applyBorder="1" applyAlignment="1">
      <alignment horizontal="center" vertical="center"/>
    </xf>
    <xf numFmtId="0" fontId="19" fillId="0" borderId="65" xfId="0" applyFont="1" applyBorder="1" applyAlignment="1">
      <alignment horizontal="center" vertical="center"/>
    </xf>
    <xf numFmtId="0" fontId="19" fillId="0" borderId="56" xfId="0" applyFont="1" applyBorder="1" applyAlignment="1">
      <alignment horizontal="center" vertical="center"/>
    </xf>
    <xf numFmtId="0" fontId="19" fillId="0" borderId="57" xfId="0" applyFont="1" applyBorder="1" applyAlignment="1">
      <alignment horizontal="center" vertical="center"/>
    </xf>
    <xf numFmtId="0" fontId="6" fillId="0" borderId="59" xfId="0" applyFont="1" applyBorder="1" applyAlignment="1">
      <alignment horizontal="left" vertical="center"/>
    </xf>
    <xf numFmtId="0" fontId="19" fillId="0" borderId="59" xfId="0" applyFont="1" applyBorder="1" applyAlignment="1">
      <alignment horizontal="left" vertical="center"/>
    </xf>
    <xf numFmtId="10" fontId="19" fillId="0" borderId="59" xfId="0" applyNumberFormat="1" applyFont="1" applyBorder="1" applyAlignment="1">
      <alignment horizontal="center" vertical="center"/>
    </xf>
    <xf numFmtId="166" fontId="19" fillId="0" borderId="59" xfId="0" applyNumberFormat="1" applyFont="1" applyBorder="1" applyAlignment="1">
      <alignment horizontal="center" vertical="center"/>
    </xf>
    <xf numFmtId="2" fontId="19" fillId="0" borderId="59" xfId="0" applyNumberFormat="1" applyFont="1" applyBorder="1" applyAlignment="1">
      <alignment horizontal="center" vertical="center"/>
    </xf>
    <xf numFmtId="2" fontId="19" fillId="0" borderId="60" xfId="0" applyNumberFormat="1" applyFont="1" applyBorder="1" applyAlignment="1">
      <alignment horizontal="center" vertical="center"/>
    </xf>
    <xf numFmtId="168" fontId="30" fillId="0" borderId="4" xfId="0" applyNumberFormat="1" applyFont="1" applyBorder="1"/>
    <xf numFmtId="0" fontId="4" fillId="4" borderId="1" xfId="0" applyNumberFormat="1" applyFont="1" applyFill="1" applyBorder="1"/>
    <xf numFmtId="16" fontId="0" fillId="5" borderId="20" xfId="0" applyNumberFormat="1" applyFill="1" applyBorder="1"/>
    <xf numFmtId="49" fontId="0" fillId="5" borderId="66" xfId="0" applyNumberFormat="1" applyFill="1" applyBorder="1"/>
    <xf numFmtId="16" fontId="0" fillId="5" borderId="25" xfId="0" applyNumberFormat="1" applyFill="1" applyBorder="1"/>
    <xf numFmtId="16" fontId="0" fillId="5" borderId="21" xfId="0" applyNumberFormat="1" applyFill="1" applyBorder="1"/>
    <xf numFmtId="49" fontId="0" fillId="5" borderId="0" xfId="0" applyNumberFormat="1" applyFill="1" applyBorder="1"/>
    <xf numFmtId="49" fontId="0" fillId="5" borderId="9" xfId="0" applyNumberFormat="1" applyFill="1" applyBorder="1"/>
    <xf numFmtId="49" fontId="0" fillId="5" borderId="26" xfId="0" applyNumberFormat="1" applyFill="1" applyBorder="1"/>
    <xf numFmtId="0" fontId="31" fillId="0" borderId="0" xfId="0" applyFont="1" applyFill="1" applyBorder="1" applyAlignment="1">
      <alignment horizontal="left" vertical="center"/>
    </xf>
    <xf numFmtId="0" fontId="32" fillId="0" borderId="0" xfId="0" applyNumberFormat="1" applyFont="1" applyFill="1" applyBorder="1" applyAlignment="1">
      <alignment horizontal="center"/>
    </xf>
    <xf numFmtId="1" fontId="32" fillId="0" borderId="0" xfId="0" applyNumberFormat="1" applyFont="1" applyFill="1" applyBorder="1" applyAlignment="1">
      <alignment horizontal="center"/>
    </xf>
    <xf numFmtId="164" fontId="32" fillId="0" borderId="0" xfId="0" applyNumberFormat="1" applyFont="1" applyFill="1" applyBorder="1" applyAlignment="1">
      <alignment horizontal="center"/>
    </xf>
    <xf numFmtId="10" fontId="33" fillId="0" borderId="0" xfId="1" applyNumberFormat="1" applyFont="1" applyFill="1" applyBorder="1" applyAlignment="1">
      <alignment horizontal="center" vertical="center"/>
    </xf>
    <xf numFmtId="164" fontId="33" fillId="0" borderId="0" xfId="0" applyNumberFormat="1" applyFont="1" applyFill="1" applyBorder="1" applyAlignment="1">
      <alignment horizontal="center" vertical="center"/>
    </xf>
    <xf numFmtId="2" fontId="33" fillId="0" borderId="0" xfId="1" applyNumberFormat="1" applyFont="1" applyFill="1" applyBorder="1" applyAlignment="1">
      <alignment horizontal="center" vertical="center"/>
    </xf>
    <xf numFmtId="2" fontId="33" fillId="0" borderId="0" xfId="0" applyNumberFormat="1" applyFont="1" applyFill="1" applyBorder="1" applyAlignment="1">
      <alignment horizontal="center" vertical="center"/>
    </xf>
    <xf numFmtId="0" fontId="0" fillId="0" borderId="68" xfId="0" applyNumberFormat="1" applyFill="1" applyBorder="1" applyAlignment="1">
      <alignment horizontal="center"/>
    </xf>
    <xf numFmtId="0" fontId="6" fillId="0" borderId="73" xfId="0" applyFont="1" applyBorder="1" applyAlignment="1">
      <alignment horizontal="center" vertical="center"/>
    </xf>
    <xf numFmtId="0" fontId="6" fillId="0" borderId="74" xfId="0" applyFont="1" applyBorder="1" applyAlignment="1">
      <alignment horizontal="center" vertical="center" wrapText="1"/>
    </xf>
    <xf numFmtId="2" fontId="6" fillId="0" borderId="74" xfId="0" applyNumberFormat="1" applyFont="1" applyBorder="1" applyAlignment="1">
      <alignment horizontal="center" vertical="center" wrapText="1"/>
    </xf>
    <xf numFmtId="8" fontId="6" fillId="0" borderId="74" xfId="0" applyNumberFormat="1" applyFont="1" applyBorder="1" applyAlignment="1">
      <alignment horizontal="center" vertical="center" wrapText="1"/>
    </xf>
    <xf numFmtId="10" fontId="6" fillId="0" borderId="74" xfId="0" applyNumberFormat="1" applyFont="1" applyBorder="1" applyAlignment="1">
      <alignment horizontal="center" vertical="center" wrapText="1"/>
    </xf>
    <xf numFmtId="10" fontId="6" fillId="0" borderId="74" xfId="0" applyNumberFormat="1" applyFont="1" applyBorder="1" applyAlignment="1">
      <alignment horizontal="center" vertical="center"/>
    </xf>
    <xf numFmtId="166" fontId="6" fillId="0" borderId="74" xfId="0" applyNumberFormat="1" applyFont="1" applyBorder="1" applyAlignment="1">
      <alignment horizontal="center" vertical="center"/>
    </xf>
    <xf numFmtId="2" fontId="6" fillId="0" borderId="74" xfId="0" applyNumberFormat="1" applyFont="1" applyBorder="1" applyAlignment="1">
      <alignment horizontal="center" vertical="center"/>
    </xf>
    <xf numFmtId="2" fontId="6" fillId="0" borderId="75" xfId="0" applyNumberFormat="1" applyFont="1" applyBorder="1" applyAlignment="1">
      <alignment horizontal="center" vertical="center"/>
    </xf>
    <xf numFmtId="0" fontId="19" fillId="0" borderId="74" xfId="0" applyFont="1" applyBorder="1" applyAlignment="1">
      <alignment horizontal="center" vertical="center" wrapText="1"/>
    </xf>
    <xf numFmtId="2" fontId="19" fillId="0" borderId="74" xfId="0" applyNumberFormat="1" applyFont="1" applyBorder="1" applyAlignment="1">
      <alignment horizontal="center" vertical="center" wrapText="1"/>
    </xf>
    <xf numFmtId="3" fontId="19" fillId="0" borderId="74" xfId="0" applyNumberFormat="1" applyFont="1" applyBorder="1" applyAlignment="1">
      <alignment horizontal="center" vertical="center" wrapText="1"/>
    </xf>
    <xf numFmtId="8" fontId="19" fillId="0" borderId="74" xfId="0" applyNumberFormat="1" applyFont="1" applyBorder="1" applyAlignment="1">
      <alignment horizontal="center" vertical="center" wrapText="1"/>
    </xf>
    <xf numFmtId="10" fontId="19" fillId="0" borderId="74" xfId="0" applyNumberFormat="1" applyFont="1" applyBorder="1" applyAlignment="1">
      <alignment horizontal="center" vertical="center" wrapText="1"/>
    </xf>
    <xf numFmtId="0" fontId="19" fillId="0" borderId="79" xfId="0" applyFont="1" applyBorder="1" applyAlignment="1">
      <alignment horizontal="center" vertical="center"/>
    </xf>
    <xf numFmtId="0" fontId="19" fillId="0" borderId="69" xfId="0" applyFont="1" applyBorder="1" applyAlignment="1">
      <alignment horizontal="center" vertical="center"/>
    </xf>
    <xf numFmtId="0" fontId="19" fillId="0" borderId="70" xfId="0" applyFont="1" applyBorder="1" applyAlignment="1">
      <alignment horizontal="center" vertical="center"/>
    </xf>
    <xf numFmtId="0" fontId="19" fillId="0" borderId="80" xfId="0" applyFont="1" applyBorder="1" applyAlignment="1">
      <alignment horizontal="center" vertical="center"/>
    </xf>
    <xf numFmtId="0" fontId="19" fillId="0" borderId="71" xfId="0" applyFont="1" applyBorder="1" applyAlignment="1">
      <alignment horizontal="center" vertical="center"/>
    </xf>
    <xf numFmtId="0" fontId="19" fillId="0" borderId="72" xfId="0" applyFont="1" applyBorder="1" applyAlignment="1">
      <alignment horizontal="center" vertical="center"/>
    </xf>
    <xf numFmtId="0" fontId="6" fillId="0" borderId="74" xfId="0" applyFont="1" applyBorder="1" applyAlignment="1">
      <alignment horizontal="left" vertical="center"/>
    </xf>
    <xf numFmtId="0" fontId="19" fillId="0" borderId="74" xfId="0" applyFont="1" applyBorder="1" applyAlignment="1">
      <alignment horizontal="left" vertical="center"/>
    </xf>
    <xf numFmtId="10" fontId="19" fillId="0" borderId="74" xfId="0" applyNumberFormat="1" applyFont="1" applyBorder="1" applyAlignment="1">
      <alignment horizontal="center" vertical="center"/>
    </xf>
    <xf numFmtId="166" fontId="19" fillId="0" borderId="74" xfId="0" applyNumberFormat="1" applyFont="1" applyBorder="1" applyAlignment="1">
      <alignment horizontal="center" vertical="center"/>
    </xf>
    <xf numFmtId="2" fontId="19" fillId="0" borderId="74" xfId="0" applyNumberFormat="1" applyFont="1" applyBorder="1" applyAlignment="1">
      <alignment horizontal="center" vertical="center"/>
    </xf>
    <xf numFmtId="2" fontId="19" fillId="0" borderId="75" xfId="0" applyNumberFormat="1" applyFont="1" applyBorder="1" applyAlignment="1">
      <alignment horizontal="center" vertical="center"/>
    </xf>
    <xf numFmtId="0" fontId="0" fillId="0" borderId="68" xfId="0" applyFill="1" applyBorder="1" applyAlignment="1">
      <alignment horizontal="center"/>
    </xf>
    <xf numFmtId="0" fontId="0" fillId="0" borderId="67" xfId="0" applyFill="1" applyBorder="1" applyAlignment="1">
      <alignment horizontal="center"/>
    </xf>
    <xf numFmtId="0" fontId="19" fillId="0" borderId="82" xfId="0" applyFont="1" applyBorder="1" applyAlignment="1">
      <alignment horizontal="center" vertical="center"/>
    </xf>
    <xf numFmtId="0" fontId="19" fillId="0" borderId="83" xfId="0" applyFont="1" applyBorder="1" applyAlignment="1">
      <alignment horizontal="center" vertical="center"/>
    </xf>
    <xf numFmtId="0" fontId="19" fillId="0" borderId="84" xfId="0" applyFont="1" applyBorder="1" applyAlignment="1">
      <alignment horizontal="center" vertical="center"/>
    </xf>
    <xf numFmtId="0" fontId="19" fillId="0" borderId="87" xfId="0" applyFont="1" applyBorder="1" applyAlignment="1">
      <alignment horizontal="center" vertical="center"/>
    </xf>
    <xf numFmtId="0" fontId="19" fillId="0" borderId="88" xfId="0" applyFont="1" applyBorder="1" applyAlignment="1">
      <alignment horizontal="center" vertical="center"/>
    </xf>
    <xf numFmtId="0" fontId="19" fillId="0" borderId="89" xfId="0" applyFont="1" applyBorder="1" applyAlignment="1">
      <alignment horizontal="center" vertical="center"/>
    </xf>
    <xf numFmtId="0" fontId="6" fillId="0" borderId="90" xfId="0" applyFont="1" applyBorder="1" applyAlignment="1">
      <alignment horizontal="center" vertical="center"/>
    </xf>
    <xf numFmtId="0" fontId="6" fillId="0" borderId="91" xfId="0" applyFont="1" applyBorder="1" applyAlignment="1">
      <alignment horizontal="left" vertical="center"/>
    </xf>
    <xf numFmtId="2" fontId="6" fillId="0" borderId="91" xfId="0" applyNumberFormat="1" applyFont="1" applyBorder="1" applyAlignment="1">
      <alignment horizontal="center" vertical="center" wrapText="1"/>
    </xf>
    <xf numFmtId="0" fontId="6" fillId="0" borderId="91" xfId="0" applyFont="1" applyBorder="1" applyAlignment="1">
      <alignment horizontal="center" vertical="center" wrapText="1"/>
    </xf>
    <xf numFmtId="8" fontId="6" fillId="0" borderId="91" xfId="0" applyNumberFormat="1" applyFont="1" applyBorder="1" applyAlignment="1">
      <alignment horizontal="center" vertical="center" wrapText="1"/>
    </xf>
    <xf numFmtId="10" fontId="6" fillId="0" borderId="91" xfId="0" applyNumberFormat="1" applyFont="1" applyBorder="1" applyAlignment="1">
      <alignment horizontal="center" vertical="center" wrapText="1"/>
    </xf>
    <xf numFmtId="10" fontId="6" fillId="0" borderId="91" xfId="0" applyNumberFormat="1" applyFont="1" applyBorder="1" applyAlignment="1">
      <alignment horizontal="center" vertical="center"/>
    </xf>
    <xf numFmtId="166" fontId="6" fillId="0" borderId="91" xfId="0" applyNumberFormat="1" applyFont="1" applyBorder="1" applyAlignment="1">
      <alignment horizontal="center" vertical="center"/>
    </xf>
    <xf numFmtId="2" fontId="6" fillId="0" borderId="91" xfId="0" applyNumberFormat="1" applyFont="1" applyBorder="1" applyAlignment="1">
      <alignment horizontal="center" vertical="center"/>
    </xf>
    <xf numFmtId="2" fontId="6" fillId="0" borderId="92" xfId="0" applyNumberFormat="1" applyFont="1" applyBorder="1" applyAlignment="1">
      <alignment horizontal="center" vertical="center"/>
    </xf>
    <xf numFmtId="0" fontId="19" fillId="0" borderId="91" xfId="0" applyFont="1" applyBorder="1" applyAlignment="1">
      <alignment horizontal="left" vertical="center"/>
    </xf>
    <xf numFmtId="2" fontId="19" fillId="0" borderId="91" xfId="0" applyNumberFormat="1" applyFont="1" applyBorder="1" applyAlignment="1">
      <alignment horizontal="center" vertical="center" wrapText="1"/>
    </xf>
    <xf numFmtId="0" fontId="19" fillId="0" borderId="91" xfId="0" applyFont="1" applyBorder="1" applyAlignment="1">
      <alignment horizontal="center" vertical="center" wrapText="1"/>
    </xf>
    <xf numFmtId="3" fontId="19" fillId="0" borderId="91" xfId="0" applyNumberFormat="1" applyFont="1" applyBorder="1" applyAlignment="1">
      <alignment horizontal="center" vertical="center" wrapText="1"/>
    </xf>
    <xf numFmtId="8" fontId="19" fillId="0" borderId="91" xfId="0" applyNumberFormat="1" applyFont="1" applyBorder="1" applyAlignment="1">
      <alignment horizontal="center" vertical="center" wrapText="1"/>
    </xf>
    <xf numFmtId="10" fontId="19" fillId="0" borderId="91" xfId="0" applyNumberFormat="1" applyFont="1" applyBorder="1" applyAlignment="1">
      <alignment horizontal="center" vertical="center" wrapText="1"/>
    </xf>
    <xf numFmtId="10" fontId="19" fillId="0" borderId="91" xfId="0" applyNumberFormat="1" applyFont="1" applyBorder="1" applyAlignment="1">
      <alignment horizontal="center" vertical="center"/>
    </xf>
    <xf numFmtId="166" fontId="19" fillId="0" borderId="91" xfId="0" applyNumberFormat="1" applyFont="1" applyBorder="1" applyAlignment="1">
      <alignment horizontal="center" vertical="center"/>
    </xf>
    <xf numFmtId="2" fontId="19" fillId="0" borderId="91" xfId="0" applyNumberFormat="1" applyFont="1" applyBorder="1" applyAlignment="1">
      <alignment horizontal="center" vertical="center"/>
    </xf>
    <xf numFmtId="2" fontId="19" fillId="0" borderId="92" xfId="0" applyNumberFormat="1" applyFont="1" applyBorder="1" applyAlignment="1">
      <alignment horizontal="center" vertical="center"/>
    </xf>
    <xf numFmtId="0" fontId="6" fillId="0" borderId="97" xfId="0" applyFont="1" applyBorder="1" applyAlignment="1">
      <alignment horizontal="center" vertical="center"/>
    </xf>
    <xf numFmtId="0" fontId="6" fillId="0" borderId="98" xfId="0" applyFont="1" applyBorder="1" applyAlignment="1">
      <alignment horizontal="center" vertical="center" wrapText="1"/>
    </xf>
    <xf numFmtId="2" fontId="6" fillId="0" borderId="98" xfId="0" applyNumberFormat="1" applyFont="1" applyBorder="1" applyAlignment="1">
      <alignment horizontal="center" vertical="center" wrapText="1"/>
    </xf>
    <xf numFmtId="8" fontId="6" fillId="0" borderId="98" xfId="0" applyNumberFormat="1" applyFont="1" applyBorder="1" applyAlignment="1">
      <alignment horizontal="center" vertical="center" wrapText="1"/>
    </xf>
    <xf numFmtId="10" fontId="6" fillId="0" borderId="98" xfId="0" applyNumberFormat="1" applyFont="1" applyBorder="1" applyAlignment="1">
      <alignment horizontal="center" vertical="center" wrapText="1"/>
    </xf>
    <xf numFmtId="10" fontId="6" fillId="0" borderId="98" xfId="0" applyNumberFormat="1" applyFont="1" applyBorder="1" applyAlignment="1">
      <alignment horizontal="center" vertical="center"/>
    </xf>
    <xf numFmtId="166" fontId="6" fillId="0" borderId="98" xfId="0" applyNumberFormat="1" applyFont="1" applyBorder="1" applyAlignment="1">
      <alignment horizontal="center" vertical="center"/>
    </xf>
    <xf numFmtId="2" fontId="6" fillId="0" borderId="98" xfId="0" applyNumberFormat="1" applyFont="1" applyBorder="1" applyAlignment="1">
      <alignment horizontal="center" vertical="center"/>
    </xf>
    <xf numFmtId="2" fontId="6" fillId="0" borderId="99" xfId="0" applyNumberFormat="1" applyFont="1" applyBorder="1" applyAlignment="1">
      <alignment horizontal="center" vertical="center"/>
    </xf>
    <xf numFmtId="0" fontId="19" fillId="0" borderId="98" xfId="0" applyFont="1" applyBorder="1" applyAlignment="1">
      <alignment horizontal="center" vertical="center" wrapText="1"/>
    </xf>
    <xf numFmtId="2" fontId="19" fillId="0" borderId="98" xfId="0" applyNumberFormat="1" applyFont="1" applyBorder="1" applyAlignment="1">
      <alignment horizontal="center" vertical="center" wrapText="1"/>
    </xf>
    <xf numFmtId="3" fontId="19" fillId="0" borderId="98" xfId="0" applyNumberFormat="1" applyFont="1" applyBorder="1" applyAlignment="1">
      <alignment horizontal="center" vertical="center" wrapText="1"/>
    </xf>
    <xf numFmtId="8" fontId="19" fillId="0" borderId="98" xfId="0" applyNumberFormat="1" applyFont="1" applyBorder="1" applyAlignment="1">
      <alignment horizontal="center" vertical="center" wrapText="1"/>
    </xf>
    <xf numFmtId="10" fontId="19" fillId="0" borderId="98" xfId="0" applyNumberFormat="1" applyFont="1" applyBorder="1" applyAlignment="1">
      <alignment horizontal="center" vertical="center" wrapText="1"/>
    </xf>
    <xf numFmtId="0" fontId="19" fillId="0" borderId="103" xfId="0" applyFont="1" applyBorder="1" applyAlignment="1">
      <alignment horizontal="center" vertical="center"/>
    </xf>
    <xf numFmtId="0" fontId="19" fillId="0" borderId="93" xfId="0" applyFont="1" applyBorder="1" applyAlignment="1">
      <alignment horizontal="center" vertical="center"/>
    </xf>
    <xf numFmtId="0" fontId="19" fillId="0" borderId="94" xfId="0" applyFont="1" applyBorder="1" applyAlignment="1">
      <alignment horizontal="center" vertical="center"/>
    </xf>
    <xf numFmtId="0" fontId="19" fillId="0" borderId="104" xfId="0" applyFont="1" applyBorder="1" applyAlignment="1">
      <alignment horizontal="center" vertical="center"/>
    </xf>
    <xf numFmtId="0" fontId="19" fillId="0" borderId="95" xfId="0" applyFont="1" applyBorder="1" applyAlignment="1">
      <alignment horizontal="center" vertical="center"/>
    </xf>
    <xf numFmtId="0" fontId="19" fillId="0" borderId="96" xfId="0" applyFont="1" applyBorder="1" applyAlignment="1">
      <alignment horizontal="center" vertical="center"/>
    </xf>
    <xf numFmtId="0" fontId="6" fillId="0" borderId="98" xfId="0" applyFont="1" applyBorder="1" applyAlignment="1">
      <alignment horizontal="left" vertical="center"/>
    </xf>
    <xf numFmtId="0" fontId="19" fillId="0" borderId="98" xfId="0" applyFont="1" applyBorder="1" applyAlignment="1">
      <alignment horizontal="left" vertical="center"/>
    </xf>
    <xf numFmtId="10" fontId="19" fillId="0" borderId="98" xfId="0" applyNumberFormat="1" applyFont="1" applyBorder="1" applyAlignment="1">
      <alignment horizontal="center" vertical="center"/>
    </xf>
    <xf numFmtId="166" fontId="19" fillId="0" borderId="98" xfId="0" applyNumberFormat="1" applyFont="1" applyBorder="1" applyAlignment="1">
      <alignment horizontal="center" vertical="center"/>
    </xf>
    <xf numFmtId="2" fontId="19" fillId="0" borderId="98" xfId="0" applyNumberFormat="1" applyFont="1" applyBorder="1" applyAlignment="1">
      <alignment horizontal="center" vertical="center"/>
    </xf>
    <xf numFmtId="2" fontId="19" fillId="0" borderId="99" xfId="0" applyNumberFormat="1" applyFont="1" applyBorder="1" applyAlignment="1">
      <alignment horizontal="center" vertical="center"/>
    </xf>
    <xf numFmtId="0" fontId="6" fillId="0" borderId="109" xfId="0" applyFont="1" applyBorder="1" applyAlignment="1">
      <alignment horizontal="center" vertical="center"/>
    </xf>
    <xf numFmtId="0" fontId="6" fillId="0" borderId="110" xfId="0" applyFont="1" applyBorder="1" applyAlignment="1">
      <alignment horizontal="center" vertical="center" wrapText="1"/>
    </xf>
    <xf numFmtId="2" fontId="6" fillId="0" borderId="110" xfId="0" applyNumberFormat="1" applyFont="1" applyBorder="1" applyAlignment="1">
      <alignment horizontal="center" vertical="center" wrapText="1"/>
    </xf>
    <xf numFmtId="8" fontId="6" fillId="0" borderId="110" xfId="0" applyNumberFormat="1" applyFont="1" applyBorder="1" applyAlignment="1">
      <alignment horizontal="center" vertical="center" wrapText="1"/>
    </xf>
    <xf numFmtId="10" fontId="6" fillId="0" borderId="110" xfId="0" applyNumberFormat="1" applyFont="1" applyBorder="1" applyAlignment="1">
      <alignment horizontal="center" vertical="center" wrapText="1"/>
    </xf>
    <xf numFmtId="10" fontId="6" fillId="0" borderId="110" xfId="0" applyNumberFormat="1" applyFont="1" applyBorder="1" applyAlignment="1">
      <alignment horizontal="center" vertical="center"/>
    </xf>
    <xf numFmtId="166" fontId="6" fillId="0" borderId="110" xfId="0" applyNumberFormat="1" applyFont="1" applyBorder="1" applyAlignment="1">
      <alignment horizontal="center" vertical="center"/>
    </xf>
    <xf numFmtId="2" fontId="6" fillId="0" borderId="110" xfId="0" applyNumberFormat="1" applyFont="1" applyBorder="1" applyAlignment="1">
      <alignment horizontal="center" vertical="center"/>
    </xf>
    <xf numFmtId="2" fontId="6" fillId="0" borderId="111" xfId="0" applyNumberFormat="1" applyFont="1" applyBorder="1" applyAlignment="1">
      <alignment horizontal="center" vertical="center"/>
    </xf>
    <xf numFmtId="0" fontId="19" fillId="0" borderId="110" xfId="0" applyFont="1" applyBorder="1" applyAlignment="1">
      <alignment horizontal="center" vertical="center" wrapText="1"/>
    </xf>
    <xf numFmtId="2" fontId="19" fillId="0" borderId="110" xfId="0" applyNumberFormat="1" applyFont="1" applyBorder="1" applyAlignment="1">
      <alignment horizontal="center" vertical="center" wrapText="1"/>
    </xf>
    <xf numFmtId="3" fontId="19" fillId="0" borderId="110" xfId="0" applyNumberFormat="1" applyFont="1" applyBorder="1" applyAlignment="1">
      <alignment horizontal="center" vertical="center" wrapText="1"/>
    </xf>
    <xf numFmtId="8" fontId="19" fillId="0" borderId="110" xfId="0" applyNumberFormat="1" applyFont="1" applyBorder="1" applyAlignment="1">
      <alignment horizontal="center" vertical="center" wrapText="1"/>
    </xf>
    <xf numFmtId="10" fontId="19" fillId="0" borderId="110" xfId="0" applyNumberFormat="1" applyFont="1" applyBorder="1" applyAlignment="1">
      <alignment horizontal="center" vertical="center" wrapText="1"/>
    </xf>
    <xf numFmtId="0" fontId="19" fillId="0" borderId="115" xfId="0" applyFont="1" applyBorder="1" applyAlignment="1">
      <alignment horizontal="center" vertical="center"/>
    </xf>
    <xf numFmtId="0" fontId="19" fillId="0" borderId="105" xfId="0" applyFont="1" applyBorder="1" applyAlignment="1">
      <alignment horizontal="center" vertical="center"/>
    </xf>
    <xf numFmtId="0" fontId="19" fillId="0" borderId="106" xfId="0" applyFont="1" applyBorder="1" applyAlignment="1">
      <alignment horizontal="center" vertical="center"/>
    </xf>
    <xf numFmtId="0" fontId="19" fillId="0" borderId="116" xfId="0" applyFont="1" applyBorder="1" applyAlignment="1">
      <alignment horizontal="center" vertical="center"/>
    </xf>
    <xf numFmtId="0" fontId="19" fillId="0" borderId="107" xfId="0" applyFont="1" applyBorder="1" applyAlignment="1">
      <alignment horizontal="center" vertical="center"/>
    </xf>
    <xf numFmtId="0" fontId="19" fillId="0" borderId="108" xfId="0" applyFont="1" applyBorder="1" applyAlignment="1">
      <alignment horizontal="center" vertical="center"/>
    </xf>
    <xf numFmtId="0" fontId="6" fillId="0" borderId="110" xfId="0" applyFont="1" applyBorder="1" applyAlignment="1">
      <alignment horizontal="left" vertical="center"/>
    </xf>
    <xf numFmtId="0" fontId="19" fillId="0" borderId="110" xfId="0" applyFont="1" applyBorder="1" applyAlignment="1">
      <alignment horizontal="left" vertical="center"/>
    </xf>
    <xf numFmtId="10" fontId="19" fillId="0" borderId="110" xfId="0" applyNumberFormat="1" applyFont="1" applyBorder="1" applyAlignment="1">
      <alignment horizontal="center" vertical="center"/>
    </xf>
    <xf numFmtId="166" fontId="19" fillId="0" borderId="110" xfId="0" applyNumberFormat="1" applyFont="1" applyBorder="1" applyAlignment="1">
      <alignment horizontal="center" vertical="center"/>
    </xf>
    <xf numFmtId="2" fontId="19" fillId="0" borderId="110" xfId="0" applyNumberFormat="1" applyFont="1" applyBorder="1" applyAlignment="1">
      <alignment horizontal="center" vertical="center"/>
    </xf>
    <xf numFmtId="2" fontId="19" fillId="0" borderId="111" xfId="0" applyNumberFormat="1" applyFont="1" applyBorder="1" applyAlignment="1">
      <alignment horizontal="center" vertical="center"/>
    </xf>
    <xf numFmtId="0" fontId="6" fillId="0" borderId="121" xfId="0" applyFont="1" applyBorder="1" applyAlignment="1">
      <alignment horizontal="center" vertical="center"/>
    </xf>
    <xf numFmtId="0" fontId="6" fillId="0" borderId="122" xfId="0" applyFont="1" applyBorder="1" applyAlignment="1">
      <alignment horizontal="center" vertical="center" wrapText="1"/>
    </xf>
    <xf numFmtId="2" fontId="6" fillId="0" borderId="122" xfId="0" applyNumberFormat="1" applyFont="1" applyBorder="1" applyAlignment="1">
      <alignment horizontal="center" vertical="center" wrapText="1"/>
    </xf>
    <xf numFmtId="8" fontId="6" fillId="0" borderId="122" xfId="0" applyNumberFormat="1" applyFont="1" applyBorder="1" applyAlignment="1">
      <alignment horizontal="center" vertical="center" wrapText="1"/>
    </xf>
    <xf numFmtId="10" fontId="6" fillId="0" borderId="122" xfId="0" applyNumberFormat="1" applyFont="1" applyBorder="1" applyAlignment="1">
      <alignment horizontal="center" vertical="center" wrapText="1"/>
    </xf>
    <xf numFmtId="10" fontId="6" fillId="0" borderId="122" xfId="0" applyNumberFormat="1" applyFont="1" applyBorder="1" applyAlignment="1">
      <alignment horizontal="center" vertical="center"/>
    </xf>
    <xf numFmtId="166" fontId="6" fillId="0" borderId="122" xfId="0" applyNumberFormat="1" applyFont="1" applyBorder="1" applyAlignment="1">
      <alignment horizontal="center" vertical="center"/>
    </xf>
    <xf numFmtId="2" fontId="6" fillId="0" borderId="122" xfId="0" applyNumberFormat="1" applyFont="1" applyBorder="1" applyAlignment="1">
      <alignment horizontal="center" vertical="center"/>
    </xf>
    <xf numFmtId="2" fontId="6" fillId="0" borderId="123" xfId="0" applyNumberFormat="1" applyFont="1" applyBorder="1" applyAlignment="1">
      <alignment horizontal="center" vertical="center"/>
    </xf>
    <xf numFmtId="0" fontId="19" fillId="0" borderId="122" xfId="0" applyFont="1" applyBorder="1" applyAlignment="1">
      <alignment horizontal="center" vertical="center" wrapText="1"/>
    </xf>
    <xf numFmtId="2" fontId="19" fillId="0" borderId="122" xfId="0" applyNumberFormat="1" applyFont="1" applyBorder="1" applyAlignment="1">
      <alignment horizontal="center" vertical="center" wrapText="1"/>
    </xf>
    <xf numFmtId="3" fontId="19" fillId="0" borderId="122" xfId="0" applyNumberFormat="1" applyFont="1" applyBorder="1" applyAlignment="1">
      <alignment horizontal="center" vertical="center" wrapText="1"/>
    </xf>
    <xf numFmtId="8" fontId="19" fillId="0" borderId="122" xfId="0" applyNumberFormat="1" applyFont="1" applyBorder="1" applyAlignment="1">
      <alignment horizontal="center" vertical="center" wrapText="1"/>
    </xf>
    <xf numFmtId="10" fontId="19" fillId="0" borderId="122" xfId="0" applyNumberFormat="1" applyFont="1" applyBorder="1" applyAlignment="1">
      <alignment horizontal="center" vertical="center" wrapText="1"/>
    </xf>
    <xf numFmtId="0" fontId="19" fillId="0" borderId="127" xfId="0" applyFont="1" applyBorder="1" applyAlignment="1">
      <alignment horizontal="center" vertical="center"/>
    </xf>
    <xf numFmtId="0" fontId="19" fillId="0" borderId="117" xfId="0" applyFont="1" applyBorder="1" applyAlignment="1">
      <alignment horizontal="center" vertical="center"/>
    </xf>
    <xf numFmtId="0" fontId="19" fillId="0" borderId="118" xfId="0" applyFont="1" applyBorder="1" applyAlignment="1">
      <alignment horizontal="center" vertical="center"/>
    </xf>
    <xf numFmtId="0" fontId="19" fillId="0" borderId="128" xfId="0" applyFont="1" applyBorder="1" applyAlignment="1">
      <alignment horizontal="center" vertical="center"/>
    </xf>
    <xf numFmtId="0" fontId="19" fillId="0" borderId="119" xfId="0" applyFont="1" applyBorder="1" applyAlignment="1">
      <alignment horizontal="center" vertical="center"/>
    </xf>
    <xf numFmtId="0" fontId="19" fillId="0" borderId="120" xfId="0" applyFont="1" applyBorder="1" applyAlignment="1">
      <alignment horizontal="center" vertical="center"/>
    </xf>
    <xf numFmtId="0" fontId="6" fillId="0" borderId="122" xfId="0" applyFont="1" applyBorder="1" applyAlignment="1">
      <alignment horizontal="left" vertical="center"/>
    </xf>
    <xf numFmtId="0" fontId="19" fillId="0" borderId="122" xfId="0" applyFont="1" applyBorder="1" applyAlignment="1">
      <alignment horizontal="left" vertical="center"/>
    </xf>
    <xf numFmtId="10" fontId="19" fillId="0" borderId="122" xfId="0" applyNumberFormat="1" applyFont="1" applyBorder="1" applyAlignment="1">
      <alignment horizontal="center" vertical="center"/>
    </xf>
    <xf numFmtId="166" fontId="19" fillId="0" borderId="122" xfId="0" applyNumberFormat="1" applyFont="1" applyBorder="1" applyAlignment="1">
      <alignment horizontal="center" vertical="center"/>
    </xf>
    <xf numFmtId="2" fontId="19" fillId="0" borderId="122" xfId="0" applyNumberFormat="1" applyFont="1" applyBorder="1" applyAlignment="1">
      <alignment horizontal="center" vertical="center"/>
    </xf>
    <xf numFmtId="2" fontId="19" fillId="0" borderId="123" xfId="0" applyNumberFormat="1" applyFont="1" applyBorder="1" applyAlignment="1">
      <alignment horizontal="center" vertical="center"/>
    </xf>
    <xf numFmtId="0" fontId="19" fillId="0" borderId="130" xfId="0" applyFont="1" applyBorder="1" applyAlignment="1">
      <alignment horizontal="center" vertical="center"/>
    </xf>
    <xf numFmtId="0" fontId="19" fillId="0" borderId="131" xfId="0" applyFont="1" applyBorder="1" applyAlignment="1">
      <alignment horizontal="center" vertical="center"/>
    </xf>
    <xf numFmtId="0" fontId="19" fillId="0" borderId="132" xfId="0" applyFont="1" applyBorder="1" applyAlignment="1">
      <alignment horizontal="center" vertical="center"/>
    </xf>
    <xf numFmtId="0" fontId="19" fillId="0" borderId="135" xfId="0" applyFont="1" applyBorder="1" applyAlignment="1">
      <alignment horizontal="center" vertical="center"/>
    </xf>
    <xf numFmtId="0" fontId="19" fillId="0" borderId="136" xfId="0" applyFont="1" applyBorder="1" applyAlignment="1">
      <alignment horizontal="center" vertical="center"/>
    </xf>
    <xf numFmtId="0" fontId="19" fillId="0" borderId="137" xfId="0" applyFont="1" applyBorder="1" applyAlignment="1">
      <alignment horizontal="center" vertical="center"/>
    </xf>
    <xf numFmtId="0" fontId="6" fillId="0" borderId="138" xfId="0" applyFont="1" applyBorder="1" applyAlignment="1">
      <alignment horizontal="center" vertical="center"/>
    </xf>
    <xf numFmtId="0" fontId="6" fillId="0" borderId="139" xfId="0" applyFont="1" applyBorder="1" applyAlignment="1">
      <alignment horizontal="left" vertical="center"/>
    </xf>
    <xf numFmtId="2" fontId="6" fillId="0" borderId="139" xfId="0" applyNumberFormat="1" applyFont="1" applyBorder="1" applyAlignment="1">
      <alignment horizontal="center" vertical="center" wrapText="1"/>
    </xf>
    <xf numFmtId="0" fontId="6" fillId="0" borderId="139" xfId="0" applyFont="1" applyBorder="1" applyAlignment="1">
      <alignment horizontal="center" vertical="center" wrapText="1"/>
    </xf>
    <xf numFmtId="8" fontId="6" fillId="0" borderId="139" xfId="0" applyNumberFormat="1" applyFont="1" applyBorder="1" applyAlignment="1">
      <alignment horizontal="center" vertical="center" wrapText="1"/>
    </xf>
    <xf numFmtId="10" fontId="6" fillId="0" borderId="139" xfId="0" applyNumberFormat="1" applyFont="1" applyBorder="1" applyAlignment="1">
      <alignment horizontal="center" vertical="center" wrapText="1"/>
    </xf>
    <xf numFmtId="10" fontId="6" fillId="0" borderId="139" xfId="0" applyNumberFormat="1" applyFont="1" applyBorder="1" applyAlignment="1">
      <alignment horizontal="center" vertical="center"/>
    </xf>
    <xf numFmtId="166" fontId="6" fillId="0" borderId="139" xfId="0" applyNumberFormat="1" applyFont="1" applyBorder="1" applyAlignment="1">
      <alignment horizontal="center" vertical="center"/>
    </xf>
    <xf numFmtId="2" fontId="6" fillId="0" borderId="139" xfId="0" applyNumberFormat="1" applyFont="1" applyBorder="1" applyAlignment="1">
      <alignment horizontal="center" vertical="center"/>
    </xf>
    <xf numFmtId="2" fontId="6" fillId="0" borderId="140" xfId="0" applyNumberFormat="1" applyFont="1" applyBorder="1" applyAlignment="1">
      <alignment horizontal="center" vertical="center"/>
    </xf>
    <xf numFmtId="0" fontId="19" fillId="0" borderId="139" xfId="0" applyFont="1" applyBorder="1" applyAlignment="1">
      <alignment horizontal="left" vertical="center"/>
    </xf>
    <xf numFmtId="2" fontId="19" fillId="0" borderId="139" xfId="0" applyNumberFormat="1" applyFont="1" applyBorder="1" applyAlignment="1">
      <alignment horizontal="center" vertical="center" wrapText="1"/>
    </xf>
    <xf numFmtId="3" fontId="19" fillId="0" borderId="139" xfId="0" applyNumberFormat="1" applyFont="1" applyBorder="1" applyAlignment="1">
      <alignment horizontal="center" vertical="center" wrapText="1"/>
    </xf>
    <xf numFmtId="0" fontId="19" fillId="0" borderId="139" xfId="0" applyFont="1" applyBorder="1" applyAlignment="1">
      <alignment horizontal="center" vertical="center" wrapText="1"/>
    </xf>
    <xf numFmtId="8" fontId="19" fillId="0" borderId="139" xfId="0" applyNumberFormat="1" applyFont="1" applyBorder="1" applyAlignment="1">
      <alignment horizontal="center" vertical="center" wrapText="1"/>
    </xf>
    <xf numFmtId="10" fontId="19" fillId="0" borderId="139" xfId="0" applyNumberFormat="1" applyFont="1" applyBorder="1" applyAlignment="1">
      <alignment horizontal="center" vertical="center" wrapText="1"/>
    </xf>
    <xf numFmtId="10" fontId="19" fillId="0" borderId="139" xfId="0" applyNumberFormat="1" applyFont="1" applyBorder="1" applyAlignment="1">
      <alignment horizontal="center" vertical="center"/>
    </xf>
    <xf numFmtId="166" fontId="19" fillId="0" borderId="139" xfId="0" applyNumberFormat="1" applyFont="1" applyBorder="1" applyAlignment="1">
      <alignment horizontal="center" vertical="center"/>
    </xf>
    <xf numFmtId="2" fontId="19" fillId="0" borderId="139" xfId="0" applyNumberFormat="1" applyFont="1" applyBorder="1" applyAlignment="1">
      <alignment horizontal="center" vertical="center"/>
    </xf>
    <xf numFmtId="2" fontId="19" fillId="0" borderId="140" xfId="0" applyNumberFormat="1" applyFont="1" applyBorder="1" applyAlignment="1">
      <alignment horizontal="center" vertical="center"/>
    </xf>
    <xf numFmtId="0" fontId="6" fillId="0" borderId="145" xfId="0" applyFont="1" applyBorder="1" applyAlignment="1">
      <alignment horizontal="center" vertical="center"/>
    </xf>
    <xf numFmtId="0" fontId="6" fillId="0" borderId="146" xfId="0" applyFont="1" applyBorder="1" applyAlignment="1">
      <alignment horizontal="center" vertical="center" wrapText="1"/>
    </xf>
    <xf numFmtId="2" fontId="6" fillId="0" borderId="146" xfId="0" applyNumberFormat="1" applyFont="1" applyBorder="1" applyAlignment="1">
      <alignment horizontal="center" vertical="center" wrapText="1"/>
    </xf>
    <xf numFmtId="8" fontId="6" fillId="0" borderId="146" xfId="0" applyNumberFormat="1" applyFont="1" applyBorder="1" applyAlignment="1">
      <alignment horizontal="center" vertical="center" wrapText="1"/>
    </xf>
    <xf numFmtId="10" fontId="6" fillId="0" borderId="146" xfId="0" applyNumberFormat="1" applyFont="1" applyBorder="1" applyAlignment="1">
      <alignment horizontal="center" vertical="center" wrapText="1"/>
    </xf>
    <xf numFmtId="10" fontId="6" fillId="0" borderId="146" xfId="0" applyNumberFormat="1" applyFont="1" applyBorder="1" applyAlignment="1">
      <alignment horizontal="center" vertical="center"/>
    </xf>
    <xf numFmtId="166" fontId="6" fillId="0" borderId="146" xfId="0" applyNumberFormat="1" applyFont="1" applyBorder="1" applyAlignment="1">
      <alignment horizontal="center" vertical="center"/>
    </xf>
    <xf numFmtId="2" fontId="6" fillId="0" borderId="146" xfId="0" applyNumberFormat="1" applyFont="1" applyBorder="1" applyAlignment="1">
      <alignment horizontal="center" vertical="center"/>
    </xf>
    <xf numFmtId="2" fontId="6" fillId="0" borderId="147" xfId="0" applyNumberFormat="1" applyFont="1" applyBorder="1" applyAlignment="1">
      <alignment horizontal="center" vertical="center"/>
    </xf>
    <xf numFmtId="0" fontId="19" fillId="0" borderId="146" xfId="0" applyFont="1" applyBorder="1" applyAlignment="1">
      <alignment horizontal="center" vertical="center" wrapText="1"/>
    </xf>
    <xf numFmtId="2" fontId="19" fillId="0" borderId="146" xfId="0" applyNumberFormat="1" applyFont="1" applyBorder="1" applyAlignment="1">
      <alignment horizontal="center" vertical="center" wrapText="1"/>
    </xf>
    <xf numFmtId="3" fontId="19" fillId="0" borderId="146" xfId="0" applyNumberFormat="1" applyFont="1" applyBorder="1" applyAlignment="1">
      <alignment horizontal="center" vertical="center" wrapText="1"/>
    </xf>
    <xf numFmtId="8" fontId="19" fillId="0" borderId="146" xfId="0" applyNumberFormat="1" applyFont="1" applyBorder="1" applyAlignment="1">
      <alignment horizontal="center" vertical="center" wrapText="1"/>
    </xf>
    <xf numFmtId="10" fontId="19" fillId="0" borderId="146" xfId="0" applyNumberFormat="1" applyFont="1" applyBorder="1" applyAlignment="1">
      <alignment horizontal="center" vertical="center" wrapText="1"/>
    </xf>
    <xf numFmtId="0" fontId="19" fillId="0" borderId="151" xfId="0" applyFont="1" applyBorder="1" applyAlignment="1">
      <alignment horizontal="center" vertical="center"/>
    </xf>
    <xf numFmtId="0" fontId="19" fillId="0" borderId="141" xfId="0" applyFont="1" applyBorder="1" applyAlignment="1">
      <alignment horizontal="center" vertical="center"/>
    </xf>
    <xf numFmtId="0" fontId="19" fillId="0" borderId="142" xfId="0" applyFont="1" applyBorder="1" applyAlignment="1">
      <alignment horizontal="center" vertical="center"/>
    </xf>
    <xf numFmtId="0" fontId="19" fillId="0" borderId="152" xfId="0" applyFont="1" applyBorder="1" applyAlignment="1">
      <alignment horizontal="center" vertical="center"/>
    </xf>
    <xf numFmtId="0" fontId="19" fillId="0" borderId="143" xfId="0" applyFont="1" applyBorder="1" applyAlignment="1">
      <alignment horizontal="center" vertical="center"/>
    </xf>
    <xf numFmtId="0" fontId="19" fillId="0" borderId="144" xfId="0" applyFont="1" applyBorder="1" applyAlignment="1">
      <alignment horizontal="center" vertical="center"/>
    </xf>
    <xf numFmtId="0" fontId="6" fillId="0" borderId="146" xfId="0" applyFont="1" applyBorder="1" applyAlignment="1">
      <alignment horizontal="left" vertical="center"/>
    </xf>
    <xf numFmtId="0" fontId="19" fillId="0" borderId="146" xfId="0" applyFont="1" applyBorder="1" applyAlignment="1">
      <alignment horizontal="left" vertical="center"/>
    </xf>
    <xf numFmtId="10" fontId="19" fillId="0" borderId="146" xfId="0" applyNumberFormat="1" applyFont="1" applyBorder="1" applyAlignment="1">
      <alignment horizontal="center" vertical="center"/>
    </xf>
    <xf numFmtId="166" fontId="19" fillId="0" borderId="146" xfId="0" applyNumberFormat="1" applyFont="1" applyBorder="1" applyAlignment="1">
      <alignment horizontal="center" vertical="center"/>
    </xf>
    <xf numFmtId="2" fontId="19" fillId="0" borderId="146" xfId="0" applyNumberFormat="1" applyFont="1" applyBorder="1" applyAlignment="1">
      <alignment horizontal="center" vertical="center"/>
    </xf>
    <xf numFmtId="2" fontId="19" fillId="0" borderId="147" xfId="0" applyNumberFormat="1" applyFont="1" applyBorder="1" applyAlignment="1">
      <alignment horizontal="center" vertical="center"/>
    </xf>
    <xf numFmtId="0" fontId="6" fillId="0" borderId="157" xfId="0" applyFont="1" applyBorder="1" applyAlignment="1">
      <alignment horizontal="center" vertical="center"/>
    </xf>
    <xf numFmtId="0" fontId="6" fillId="0" borderId="158" xfId="0" applyFont="1" applyBorder="1" applyAlignment="1">
      <alignment horizontal="center" vertical="center" wrapText="1"/>
    </xf>
    <xf numFmtId="2" fontId="6" fillId="0" borderId="158" xfId="0" applyNumberFormat="1" applyFont="1" applyBorder="1" applyAlignment="1">
      <alignment horizontal="center" vertical="center" wrapText="1"/>
    </xf>
    <xf numFmtId="8" fontId="6" fillId="0" borderId="158" xfId="0" applyNumberFormat="1" applyFont="1" applyBorder="1" applyAlignment="1">
      <alignment horizontal="center" vertical="center" wrapText="1"/>
    </xf>
    <xf numFmtId="10" fontId="6" fillId="0" borderId="158" xfId="0" applyNumberFormat="1" applyFont="1" applyBorder="1" applyAlignment="1">
      <alignment horizontal="center" vertical="center" wrapText="1"/>
    </xf>
    <xf numFmtId="10" fontId="6" fillId="0" borderId="158" xfId="0" applyNumberFormat="1" applyFont="1" applyBorder="1" applyAlignment="1">
      <alignment horizontal="center" vertical="center"/>
    </xf>
    <xf numFmtId="166" fontId="6" fillId="0" borderId="158" xfId="0" applyNumberFormat="1" applyFont="1" applyBorder="1" applyAlignment="1">
      <alignment horizontal="center" vertical="center"/>
    </xf>
    <xf numFmtId="2" fontId="6" fillId="0" borderId="158" xfId="0" applyNumberFormat="1" applyFont="1" applyBorder="1" applyAlignment="1">
      <alignment horizontal="center" vertical="center"/>
    </xf>
    <xf numFmtId="2" fontId="6" fillId="0" borderId="159" xfId="0" applyNumberFormat="1" applyFont="1" applyBorder="1" applyAlignment="1">
      <alignment horizontal="center" vertical="center"/>
    </xf>
    <xf numFmtId="0" fontId="19" fillId="0" borderId="158" xfId="0" applyFont="1" applyBorder="1" applyAlignment="1">
      <alignment horizontal="center" vertical="center" wrapText="1"/>
    </xf>
    <xf numFmtId="2" fontId="19" fillId="0" borderId="158" xfId="0" applyNumberFormat="1" applyFont="1" applyBorder="1" applyAlignment="1">
      <alignment horizontal="center" vertical="center" wrapText="1"/>
    </xf>
    <xf numFmtId="3" fontId="19" fillId="0" borderId="158" xfId="0" applyNumberFormat="1" applyFont="1" applyBorder="1" applyAlignment="1">
      <alignment horizontal="center" vertical="center" wrapText="1"/>
    </xf>
    <xf numFmtId="8" fontId="19" fillId="0" borderId="158" xfId="0" applyNumberFormat="1" applyFont="1" applyBorder="1" applyAlignment="1">
      <alignment horizontal="center" vertical="center" wrapText="1"/>
    </xf>
    <xf numFmtId="10" fontId="19" fillId="0" borderId="158" xfId="0" applyNumberFormat="1" applyFont="1" applyBorder="1" applyAlignment="1">
      <alignment horizontal="center" vertical="center" wrapText="1"/>
    </xf>
    <xf numFmtId="0" fontId="19" fillId="0" borderId="163" xfId="0" applyFont="1" applyBorder="1" applyAlignment="1">
      <alignment horizontal="center" vertical="center"/>
    </xf>
    <xf numFmtId="0" fontId="19" fillId="0" borderId="153" xfId="0" applyFont="1" applyBorder="1" applyAlignment="1">
      <alignment horizontal="center" vertical="center"/>
    </xf>
    <xf numFmtId="0" fontId="19" fillId="0" borderId="154" xfId="0" applyFont="1" applyBorder="1" applyAlignment="1">
      <alignment horizontal="center" vertical="center"/>
    </xf>
    <xf numFmtId="0" fontId="19" fillId="0" borderId="164" xfId="0" applyFont="1" applyBorder="1" applyAlignment="1">
      <alignment horizontal="center" vertical="center"/>
    </xf>
    <xf numFmtId="0" fontId="19" fillId="0" borderId="155" xfId="0" applyFont="1" applyBorder="1" applyAlignment="1">
      <alignment horizontal="center" vertical="center"/>
    </xf>
    <xf numFmtId="0" fontId="19" fillId="0" borderId="156" xfId="0" applyFont="1" applyBorder="1" applyAlignment="1">
      <alignment horizontal="center" vertical="center"/>
    </xf>
    <xf numFmtId="0" fontId="6" fillId="0" borderId="158" xfId="0" applyFont="1" applyBorder="1" applyAlignment="1">
      <alignment horizontal="left" vertical="center"/>
    </xf>
    <xf numFmtId="0" fontId="19" fillId="0" borderId="158" xfId="0" applyFont="1" applyBorder="1" applyAlignment="1">
      <alignment horizontal="left" vertical="center"/>
    </xf>
    <xf numFmtId="10" fontId="19" fillId="0" borderId="158" xfId="0" applyNumberFormat="1" applyFont="1" applyBorder="1" applyAlignment="1">
      <alignment horizontal="center" vertical="center"/>
    </xf>
    <xf numFmtId="166" fontId="19" fillId="0" borderId="158" xfId="0" applyNumberFormat="1" applyFont="1" applyBorder="1" applyAlignment="1">
      <alignment horizontal="center" vertical="center"/>
    </xf>
    <xf numFmtId="2" fontId="19" fillId="0" borderId="158" xfId="0" applyNumberFormat="1" applyFont="1" applyBorder="1" applyAlignment="1">
      <alignment horizontal="center" vertical="center"/>
    </xf>
    <xf numFmtId="2" fontId="19" fillId="0" borderId="159" xfId="0" applyNumberFormat="1" applyFont="1" applyBorder="1" applyAlignment="1">
      <alignment horizontal="center" vertical="center"/>
    </xf>
    <xf numFmtId="0" fontId="6" fillId="0" borderId="169" xfId="0" applyFont="1" applyBorder="1" applyAlignment="1">
      <alignment horizontal="center" vertical="center"/>
    </xf>
    <xf numFmtId="0" fontId="6" fillId="0" borderId="170" xfId="0" applyFont="1" applyBorder="1" applyAlignment="1">
      <alignment horizontal="center" vertical="center" wrapText="1"/>
    </xf>
    <xf numFmtId="2" fontId="6" fillId="0" borderId="170" xfId="0" applyNumberFormat="1" applyFont="1" applyBorder="1" applyAlignment="1">
      <alignment horizontal="center" vertical="center" wrapText="1"/>
    </xf>
    <xf numFmtId="8" fontId="6" fillId="0" borderId="170" xfId="0" applyNumberFormat="1" applyFont="1" applyBorder="1" applyAlignment="1">
      <alignment horizontal="center" vertical="center" wrapText="1"/>
    </xf>
    <xf numFmtId="10" fontId="6" fillId="0" borderId="170" xfId="0" applyNumberFormat="1" applyFont="1" applyBorder="1" applyAlignment="1">
      <alignment horizontal="center" vertical="center" wrapText="1"/>
    </xf>
    <xf numFmtId="10" fontId="6" fillId="0" borderId="170" xfId="0" applyNumberFormat="1" applyFont="1" applyBorder="1" applyAlignment="1">
      <alignment horizontal="center" vertical="center"/>
    </xf>
    <xf numFmtId="166" fontId="6" fillId="0" borderId="170" xfId="0" applyNumberFormat="1" applyFont="1" applyBorder="1" applyAlignment="1">
      <alignment horizontal="center" vertical="center"/>
    </xf>
    <xf numFmtId="2" fontId="6" fillId="0" borderId="170" xfId="0" applyNumberFormat="1" applyFont="1" applyBorder="1" applyAlignment="1">
      <alignment horizontal="center" vertical="center"/>
    </xf>
    <xf numFmtId="2" fontId="6" fillId="0" borderId="171" xfId="0" applyNumberFormat="1" applyFont="1" applyBorder="1" applyAlignment="1">
      <alignment horizontal="center" vertical="center"/>
    </xf>
    <xf numFmtId="0" fontId="19" fillId="0" borderId="170" xfId="0" applyFont="1" applyBorder="1" applyAlignment="1">
      <alignment horizontal="center" vertical="center" wrapText="1"/>
    </xf>
    <xf numFmtId="2" fontId="19" fillId="0" borderId="170" xfId="0" applyNumberFormat="1" applyFont="1" applyBorder="1" applyAlignment="1">
      <alignment horizontal="center" vertical="center" wrapText="1"/>
    </xf>
    <xf numFmtId="3" fontId="19" fillId="0" borderId="170" xfId="0" applyNumberFormat="1" applyFont="1" applyBorder="1" applyAlignment="1">
      <alignment horizontal="center" vertical="center" wrapText="1"/>
    </xf>
    <xf numFmtId="8" fontId="19" fillId="0" borderId="170" xfId="0" applyNumberFormat="1" applyFont="1" applyBorder="1" applyAlignment="1">
      <alignment horizontal="center" vertical="center" wrapText="1"/>
    </xf>
    <xf numFmtId="10" fontId="19" fillId="0" borderId="170" xfId="0" applyNumberFormat="1" applyFont="1" applyBorder="1" applyAlignment="1">
      <alignment horizontal="center" vertical="center" wrapText="1"/>
    </xf>
    <xf numFmtId="0" fontId="19" fillId="0" borderId="175" xfId="0" applyFont="1" applyBorder="1" applyAlignment="1">
      <alignment horizontal="center" vertical="center"/>
    </xf>
    <xf numFmtId="0" fontId="19" fillId="0" borderId="165" xfId="0" applyFont="1" applyBorder="1" applyAlignment="1">
      <alignment horizontal="center" vertical="center"/>
    </xf>
    <xf numFmtId="0" fontId="19" fillId="0" borderId="166" xfId="0" applyFont="1" applyBorder="1" applyAlignment="1">
      <alignment horizontal="center" vertical="center"/>
    </xf>
    <xf numFmtId="0" fontId="19" fillId="0" borderId="176" xfId="0" applyFont="1" applyBorder="1" applyAlignment="1">
      <alignment horizontal="center" vertical="center"/>
    </xf>
    <xf numFmtId="0" fontId="19" fillId="0" borderId="167" xfId="0" applyFont="1" applyBorder="1" applyAlignment="1">
      <alignment horizontal="center" vertical="center"/>
    </xf>
    <xf numFmtId="0" fontId="19" fillId="0" borderId="168" xfId="0" applyFont="1" applyBorder="1" applyAlignment="1">
      <alignment horizontal="center" vertical="center"/>
    </xf>
    <xf numFmtId="0" fontId="6" fillId="0" borderId="170" xfId="0" applyFont="1" applyBorder="1" applyAlignment="1">
      <alignment horizontal="left" vertical="center"/>
    </xf>
    <xf numFmtId="0" fontId="19" fillId="0" borderId="170" xfId="0" applyFont="1" applyBorder="1" applyAlignment="1">
      <alignment horizontal="left" vertical="center"/>
    </xf>
    <xf numFmtId="10" fontId="19" fillId="0" borderId="170" xfId="0" applyNumberFormat="1" applyFont="1" applyBorder="1" applyAlignment="1">
      <alignment horizontal="center" vertical="center"/>
    </xf>
    <xf numFmtId="166" fontId="19" fillId="0" borderId="170" xfId="0" applyNumberFormat="1" applyFont="1" applyBorder="1" applyAlignment="1">
      <alignment horizontal="center" vertical="center"/>
    </xf>
    <xf numFmtId="2" fontId="19" fillId="0" borderId="170" xfId="0" applyNumberFormat="1" applyFont="1" applyBorder="1" applyAlignment="1">
      <alignment horizontal="center" vertical="center"/>
    </xf>
    <xf numFmtId="2" fontId="19" fillId="0" borderId="171" xfId="0" applyNumberFormat="1" applyFont="1" applyBorder="1" applyAlignment="1">
      <alignment horizontal="center" vertical="center"/>
    </xf>
    <xf numFmtId="0" fontId="6" fillId="0" borderId="181" xfId="0" applyFont="1" applyBorder="1" applyAlignment="1">
      <alignment horizontal="center" vertical="center"/>
    </xf>
    <xf numFmtId="0" fontId="6" fillId="0" borderId="182" xfId="0" applyFont="1" applyBorder="1" applyAlignment="1">
      <alignment horizontal="center" vertical="center" wrapText="1"/>
    </xf>
    <xf numFmtId="2" fontId="6" fillId="0" borderId="182" xfId="0" applyNumberFormat="1" applyFont="1" applyBorder="1" applyAlignment="1">
      <alignment horizontal="center" vertical="center" wrapText="1"/>
    </xf>
    <xf numFmtId="8" fontId="6" fillId="0" borderId="182" xfId="0" applyNumberFormat="1" applyFont="1" applyBorder="1" applyAlignment="1">
      <alignment horizontal="center" vertical="center" wrapText="1"/>
    </xf>
    <xf numFmtId="10" fontId="6" fillId="0" borderId="182" xfId="0" applyNumberFormat="1" applyFont="1" applyBorder="1" applyAlignment="1">
      <alignment horizontal="center" vertical="center" wrapText="1"/>
    </xf>
    <xf numFmtId="10" fontId="6" fillId="0" borderId="182" xfId="0" applyNumberFormat="1" applyFont="1" applyBorder="1" applyAlignment="1">
      <alignment horizontal="center" vertical="center"/>
    </xf>
    <xf numFmtId="166" fontId="6" fillId="0" borderId="182" xfId="0" applyNumberFormat="1" applyFont="1" applyBorder="1" applyAlignment="1">
      <alignment horizontal="center" vertical="center"/>
    </xf>
    <xf numFmtId="2" fontId="6" fillId="0" borderId="182" xfId="0" applyNumberFormat="1" applyFont="1" applyBorder="1" applyAlignment="1">
      <alignment horizontal="center" vertical="center"/>
    </xf>
    <xf numFmtId="2" fontId="6" fillId="0" borderId="183" xfId="0" applyNumberFormat="1" applyFont="1" applyBorder="1" applyAlignment="1">
      <alignment horizontal="center" vertical="center"/>
    </xf>
    <xf numFmtId="0" fontId="19" fillId="0" borderId="182" xfId="0" applyFont="1" applyBorder="1" applyAlignment="1">
      <alignment horizontal="center" vertical="center" wrapText="1"/>
    </xf>
    <xf numFmtId="2" fontId="19" fillId="0" borderId="182" xfId="0" applyNumberFormat="1" applyFont="1" applyBorder="1" applyAlignment="1">
      <alignment horizontal="center" vertical="center" wrapText="1"/>
    </xf>
    <xf numFmtId="3" fontId="19" fillId="0" borderId="182" xfId="0" applyNumberFormat="1" applyFont="1" applyBorder="1" applyAlignment="1">
      <alignment horizontal="center" vertical="center" wrapText="1"/>
    </xf>
    <xf numFmtId="8" fontId="19" fillId="0" borderId="182" xfId="0" applyNumberFormat="1" applyFont="1" applyBorder="1" applyAlignment="1">
      <alignment horizontal="center" vertical="center" wrapText="1"/>
    </xf>
    <xf numFmtId="10" fontId="19" fillId="0" borderId="182" xfId="0" applyNumberFormat="1" applyFont="1" applyBorder="1" applyAlignment="1">
      <alignment horizontal="center" vertical="center" wrapText="1"/>
    </xf>
    <xf numFmtId="0" fontId="19" fillId="0" borderId="187" xfId="0" applyFont="1" applyBorder="1" applyAlignment="1">
      <alignment horizontal="center" vertical="center"/>
    </xf>
    <xf numFmtId="0" fontId="19" fillId="0" borderId="177" xfId="0" applyFont="1" applyBorder="1" applyAlignment="1">
      <alignment horizontal="center" vertical="center"/>
    </xf>
    <xf numFmtId="0" fontId="19" fillId="0" borderId="178" xfId="0" applyFont="1" applyBorder="1" applyAlignment="1">
      <alignment horizontal="center" vertical="center"/>
    </xf>
    <xf numFmtId="0" fontId="19" fillId="0" borderId="188" xfId="0" applyFont="1" applyBorder="1" applyAlignment="1">
      <alignment horizontal="center" vertical="center"/>
    </xf>
    <xf numFmtId="0" fontId="19" fillId="0" borderId="179" xfId="0" applyFont="1" applyBorder="1" applyAlignment="1">
      <alignment horizontal="center" vertical="center"/>
    </xf>
    <xf numFmtId="0" fontId="19" fillId="0" borderId="180" xfId="0" applyFont="1" applyBorder="1" applyAlignment="1">
      <alignment horizontal="center" vertical="center"/>
    </xf>
    <xf numFmtId="0" fontId="6" fillId="0" borderId="182" xfId="0" applyFont="1" applyBorder="1" applyAlignment="1">
      <alignment horizontal="left" vertical="center"/>
    </xf>
    <xf numFmtId="0" fontId="19" fillId="0" borderId="182" xfId="0" applyFont="1" applyBorder="1" applyAlignment="1">
      <alignment horizontal="left" vertical="center"/>
    </xf>
    <xf numFmtId="10" fontId="19" fillId="0" borderId="182" xfId="0" applyNumberFormat="1" applyFont="1" applyBorder="1" applyAlignment="1">
      <alignment horizontal="center" vertical="center"/>
    </xf>
    <xf numFmtId="166" fontId="19" fillId="0" borderId="182" xfId="0" applyNumberFormat="1" applyFont="1" applyBorder="1" applyAlignment="1">
      <alignment horizontal="center" vertical="center"/>
    </xf>
    <xf numFmtId="2" fontId="19" fillId="0" borderId="182" xfId="0" applyNumberFormat="1" applyFont="1" applyBorder="1" applyAlignment="1">
      <alignment horizontal="center" vertical="center"/>
    </xf>
    <xf numFmtId="2" fontId="19" fillId="0" borderId="183" xfId="0" applyNumberFormat="1" applyFont="1" applyBorder="1" applyAlignment="1">
      <alignment horizontal="center" vertical="center"/>
    </xf>
    <xf numFmtId="0" fontId="6" fillId="0" borderId="193" xfId="0" applyFont="1" applyBorder="1" applyAlignment="1">
      <alignment horizontal="center" vertical="center"/>
    </xf>
    <xf numFmtId="0" fontId="6" fillId="0" borderId="194" xfId="0" applyFont="1" applyBorder="1" applyAlignment="1">
      <alignment horizontal="center" vertical="center" wrapText="1"/>
    </xf>
    <xf numFmtId="2" fontId="6" fillId="0" borderId="194" xfId="0" applyNumberFormat="1" applyFont="1" applyBorder="1" applyAlignment="1">
      <alignment horizontal="center" vertical="center" wrapText="1"/>
    </xf>
    <xf numFmtId="8" fontId="6" fillId="0" borderId="194" xfId="0" applyNumberFormat="1" applyFont="1" applyBorder="1" applyAlignment="1">
      <alignment horizontal="center" vertical="center" wrapText="1"/>
    </xf>
    <xf numFmtId="10" fontId="6" fillId="0" borderId="194" xfId="0" applyNumberFormat="1" applyFont="1" applyBorder="1" applyAlignment="1">
      <alignment horizontal="center" vertical="center" wrapText="1"/>
    </xf>
    <xf numFmtId="10" fontId="6" fillId="0" borderId="194" xfId="0" applyNumberFormat="1" applyFont="1" applyBorder="1" applyAlignment="1">
      <alignment horizontal="center" vertical="center"/>
    </xf>
    <xf numFmtId="166" fontId="6" fillId="0" borderId="194" xfId="0" applyNumberFormat="1" applyFont="1" applyBorder="1" applyAlignment="1">
      <alignment horizontal="center" vertical="center"/>
    </xf>
    <xf numFmtId="2" fontId="6" fillId="0" borderId="194" xfId="0" applyNumberFormat="1" applyFont="1" applyBorder="1" applyAlignment="1">
      <alignment horizontal="center" vertical="center"/>
    </xf>
    <xf numFmtId="2" fontId="6" fillId="0" borderId="195" xfId="0" applyNumberFormat="1" applyFont="1" applyBorder="1" applyAlignment="1">
      <alignment horizontal="center" vertical="center"/>
    </xf>
    <xf numFmtId="0" fontId="19" fillId="0" borderId="194" xfId="0" applyFont="1" applyBorder="1" applyAlignment="1">
      <alignment horizontal="center" vertical="center" wrapText="1"/>
    </xf>
    <xf numFmtId="2" fontId="19" fillId="0" borderId="194" xfId="0" applyNumberFormat="1" applyFont="1" applyBorder="1" applyAlignment="1">
      <alignment horizontal="center" vertical="center" wrapText="1"/>
    </xf>
    <xf numFmtId="3" fontId="19" fillId="0" borderId="194" xfId="0" applyNumberFormat="1" applyFont="1" applyBorder="1" applyAlignment="1">
      <alignment horizontal="center" vertical="center" wrapText="1"/>
    </xf>
    <xf numFmtId="8" fontId="19" fillId="0" borderId="194" xfId="0" applyNumberFormat="1" applyFont="1" applyBorder="1" applyAlignment="1">
      <alignment horizontal="center" vertical="center" wrapText="1"/>
    </xf>
    <xf numFmtId="10" fontId="19" fillId="0" borderId="194" xfId="0" applyNumberFormat="1" applyFont="1" applyBorder="1" applyAlignment="1">
      <alignment horizontal="center" vertical="center" wrapText="1"/>
    </xf>
    <xf numFmtId="0" fontId="19" fillId="0" borderId="199" xfId="0" applyFont="1" applyBorder="1" applyAlignment="1">
      <alignment horizontal="center" vertical="center"/>
    </xf>
    <xf numFmtId="0" fontId="19" fillId="0" borderId="189" xfId="0" applyFont="1" applyBorder="1" applyAlignment="1">
      <alignment horizontal="center" vertical="center"/>
    </xf>
    <xf numFmtId="0" fontId="19" fillId="0" borderId="190" xfId="0" applyFont="1" applyBorder="1" applyAlignment="1">
      <alignment horizontal="center" vertical="center"/>
    </xf>
    <xf numFmtId="0" fontId="19" fillId="0" borderId="200" xfId="0" applyFont="1" applyBorder="1" applyAlignment="1">
      <alignment horizontal="center" vertical="center"/>
    </xf>
    <xf numFmtId="0" fontId="19" fillId="0" borderId="191" xfId="0" applyFont="1" applyBorder="1" applyAlignment="1">
      <alignment horizontal="center" vertical="center"/>
    </xf>
    <xf numFmtId="0" fontId="19" fillId="0" borderId="192" xfId="0" applyFont="1" applyBorder="1" applyAlignment="1">
      <alignment horizontal="center" vertical="center"/>
    </xf>
    <xf numFmtId="0" fontId="6" fillId="0" borderId="194" xfId="0" applyFont="1" applyBorder="1" applyAlignment="1">
      <alignment horizontal="left" vertical="center"/>
    </xf>
    <xf numFmtId="0" fontId="19" fillId="0" borderId="194" xfId="0" applyFont="1" applyBorder="1" applyAlignment="1">
      <alignment horizontal="left" vertical="center"/>
    </xf>
    <xf numFmtId="10" fontId="19" fillId="0" borderId="194" xfId="0" applyNumberFormat="1" applyFont="1" applyBorder="1" applyAlignment="1">
      <alignment horizontal="center" vertical="center"/>
    </xf>
    <xf numFmtId="166" fontId="19" fillId="0" borderId="194" xfId="0" applyNumberFormat="1" applyFont="1" applyBorder="1" applyAlignment="1">
      <alignment horizontal="center" vertical="center"/>
    </xf>
    <xf numFmtId="2" fontId="19" fillId="0" borderId="194" xfId="0" applyNumberFormat="1" applyFont="1" applyBorder="1" applyAlignment="1">
      <alignment horizontal="center" vertical="center"/>
    </xf>
    <xf numFmtId="2" fontId="19" fillId="0" borderId="195" xfId="0" applyNumberFormat="1" applyFont="1" applyBorder="1" applyAlignment="1">
      <alignment horizontal="center" vertical="center"/>
    </xf>
    <xf numFmtId="0" fontId="0" fillId="0" borderId="67" xfId="0" applyNumberFormat="1" applyFill="1" applyBorder="1" applyAlignment="1">
      <alignment horizontal="center"/>
    </xf>
    <xf numFmtId="0" fontId="4" fillId="5" borderId="1" xfId="0" applyFont="1" applyFill="1" applyBorder="1" applyAlignment="1">
      <alignment horizontal="left"/>
    </xf>
    <xf numFmtId="0" fontId="4" fillId="5" borderId="3" xfId="0" applyFont="1" applyFill="1" applyBorder="1" applyAlignment="1">
      <alignment horizontal="left"/>
    </xf>
    <xf numFmtId="0" fontId="4" fillId="3" borderId="1" xfId="0" applyFont="1" applyFill="1" applyBorder="1" applyAlignment="1">
      <alignment horizontal="center"/>
    </xf>
    <xf numFmtId="0" fontId="4" fillId="3" borderId="2" xfId="0" applyFont="1" applyFill="1" applyBorder="1" applyAlignment="1">
      <alignment horizontal="center"/>
    </xf>
    <xf numFmtId="0" fontId="4" fillId="3" borderId="3" xfId="0" applyFont="1" applyFill="1" applyBorder="1" applyAlignment="1">
      <alignment horizontal="center"/>
    </xf>
    <xf numFmtId="0" fontId="4" fillId="4" borderId="1" xfId="0" applyFont="1" applyFill="1" applyBorder="1" applyAlignment="1">
      <alignment horizontal="left"/>
    </xf>
    <xf numFmtId="0" fontId="4" fillId="4" borderId="3" xfId="0" applyFont="1" applyFill="1" applyBorder="1" applyAlignment="1">
      <alignment horizontal="left"/>
    </xf>
    <xf numFmtId="0" fontId="4" fillId="5" borderId="1" xfId="0" applyFont="1" applyFill="1" applyBorder="1" applyAlignment="1">
      <alignment horizontal="center"/>
    </xf>
    <xf numFmtId="0" fontId="4" fillId="5" borderId="2" xfId="0" applyFont="1" applyFill="1" applyBorder="1" applyAlignment="1">
      <alignment horizontal="center"/>
    </xf>
    <xf numFmtId="0" fontId="4" fillId="5" borderId="3" xfId="0" applyFont="1" applyFill="1" applyBorder="1" applyAlignment="1">
      <alignment horizontal="center"/>
    </xf>
    <xf numFmtId="0" fontId="18" fillId="3" borderId="1" xfId="0" applyFont="1" applyFill="1" applyBorder="1" applyAlignment="1">
      <alignment horizontal="center"/>
    </xf>
    <xf numFmtId="0" fontId="18" fillId="3" borderId="3" xfId="0" applyFont="1" applyFill="1" applyBorder="1" applyAlignment="1">
      <alignment horizontal="center"/>
    </xf>
    <xf numFmtId="2" fontId="0" fillId="0" borderId="31" xfId="0" applyNumberFormat="1" applyBorder="1" applyAlignment="1">
      <alignment horizontal="center"/>
    </xf>
    <xf numFmtId="2" fontId="0" fillId="0" borderId="32" xfId="0" applyNumberFormat="1" applyBorder="1" applyAlignment="1">
      <alignment horizontal="center"/>
    </xf>
    <xf numFmtId="10" fontId="3" fillId="0" borderId="7" xfId="2" applyNumberFormat="1" applyBorder="1" applyAlignment="1">
      <alignment horizontal="center"/>
    </xf>
    <xf numFmtId="10" fontId="3" fillId="0" borderId="8" xfId="2" applyNumberFormat="1" applyBorder="1" applyAlignment="1">
      <alignment horizontal="center"/>
    </xf>
    <xf numFmtId="2" fontId="3" fillId="0" borderId="7" xfId="2" applyNumberFormat="1" applyBorder="1" applyAlignment="1">
      <alignment horizontal="center"/>
    </xf>
    <xf numFmtId="2" fontId="3" fillId="0" borderId="8" xfId="2" applyNumberFormat="1" applyBorder="1" applyAlignment="1">
      <alignment horizontal="center"/>
    </xf>
    <xf numFmtId="16" fontId="4" fillId="4" borderId="1" xfId="0" applyNumberFormat="1" applyFont="1" applyFill="1" applyBorder="1" applyAlignment="1">
      <alignment horizontal="left"/>
    </xf>
    <xf numFmtId="16" fontId="4" fillId="4" borderId="3" xfId="0" applyNumberFormat="1" applyFont="1" applyFill="1" applyBorder="1" applyAlignment="1">
      <alignment horizontal="left"/>
    </xf>
    <xf numFmtId="16" fontId="4" fillId="5" borderId="1" xfId="0" applyNumberFormat="1" applyFont="1" applyFill="1" applyBorder="1" applyAlignment="1">
      <alignment horizontal="left"/>
    </xf>
    <xf numFmtId="16" fontId="4" fillId="5" borderId="3" xfId="0" applyNumberFormat="1" applyFont="1" applyFill="1" applyBorder="1" applyAlignment="1">
      <alignment horizontal="left"/>
    </xf>
    <xf numFmtId="2" fontId="0" fillId="0" borderId="7" xfId="0" applyNumberFormat="1" applyBorder="1" applyAlignment="1">
      <alignment horizontal="center"/>
    </xf>
    <xf numFmtId="2" fontId="0" fillId="0" borderId="8" xfId="0" applyNumberFormat="1" applyBorder="1" applyAlignment="1">
      <alignment horizontal="center"/>
    </xf>
    <xf numFmtId="0" fontId="4" fillId="4" borderId="20" xfId="0" applyFont="1" applyFill="1" applyBorder="1" applyAlignment="1">
      <alignment horizontal="left" vertical="center"/>
    </xf>
    <xf numFmtId="0" fontId="4" fillId="4" borderId="21" xfId="0" applyFont="1" applyFill="1" applyBorder="1" applyAlignment="1">
      <alignment horizontal="left" vertical="center"/>
    </xf>
    <xf numFmtId="0" fontId="4" fillId="4" borderId="22" xfId="0" applyFont="1" applyFill="1" applyBorder="1" applyAlignment="1">
      <alignment horizontal="left" vertical="center"/>
    </xf>
    <xf numFmtId="0" fontId="4" fillId="4" borderId="26" xfId="0" applyFont="1" applyFill="1" applyBorder="1" applyAlignment="1">
      <alignment horizontal="left" vertical="center"/>
    </xf>
    <xf numFmtId="169" fontId="3" fillId="0" borderId="7" xfId="2" applyNumberFormat="1" applyBorder="1" applyAlignment="1">
      <alignment horizontal="center"/>
    </xf>
    <xf numFmtId="169" fontId="3" fillId="0" borderId="8" xfId="2" applyNumberFormat="1" applyBorder="1" applyAlignment="1">
      <alignment horizontal="center"/>
    </xf>
    <xf numFmtId="10" fontId="0" fillId="0" borderId="12" xfId="1" applyNumberFormat="1" applyFont="1" applyBorder="1" applyAlignment="1">
      <alignment horizontal="center"/>
    </xf>
    <xf numFmtId="164" fontId="0" fillId="0" borderId="12" xfId="0" applyNumberFormat="1" applyBorder="1" applyAlignment="1">
      <alignment horizontal="center"/>
    </xf>
    <xf numFmtId="2" fontId="0" fillId="0" borderId="12" xfId="0" applyNumberFormat="1" applyBorder="1" applyAlignment="1">
      <alignment horizontal="center"/>
    </xf>
    <xf numFmtId="164" fontId="3" fillId="0" borderId="12" xfId="2" applyNumberFormat="1" applyBorder="1" applyAlignment="1">
      <alignment horizontal="center"/>
    </xf>
    <xf numFmtId="10" fontId="3" fillId="0" borderId="12" xfId="1" applyNumberFormat="1" applyFont="1" applyBorder="1" applyAlignment="1">
      <alignment horizontal="center"/>
    </xf>
    <xf numFmtId="0" fontId="4" fillId="0" borderId="10" xfId="0" applyFont="1" applyBorder="1" applyAlignment="1">
      <alignment horizontal="right" vertical="center"/>
    </xf>
    <xf numFmtId="0" fontId="4" fillId="0" borderId="24" xfId="0" applyFont="1" applyBorder="1" applyAlignment="1">
      <alignment horizontal="right" vertical="center"/>
    </xf>
    <xf numFmtId="10" fontId="0" fillId="0" borderId="27" xfId="1" applyNumberFormat="1" applyFont="1" applyBorder="1" applyAlignment="1">
      <alignment horizontal="center"/>
    </xf>
    <xf numFmtId="10" fontId="0" fillId="0" borderId="7" xfId="0" applyNumberFormat="1" applyBorder="1" applyAlignment="1">
      <alignment horizontal="center"/>
    </xf>
    <xf numFmtId="10" fontId="0" fillId="0" borderId="8" xfId="0" applyNumberFormat="1" applyBorder="1" applyAlignment="1">
      <alignment horizontal="center"/>
    </xf>
    <xf numFmtId="0" fontId="0" fillId="0" borderId="7" xfId="0" applyFill="1" applyBorder="1" applyAlignment="1">
      <alignment horizontal="center"/>
    </xf>
    <xf numFmtId="0" fontId="0" fillId="0" borderId="8" xfId="0" applyFill="1" applyBorder="1" applyAlignment="1">
      <alignment horizontal="center"/>
    </xf>
    <xf numFmtId="0" fontId="18" fillId="3" borderId="20" xfId="0" applyFont="1" applyFill="1" applyBorder="1" applyAlignment="1">
      <alignment horizontal="center"/>
    </xf>
    <xf numFmtId="0" fontId="18" fillId="3" borderId="21" xfId="0" applyFont="1" applyFill="1" applyBorder="1" applyAlignment="1">
      <alignment horizontal="center"/>
    </xf>
    <xf numFmtId="10" fontId="0" fillId="0" borderId="11" xfId="1" applyNumberFormat="1" applyFont="1" applyBorder="1" applyAlignment="1">
      <alignment horizontal="center"/>
    </xf>
    <xf numFmtId="10" fontId="0" fillId="0" borderId="11" xfId="0" applyNumberFormat="1" applyBorder="1" applyAlignment="1">
      <alignment horizontal="center"/>
    </xf>
    <xf numFmtId="0" fontId="0" fillId="0" borderId="16" xfId="0" applyFill="1" applyBorder="1" applyAlignment="1">
      <alignment horizontal="center"/>
    </xf>
    <xf numFmtId="0" fontId="0" fillId="0" borderId="18" xfId="0" applyFill="1" applyBorder="1" applyAlignment="1">
      <alignment horizontal="center"/>
    </xf>
    <xf numFmtId="0" fontId="4" fillId="10" borderId="16" xfId="0" applyFont="1" applyFill="1" applyBorder="1" applyAlignment="1">
      <alignment horizontal="center"/>
    </xf>
    <xf numFmtId="0" fontId="4" fillId="10" borderId="17" xfId="0" applyFont="1" applyFill="1" applyBorder="1" applyAlignment="1">
      <alignment horizontal="center"/>
    </xf>
    <xf numFmtId="0" fontId="4" fillId="10" borderId="18" xfId="0" applyFont="1" applyFill="1" applyBorder="1" applyAlignment="1">
      <alignment horizontal="center"/>
    </xf>
    <xf numFmtId="2" fontId="0" fillId="0" borderId="11" xfId="0" applyNumberFormat="1" applyBorder="1" applyAlignment="1">
      <alignment horizontal="center"/>
    </xf>
    <xf numFmtId="2" fontId="3" fillId="0" borderId="12" xfId="2" applyNumberFormat="1" applyBorder="1" applyAlignment="1">
      <alignment horizontal="center"/>
    </xf>
    <xf numFmtId="10" fontId="17" fillId="0" borderId="27" xfId="1" applyNumberFormat="1" applyFont="1" applyBorder="1" applyAlignment="1">
      <alignment horizontal="center"/>
    </xf>
    <xf numFmtId="164" fontId="0" fillId="0" borderId="11" xfId="0" applyNumberFormat="1" applyBorder="1" applyAlignment="1">
      <alignment horizontal="center"/>
    </xf>
    <xf numFmtId="0" fontId="0" fillId="0" borderId="7" xfId="0" applyBorder="1" applyAlignment="1">
      <alignment horizontal="center"/>
    </xf>
    <xf numFmtId="0" fontId="0" fillId="0" borderId="39" xfId="0" applyBorder="1" applyAlignment="1">
      <alignment horizontal="center"/>
    </xf>
    <xf numFmtId="0" fontId="0" fillId="0" borderId="8" xfId="0" applyBorder="1" applyAlignment="1">
      <alignment horizontal="center"/>
    </xf>
    <xf numFmtId="0" fontId="2" fillId="6" borderId="15" xfId="0" applyFont="1" applyFill="1" applyBorder="1" applyAlignment="1">
      <alignment horizontal="center"/>
    </xf>
    <xf numFmtId="0" fontId="2" fillId="6" borderId="0" xfId="0" applyFont="1" applyFill="1" applyBorder="1" applyAlignment="1">
      <alignment horizontal="center"/>
    </xf>
    <xf numFmtId="0" fontId="2" fillId="6" borderId="6" xfId="0" applyFont="1" applyFill="1" applyBorder="1" applyAlignment="1">
      <alignment horizontal="center"/>
    </xf>
    <xf numFmtId="0" fontId="4" fillId="4" borderId="15" xfId="0" applyFont="1" applyFill="1" applyBorder="1" applyAlignment="1">
      <alignment horizontal="center"/>
    </xf>
    <xf numFmtId="0" fontId="4" fillId="4" borderId="0" xfId="0" applyFont="1" applyFill="1" applyBorder="1" applyAlignment="1">
      <alignment horizontal="center"/>
    </xf>
    <xf numFmtId="0" fontId="4" fillId="4" borderId="6" xfId="0" applyFont="1" applyFill="1" applyBorder="1" applyAlignment="1">
      <alignment horizontal="center"/>
    </xf>
    <xf numFmtId="0" fontId="5" fillId="2" borderId="1" xfId="0" applyFont="1" applyFill="1" applyBorder="1" applyAlignment="1">
      <alignment horizontal="center"/>
    </xf>
    <xf numFmtId="0" fontId="5" fillId="2" borderId="2" xfId="0" applyFont="1" applyFill="1" applyBorder="1" applyAlignment="1">
      <alignment horizontal="center"/>
    </xf>
    <xf numFmtId="0" fontId="5" fillId="2" borderId="3" xfId="0" applyFont="1" applyFill="1" applyBorder="1" applyAlignment="1">
      <alignment horizontal="center"/>
    </xf>
    <xf numFmtId="0" fontId="16" fillId="3" borderId="10" xfId="0" applyFont="1" applyFill="1" applyBorder="1" applyAlignment="1">
      <alignment horizontal="center" vertical="center" textRotation="90"/>
    </xf>
    <xf numFmtId="0" fontId="16" fillId="3" borderId="28" xfId="0" applyFont="1" applyFill="1" applyBorder="1" applyAlignment="1">
      <alignment horizontal="center" vertical="center" textRotation="90"/>
    </xf>
    <xf numFmtId="0" fontId="16" fillId="3" borderId="24" xfId="0" applyFont="1" applyFill="1" applyBorder="1" applyAlignment="1">
      <alignment horizontal="center" vertical="center" textRotation="90"/>
    </xf>
    <xf numFmtId="0" fontId="19" fillId="0" borderId="41" xfId="0" applyFont="1" applyBorder="1" applyAlignment="1">
      <alignment horizontal="center" vertical="center"/>
    </xf>
    <xf numFmtId="0" fontId="19" fillId="0" borderId="49" xfId="0" applyFont="1" applyBorder="1" applyAlignment="1">
      <alignment horizontal="center" vertical="center"/>
    </xf>
    <xf numFmtId="0" fontId="19" fillId="0" borderId="33" xfId="0" applyFont="1" applyBorder="1" applyAlignment="1">
      <alignment horizontal="left" vertical="center"/>
    </xf>
    <xf numFmtId="0" fontId="19" fillId="0" borderId="48" xfId="0" applyFont="1" applyBorder="1" applyAlignment="1">
      <alignment horizontal="left" vertical="center"/>
    </xf>
    <xf numFmtId="0" fontId="19" fillId="0" borderId="53" xfId="0" applyFont="1" applyBorder="1" applyAlignment="1">
      <alignment horizontal="center" vertical="center"/>
    </xf>
    <xf numFmtId="0" fontId="19" fillId="0" borderId="51" xfId="0" applyFont="1" applyBorder="1" applyAlignment="1">
      <alignment horizontal="center" vertical="center"/>
    </xf>
    <xf numFmtId="0" fontId="19" fillId="0" borderId="62" xfId="0" applyFont="1" applyBorder="1" applyAlignment="1">
      <alignment horizontal="center" vertical="center"/>
    </xf>
    <xf numFmtId="0" fontId="19" fillId="0" borderId="63" xfId="0" applyFont="1" applyBorder="1" applyAlignment="1">
      <alignment horizontal="left" vertical="center"/>
    </xf>
    <xf numFmtId="0" fontId="19" fillId="0" borderId="61" xfId="0" applyFont="1" applyBorder="1" applyAlignment="1">
      <alignment horizontal="center" vertical="center"/>
    </xf>
    <xf numFmtId="0" fontId="19" fillId="0" borderId="55" xfId="0" applyFont="1" applyBorder="1" applyAlignment="1">
      <alignment horizontal="center" vertical="center"/>
    </xf>
    <xf numFmtId="0" fontId="19" fillId="0" borderId="77" xfId="0" applyFont="1" applyBorder="1" applyAlignment="1">
      <alignment horizontal="center" vertical="center"/>
    </xf>
    <xf numFmtId="0" fontId="19" fillId="0" borderId="78" xfId="0" applyFont="1" applyBorder="1" applyAlignment="1">
      <alignment horizontal="left" vertical="center"/>
    </xf>
    <xf numFmtId="0" fontId="19" fillId="0" borderId="76" xfId="0" applyFont="1" applyBorder="1" applyAlignment="1">
      <alignment horizontal="center" vertical="center"/>
    </xf>
    <xf numFmtId="0" fontId="19" fillId="0" borderId="81" xfId="0" applyFont="1" applyBorder="1" applyAlignment="1">
      <alignment horizontal="center" vertical="center"/>
    </xf>
    <xf numFmtId="0" fontId="19" fillId="0" borderId="70" xfId="0" applyFont="1" applyBorder="1" applyAlignment="1">
      <alignment horizontal="center" vertical="center"/>
    </xf>
    <xf numFmtId="0" fontId="19" fillId="0" borderId="85" xfId="0" applyFont="1" applyBorder="1" applyAlignment="1">
      <alignment horizontal="center" vertical="center"/>
    </xf>
    <xf numFmtId="0" fontId="19" fillId="0" borderId="86" xfId="0" applyFont="1" applyBorder="1" applyAlignment="1">
      <alignment horizontal="left" vertical="center"/>
    </xf>
    <xf numFmtId="0" fontId="19" fillId="0" borderId="84" xfId="0" applyFont="1" applyBorder="1" applyAlignment="1">
      <alignment horizontal="center" vertical="center"/>
    </xf>
    <xf numFmtId="0" fontId="19" fillId="0" borderId="101" xfId="0" applyFont="1" applyBorder="1" applyAlignment="1">
      <alignment horizontal="center" vertical="center"/>
    </xf>
    <xf numFmtId="0" fontId="19" fillId="0" borderId="102" xfId="0" applyFont="1" applyBorder="1" applyAlignment="1">
      <alignment horizontal="left" vertical="center"/>
    </xf>
    <xf numFmtId="0" fontId="19" fillId="0" borderId="100" xfId="0" applyFont="1" applyBorder="1" applyAlignment="1">
      <alignment horizontal="center" vertical="center"/>
    </xf>
    <xf numFmtId="0" fontId="19" fillId="0" borderId="94" xfId="0" applyFont="1" applyBorder="1" applyAlignment="1">
      <alignment horizontal="center" vertical="center"/>
    </xf>
    <xf numFmtId="0" fontId="19" fillId="0" borderId="113" xfId="0" applyFont="1" applyBorder="1" applyAlignment="1">
      <alignment horizontal="center" vertical="center"/>
    </xf>
    <xf numFmtId="0" fontId="19" fillId="0" borderId="114" xfId="0" applyFont="1" applyBorder="1" applyAlignment="1">
      <alignment horizontal="left" vertical="center"/>
    </xf>
    <xf numFmtId="0" fontId="19" fillId="0" borderId="112" xfId="0" applyFont="1" applyBorder="1" applyAlignment="1">
      <alignment horizontal="center" vertical="center"/>
    </xf>
    <xf numFmtId="0" fontId="19" fillId="0" borderId="106" xfId="0" applyFont="1" applyBorder="1" applyAlignment="1">
      <alignment horizontal="center" vertical="center"/>
    </xf>
    <xf numFmtId="0" fontId="19" fillId="0" borderId="125" xfId="0" applyFont="1" applyBorder="1" applyAlignment="1">
      <alignment horizontal="center" vertical="center"/>
    </xf>
    <xf numFmtId="0" fontId="19" fillId="0" borderId="126" xfId="0" applyFont="1" applyBorder="1" applyAlignment="1">
      <alignment horizontal="left" vertical="center"/>
    </xf>
    <xf numFmtId="0" fontId="19" fillId="0" borderId="124" xfId="0" applyFont="1" applyBorder="1" applyAlignment="1">
      <alignment horizontal="center" vertical="center"/>
    </xf>
    <xf numFmtId="0" fontId="19" fillId="0" borderId="129" xfId="0" applyFont="1" applyBorder="1" applyAlignment="1">
      <alignment horizontal="center" vertical="center"/>
    </xf>
    <xf numFmtId="0" fontId="19" fillId="0" borderId="118" xfId="0" applyFont="1" applyBorder="1" applyAlignment="1">
      <alignment horizontal="center" vertical="center"/>
    </xf>
    <xf numFmtId="0" fontId="19" fillId="0" borderId="133" xfId="0" applyFont="1" applyBorder="1" applyAlignment="1">
      <alignment horizontal="center" vertical="center"/>
    </xf>
    <xf numFmtId="0" fontId="19" fillId="0" borderId="134" xfId="0" applyFont="1" applyBorder="1" applyAlignment="1">
      <alignment horizontal="left" vertical="center"/>
    </xf>
    <xf numFmtId="0" fontId="19" fillId="0" borderId="132" xfId="0" applyFont="1" applyBorder="1" applyAlignment="1">
      <alignment horizontal="center" vertical="center"/>
    </xf>
    <xf numFmtId="0" fontId="19" fillId="0" borderId="149" xfId="0" applyFont="1" applyBorder="1" applyAlignment="1">
      <alignment horizontal="center" vertical="center"/>
    </xf>
    <xf numFmtId="0" fontId="19" fillId="0" borderId="150" xfId="0" applyFont="1" applyBorder="1" applyAlignment="1">
      <alignment horizontal="left" vertical="center"/>
    </xf>
    <xf numFmtId="0" fontId="19" fillId="0" borderId="148" xfId="0" applyFont="1" applyBorder="1" applyAlignment="1">
      <alignment horizontal="center" vertical="center"/>
    </xf>
    <xf numFmtId="0" fontId="19" fillId="0" borderId="142" xfId="0" applyFont="1" applyBorder="1" applyAlignment="1">
      <alignment horizontal="center" vertical="center"/>
    </xf>
    <xf numFmtId="0" fontId="19" fillId="0" borderId="161" xfId="0" applyFont="1" applyBorder="1" applyAlignment="1">
      <alignment horizontal="center" vertical="center"/>
    </xf>
    <xf numFmtId="0" fontId="19" fillId="0" borderId="162" xfId="0" applyFont="1" applyBorder="1" applyAlignment="1">
      <alignment horizontal="left" vertical="center"/>
    </xf>
    <xf numFmtId="0" fontId="19" fillId="0" borderId="160" xfId="0" applyFont="1" applyBorder="1" applyAlignment="1">
      <alignment horizontal="center" vertical="center"/>
    </xf>
    <xf numFmtId="0" fontId="19" fillId="0" borderId="154" xfId="0" applyFont="1" applyBorder="1" applyAlignment="1">
      <alignment horizontal="center" vertical="center"/>
    </xf>
    <xf numFmtId="0" fontId="19" fillId="0" borderId="173" xfId="0" applyFont="1" applyBorder="1" applyAlignment="1">
      <alignment horizontal="center" vertical="center"/>
    </xf>
    <xf numFmtId="0" fontId="19" fillId="0" borderId="174" xfId="0" applyFont="1" applyBorder="1" applyAlignment="1">
      <alignment horizontal="left" vertical="center"/>
    </xf>
    <xf numFmtId="0" fontId="19" fillId="0" borderId="172" xfId="0" applyFont="1" applyBorder="1" applyAlignment="1">
      <alignment horizontal="center" vertical="center"/>
    </xf>
    <xf numFmtId="0" fontId="19" fillId="0" borderId="166" xfId="0" applyFont="1" applyBorder="1" applyAlignment="1">
      <alignment horizontal="center" vertical="center"/>
    </xf>
    <xf numFmtId="0" fontId="19" fillId="0" borderId="185" xfId="0" applyFont="1" applyBorder="1" applyAlignment="1">
      <alignment horizontal="center" vertical="center"/>
    </xf>
    <xf numFmtId="0" fontId="19" fillId="0" borderId="186" xfId="0" applyFont="1" applyBorder="1" applyAlignment="1">
      <alignment horizontal="left" vertical="center"/>
    </xf>
    <xf numFmtId="0" fontId="19" fillId="0" borderId="184" xfId="0" applyFont="1" applyBorder="1" applyAlignment="1">
      <alignment horizontal="center" vertical="center"/>
    </xf>
    <xf numFmtId="0" fontId="19" fillId="0" borderId="178" xfId="0" applyFont="1" applyBorder="1" applyAlignment="1">
      <alignment horizontal="center" vertical="center"/>
    </xf>
    <xf numFmtId="0" fontId="19" fillId="0" borderId="197" xfId="0" applyFont="1" applyBorder="1" applyAlignment="1">
      <alignment horizontal="center" vertical="center"/>
    </xf>
    <xf numFmtId="0" fontId="19" fillId="0" borderId="198" xfId="0" applyFont="1" applyBorder="1" applyAlignment="1">
      <alignment horizontal="left" vertical="center"/>
    </xf>
    <xf numFmtId="0" fontId="19" fillId="0" borderId="196" xfId="0" applyFont="1" applyBorder="1" applyAlignment="1">
      <alignment horizontal="center" vertical="center"/>
    </xf>
  </cellXfs>
  <cellStyles count="4">
    <cellStyle name="Explanatory Text" xfId="2" builtinId="53"/>
    <cellStyle name="Neutral" xfId="3" builtinId="28"/>
    <cellStyle name="Normal" xfId="0" builtinId="0"/>
    <cellStyle name="Percent" xfId="1" builtinId="5"/>
  </cellStyles>
  <dxfs count="78">
    <dxf>
      <fill>
        <patternFill patternType="solid">
          <bgColor rgb="FFFFFF00"/>
        </patternFill>
      </fill>
    </dxf>
    <dxf>
      <fill>
        <patternFill>
          <bgColor rgb="FFFFC000"/>
        </patternFill>
      </fill>
    </dxf>
    <dxf>
      <border>
        <left style="medium">
          <color indexed="64"/>
        </left>
        <right style="medium">
          <color indexed="64"/>
        </right>
        <top style="medium">
          <color indexed="64"/>
        </top>
        <bottom style="medium">
          <color indexed="64"/>
        </bottom>
      </border>
    </dxf>
    <dxf>
      <fill>
        <patternFill patternType="solid">
          <bgColor rgb="FFFFFF00"/>
        </patternFill>
      </fill>
    </dxf>
    <dxf>
      <fill>
        <patternFill>
          <bgColor rgb="FFFFC000"/>
        </patternFill>
      </fill>
    </dxf>
    <dxf>
      <border>
        <left style="medium">
          <color indexed="64"/>
        </left>
        <right style="medium">
          <color indexed="64"/>
        </right>
        <top style="medium">
          <color indexed="64"/>
        </top>
        <bottom style="medium">
          <color indexed="64"/>
        </bottom>
      </border>
    </dxf>
    <dxf>
      <fill>
        <patternFill patternType="solid">
          <bgColor rgb="FFFFFF00"/>
        </patternFill>
      </fill>
    </dxf>
    <dxf>
      <fill>
        <patternFill>
          <bgColor rgb="FFFFC000"/>
        </patternFill>
      </fill>
    </dxf>
    <dxf>
      <border>
        <left style="medium">
          <color indexed="64"/>
        </left>
        <right style="medium">
          <color indexed="64"/>
        </right>
        <top style="medium">
          <color indexed="64"/>
        </top>
        <bottom style="medium">
          <color indexed="64"/>
        </bottom>
      </border>
    </dxf>
    <dxf>
      <numFmt numFmtId="0" formatCode="General"/>
      <fill>
        <patternFill patternType="none">
          <fgColor indexed="64"/>
          <bgColor auto="1"/>
        </patternFill>
      </fill>
      <alignment horizontal="center" textRotation="0" indent="0" justifyLastLine="0" shrinkToFit="0" readingOrder="0"/>
    </dxf>
    <dxf>
      <numFmt numFmtId="0" formatCode="General"/>
      <fill>
        <patternFill patternType="none">
          <fgColor indexed="64"/>
          <bgColor auto="1"/>
        </patternFill>
      </fill>
      <alignment horizontal="center" textRotation="0" indent="0" justifyLastLine="0" shrinkToFit="0" readingOrder="0"/>
    </dxf>
    <dxf>
      <numFmt numFmtId="0" formatCode="General"/>
      <fill>
        <patternFill patternType="none">
          <fgColor indexed="64"/>
          <bgColor auto="1"/>
        </patternFill>
      </fill>
      <alignment horizontal="center" textRotation="0" indent="0" justifyLastLine="0" shrinkToFit="0" readingOrder="0"/>
    </dxf>
    <dxf>
      <numFmt numFmtId="0" formatCode="General"/>
      <fill>
        <patternFill patternType="none">
          <fgColor indexed="64"/>
          <bgColor auto="1"/>
        </patternFill>
      </fill>
      <alignment horizontal="center" textRotation="0" indent="0" justifyLastLine="0" shrinkToFit="0" readingOrder="0"/>
    </dxf>
    <dxf>
      <numFmt numFmtId="0" formatCode="General"/>
      <fill>
        <patternFill patternType="none">
          <fgColor indexed="64"/>
          <bgColor auto="1"/>
        </patternFill>
      </fill>
      <alignment horizontal="center" textRotation="0" indent="0" justifyLastLine="0" shrinkToFit="0" readingOrder="0"/>
    </dxf>
    <dxf>
      <numFmt numFmtId="0" formatCode="General"/>
      <fill>
        <patternFill patternType="none">
          <fgColor indexed="64"/>
          <bgColor auto="1"/>
        </patternFill>
      </fill>
      <alignment horizontal="center" textRotation="0" indent="0" justifyLastLine="0" shrinkToFit="0" readingOrder="0"/>
    </dxf>
    <dxf>
      <numFmt numFmtId="0" formatCode="General"/>
      <fill>
        <patternFill patternType="none">
          <fgColor indexed="64"/>
          <bgColor auto="1"/>
        </patternFill>
      </fill>
      <alignment horizontal="center" textRotation="0" indent="0" justifyLastLine="0" shrinkToFit="0" readingOrder="0"/>
      <border diagonalUp="0" diagonalDown="0">
        <left style="thin">
          <color indexed="64"/>
        </left>
        <right/>
        <top style="medium">
          <color auto="1"/>
        </top>
        <bottom style="medium">
          <color auto="1"/>
        </bottom>
        <vertical/>
        <horizontal style="medium">
          <color auto="1"/>
        </horizontal>
      </border>
    </dxf>
    <dxf>
      <font>
        <b val="0"/>
        <i val="0"/>
        <strike val="0"/>
        <condense val="0"/>
        <extend val="0"/>
        <outline val="0"/>
        <shadow val="0"/>
        <u val="none"/>
        <vertAlign val="baseline"/>
        <sz val="11"/>
        <color theme="1"/>
        <name val="Calibri"/>
        <scheme val="minor"/>
      </font>
      <numFmt numFmtId="2" formatCode="0.0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2" formatCode="0.0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2" formatCode="0.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2" formatCode="0.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2" formatCode="0.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quot;$&quot;#,##0.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4" formatCode="0.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4" formatCode="0.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4" formatCode="0.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rgb="FF0A0101"/>
        <name val="Calibri"/>
        <scheme val="minor"/>
      </font>
      <numFmt numFmtId="164" formatCode="&quot;$&quot;#,##0.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rgb="FF0A0101"/>
        <name val="Calibri"/>
        <scheme val="minor"/>
      </font>
      <numFmt numFmtId="164" formatCode="&quot;$&quot;#,##0.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rgb="FF0A0101"/>
        <name val="Calibri"/>
        <scheme val="minor"/>
      </font>
      <numFmt numFmtId="164" formatCode="&quot;$&quot;#,##0.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rgb="FF0A0101"/>
        <name val="Calibri"/>
        <scheme val="minor"/>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rgb="FF0A0101"/>
        <name val="Calibri"/>
        <scheme val="minor"/>
      </font>
      <numFmt numFmtId="0" formatCode="General"/>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rgb="FF0A0101"/>
        <name val="Calibri"/>
        <scheme val="minor"/>
      </font>
      <numFmt numFmtId="0" formatCode="General"/>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rgb="FF0A0101"/>
        <name val="Calibri"/>
        <scheme val="minor"/>
      </font>
      <numFmt numFmtId="0" formatCode="General"/>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rgb="FF0A0101"/>
        <name val="Calibri"/>
        <scheme val="minor"/>
      </font>
      <numFmt numFmtId="0" formatCode="General"/>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9"/>
        <color theme="1"/>
        <name val="Verdana"/>
        <scheme val="none"/>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theme="1"/>
        <name val="Verdana"/>
        <scheme val="none"/>
      </font>
      <fill>
        <patternFill patternType="none">
          <fgColor indexed="64"/>
          <bgColor auto="1"/>
        </patternFill>
      </fill>
      <alignment horizontal="left" vertical="center" textRotation="0" wrapText="0" indent="0" justifyLastLine="0" shrinkToFit="0" readingOrder="0"/>
    </dxf>
    <dxf>
      <border outline="0">
        <top style="medium">
          <color indexed="64"/>
        </top>
      </border>
    </dxf>
    <dxf>
      <fill>
        <patternFill patternType="none">
          <fgColor indexed="64"/>
          <bgColor auto="1"/>
        </patternFill>
      </fill>
    </dxf>
    <dxf>
      <border>
        <bottom style="medium">
          <color indexed="64"/>
        </bottom>
      </border>
    </dxf>
    <dxf>
      <font>
        <b val="0"/>
        <i val="0"/>
        <strike val="0"/>
        <condense val="0"/>
        <extend val="0"/>
        <outline val="0"/>
        <shadow val="0"/>
        <u val="none"/>
        <vertAlign val="baseline"/>
        <sz val="9"/>
        <color auto="1"/>
        <name val="Verdana"/>
        <scheme val="none"/>
      </font>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border>
    </dxf>
    <dxf>
      <border>
        <left style="medium">
          <color indexed="64"/>
        </left>
        <right style="medium">
          <color indexed="64"/>
        </right>
        <top style="medium">
          <color indexed="64"/>
        </top>
        <bottom style="medium">
          <color indexed="64"/>
        </bottom>
      </border>
    </dxf>
    <dxf>
      <fill>
        <patternFill>
          <bgColor rgb="FFFFC000"/>
        </patternFill>
      </fill>
    </dxf>
    <dxf>
      <fill>
        <patternFill patternType="solid">
          <bgColor rgb="FFFFFF00"/>
        </patternFill>
      </fill>
    </dxf>
    <dxf>
      <font>
        <color rgb="FF9C0006"/>
      </font>
      <fill>
        <patternFill patternType="solid">
          <bgColor rgb="FFFFB7B7"/>
        </patternFill>
      </fill>
    </dxf>
    <dxf>
      <font>
        <color rgb="FF0070C0"/>
      </font>
      <fill>
        <patternFill patternType="solid">
          <bgColor theme="4" tint="0.59996337778862885"/>
        </patternFill>
      </fill>
    </dxf>
    <dxf>
      <font>
        <color theme="9" tint="-0.24994659260841701"/>
      </font>
      <fill>
        <patternFill patternType="solid">
          <bgColor theme="9" tint="0.59996337778862885"/>
        </patternFill>
      </fill>
    </dxf>
    <dxf>
      <font>
        <color theme="9" tint="-0.499984740745262"/>
      </font>
      <fill>
        <patternFill>
          <bgColor theme="9" tint="0.39994506668294322"/>
        </patternFill>
      </fill>
    </dxf>
    <dxf>
      <font>
        <color rgb="FFFF0000"/>
      </font>
      <fill>
        <patternFill>
          <bgColor rgb="FFFFABAB"/>
        </patternFill>
      </fill>
    </dxf>
    <dxf>
      <font>
        <color theme="4" tint="-0.499984740745262"/>
      </font>
      <fill>
        <patternFill>
          <bgColor theme="4" tint="0.39994506668294322"/>
        </patternFill>
      </fill>
    </dxf>
    <dxf>
      <font>
        <color theme="9" tint="-0.499984740745262"/>
      </font>
      <fill>
        <patternFill>
          <bgColor theme="9" tint="0.39994506668294322"/>
        </patternFill>
      </fill>
    </dxf>
    <dxf>
      <font>
        <color rgb="FFFF0000"/>
      </font>
      <fill>
        <patternFill>
          <bgColor rgb="FFFFABAB"/>
        </patternFill>
      </fill>
    </dxf>
    <dxf>
      <font>
        <color theme="4" tint="-0.499984740745262"/>
      </font>
      <fill>
        <patternFill>
          <bgColor theme="4" tint="0.39994506668294322"/>
        </patternFill>
      </fill>
    </dxf>
    <dxf>
      <font>
        <color theme="4" tint="-0.499984740745262"/>
      </font>
      <fill>
        <patternFill>
          <bgColor theme="4" tint="0.39994506668294322"/>
        </patternFill>
      </fill>
    </dxf>
    <dxf>
      <font>
        <color rgb="FF006100"/>
      </font>
      <fill>
        <patternFill>
          <bgColor rgb="FFC6EFCE"/>
        </patternFill>
      </fill>
    </dxf>
    <dxf>
      <font>
        <color rgb="FF9C0006"/>
      </font>
      <fill>
        <patternFill>
          <bgColor rgb="FFFFC7CE"/>
        </patternFill>
      </fill>
    </dxf>
    <dxf>
      <fill>
        <patternFill>
          <bgColor theme="2" tint="-0.749961851863155"/>
        </patternFill>
      </fill>
    </dxf>
    <dxf>
      <font>
        <color auto="1"/>
      </font>
      <fill>
        <patternFill patternType="none">
          <bgColor auto="1"/>
        </patternFill>
      </fill>
    </dxf>
    <dxf>
      <fill>
        <patternFill>
          <bgColor theme="2" tint="-0.749961851863155"/>
        </patternFill>
      </fill>
    </dxf>
    <dxf>
      <fill>
        <patternFill>
          <bgColor theme="1" tint="0.24994659260841701"/>
        </patternFill>
      </fill>
    </dxf>
    <dxf>
      <font>
        <color rgb="FF9C0006"/>
      </font>
      <fill>
        <patternFill>
          <bgColor rgb="FFFFC7CE"/>
        </patternFill>
      </fill>
    </dxf>
    <dxf>
      <font>
        <color rgb="FF006100"/>
      </font>
      <fill>
        <patternFill>
          <bgColor rgb="FFC6EFCE"/>
        </patternFill>
      </fill>
    </dxf>
    <dxf>
      <font>
        <color theme="4" tint="-0.499984740745262"/>
      </font>
      <fill>
        <patternFill>
          <bgColor theme="4" tint="0.39994506668294322"/>
        </patternFill>
      </fill>
    </dxf>
    <dxf>
      <font>
        <color rgb="FF9C0006"/>
      </font>
      <fill>
        <patternFill>
          <bgColor rgb="FFFFC7CE"/>
        </patternFill>
      </fill>
    </dxf>
    <dxf>
      <font>
        <color rgb="FF006100"/>
      </font>
      <fill>
        <patternFill>
          <bgColor rgb="FFC6EFCE"/>
        </patternFill>
      </fill>
    </dxf>
    <dxf>
      <font>
        <color theme="4" tint="-0.499984740745262"/>
      </font>
      <fill>
        <patternFill>
          <bgColor theme="4" tint="0.39994506668294322"/>
        </patternFill>
      </fill>
    </dxf>
    <dxf>
      <font>
        <color rgb="FF9C0006"/>
      </font>
      <fill>
        <patternFill>
          <bgColor rgb="FFFFC7CE"/>
        </patternFill>
      </fill>
    </dxf>
    <dxf>
      <font>
        <color rgb="FF006100"/>
      </font>
      <fill>
        <patternFill>
          <bgColor rgb="FFC6EFCE"/>
        </patternFill>
      </fill>
    </dxf>
    <dxf>
      <font>
        <color theme="4" tint="-0.499984740745262"/>
      </font>
      <fill>
        <patternFill>
          <bgColor theme="4" tint="0.39994506668294322"/>
        </patternFill>
      </fill>
    </dxf>
    <dxf>
      <font>
        <color rgb="FF9C0006"/>
      </font>
      <fill>
        <patternFill>
          <bgColor rgb="FFFFC7CE"/>
        </patternFill>
      </fill>
    </dxf>
    <dxf>
      <font>
        <color rgb="FF006100"/>
      </font>
      <fill>
        <patternFill>
          <bgColor rgb="FFC6EFCE"/>
        </patternFill>
      </fill>
    </dxf>
    <dxf>
      <font>
        <color theme="4" tint="-0.499984740745262"/>
      </font>
      <fill>
        <patternFill>
          <bgColor theme="4" tint="0.39994506668294322"/>
        </patternFill>
      </fill>
    </dxf>
    <dxf>
      <font>
        <color rgb="FF9C0006"/>
      </font>
      <fill>
        <patternFill>
          <bgColor rgb="FFFFC7CE"/>
        </patternFill>
      </fill>
    </dxf>
    <dxf>
      <font>
        <color rgb="FF006100"/>
      </font>
      <fill>
        <patternFill>
          <bgColor rgb="FFC6EFCE"/>
        </patternFill>
      </fill>
    </dxf>
    <dxf>
      <font>
        <color theme="4" tint="-0.499984740745262"/>
      </font>
      <fill>
        <patternFill>
          <bgColor theme="4" tint="0.39994506668294322"/>
        </patternFill>
      </fill>
    </dxf>
    <dxf>
      <font>
        <color rgb="FF9C0006"/>
      </font>
      <fill>
        <patternFill>
          <bgColor rgb="FFFFC7CE"/>
        </patternFill>
      </fill>
    </dxf>
    <dxf>
      <font>
        <color rgb="FF006100"/>
      </font>
      <fill>
        <patternFill>
          <bgColor rgb="FFC6EFCE"/>
        </patternFill>
      </fill>
    </dxf>
    <dxf>
      <font>
        <color theme="4" tint="-0.499984740745262"/>
      </font>
      <fill>
        <patternFill>
          <bgColor theme="4" tint="0.39994506668294322"/>
        </patternFill>
      </fill>
    </dxf>
    <dxf>
      <font>
        <color theme="0"/>
      </font>
    </dxf>
    <dxf>
      <fill>
        <patternFill>
          <bgColor theme="1" tint="0.24994659260841701"/>
        </patternFill>
      </fill>
    </dxf>
  </dxfs>
  <tableStyles count="0" defaultTableStyle="TableStyleMedium2" defaultPivotStyle="PivotStyleLight16"/>
  <colors>
    <mruColors>
      <color rgb="FF0B8319"/>
      <color rgb="FFFFB7B7"/>
      <color rgb="FFFF5050"/>
      <color rgb="FFFFABAB"/>
      <color rgb="FFFF7979"/>
      <color rgb="FFFF8585"/>
      <color rgb="FFFF0000"/>
      <color rgb="FFFF4343"/>
      <color rgb="FFFFB9B9"/>
      <color rgb="FFFFBD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customXml" Target="../customXml/item1.xml"/><Relationship Id="rId7" Type="http://schemas.openxmlformats.org/officeDocument/2006/relationships/worksheet" Target="worksheets/sheet7.xml"/><Relationship Id="rId71"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haredStrings" Target="sharedStrings.xml"/><Relationship Id="rId79" Type="http://schemas.openxmlformats.org/officeDocument/2006/relationships/customXml" Target="../customXml/item4.xml"/><Relationship Id="rId5" Type="http://schemas.openxmlformats.org/officeDocument/2006/relationships/worksheet" Target="worksheets/sheet5.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styles" Target="styles.xml"/><Relationship Id="rId78"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customXml" Target="../customXml/item2.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10-EC42-11CE-9E0D-00AA006002F3}" ax:persistence="persistStreamInit" r:id="rId1"/>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3832090809922917E-2"/>
          <c:y val="2.8570406126113144E-2"/>
          <c:w val="0.96189455814009039"/>
          <c:h val="0.77941741065927006"/>
        </c:manualLayout>
      </c:layout>
      <c:areaChart>
        <c:grouping val="standard"/>
        <c:varyColors val="0"/>
        <c:ser>
          <c:idx val="3"/>
          <c:order val="2"/>
          <c:tx>
            <c:v>Upper Bound</c:v>
          </c:tx>
          <c:spPr>
            <a:solidFill>
              <a:srgbClr val="FFC000">
                <a:alpha val="60000"/>
              </a:srgbClr>
            </a:solidFill>
            <a:ln w="25400">
              <a:noFill/>
            </a:ln>
            <a:effectLst/>
          </c:spPr>
          <c:val>
            <c:numRef>
              <c:f>'Caller Portal Instructions'!$D$68:$BA$68</c:f>
              <c:numCache>
                <c:formatCode>General</c:formatCode>
                <c:ptCount val="50"/>
                <c:pt idx="0">
                  <c:v>7.1949999999999972E-2</c:v>
                </c:pt>
                <c:pt idx="1">
                  <c:v>0.13950000000000001</c:v>
                </c:pt>
                <c:pt idx="2">
                  <c:v>0.16669999999999999</c:v>
                </c:pt>
                <c:pt idx="3">
                  <c:v>7.6099999999999959E-2</c:v>
                </c:pt>
                <c:pt idx="4">
                  <c:v>0.12607999999999997</c:v>
                </c:pt>
                <c:pt idx="5">
                  <c:v>0.43479999999999996</c:v>
                </c:pt>
                <c:pt idx="6">
                  <c:v>0.51019999999999999</c:v>
                </c:pt>
                <c:pt idx="7">
                  <c:v>0.70638000000000001</c:v>
                </c:pt>
                <c:pt idx="8">
                  <c:v>0.68947999999999998</c:v>
                </c:pt>
                <c:pt idx="9">
                  <c:v>0.45450000000000002</c:v>
                </c:pt>
                <c:pt idx="10">
                  <c:v>0.12661999999999998</c:v>
                </c:pt>
                <c:pt idx="11">
                  <c:v>0.20793999999999999</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Cache>
            </c:numRef>
          </c:val>
          <c:extLst>
            <c:ext xmlns:c16="http://schemas.microsoft.com/office/drawing/2014/chart" uri="{C3380CC4-5D6E-409C-BE32-E72D297353CC}">
              <c16:uniqueId val="{00000003-3695-4993-84BB-D50852FC6C5D}"/>
            </c:ext>
          </c:extLst>
        </c:ser>
        <c:ser>
          <c:idx val="2"/>
          <c:order val="3"/>
          <c:tx>
            <c:v>Lower Bound</c:v>
          </c:tx>
          <c:spPr>
            <a:solidFill>
              <a:schemeClr val="bg1"/>
            </a:solidFill>
            <a:ln>
              <a:solidFill>
                <a:schemeClr val="accent4">
                  <a:lumMod val="40000"/>
                  <a:lumOff val="60000"/>
                </a:schemeClr>
              </a:solidFill>
            </a:ln>
            <a:effectLst/>
          </c:spPr>
          <c:val>
            <c:numRef>
              <c:f>'Caller Portal Instructions'!$D$67:$BA$67</c:f>
              <c:numCache>
                <c:formatCode>General</c:formatCode>
                <c:ptCount val="50"/>
                <c:pt idx="0">
                  <c:v>0</c:v>
                </c:pt>
                <c:pt idx="1">
                  <c:v>6.9000000000000006E-2</c:v>
                </c:pt>
                <c:pt idx="2">
                  <c:v>7.0530000000000009E-2</c:v>
                </c:pt>
                <c:pt idx="3">
                  <c:v>0</c:v>
                </c:pt>
                <c:pt idx="4">
                  <c:v>0</c:v>
                </c:pt>
                <c:pt idx="5">
                  <c:v>0.25424000000000002</c:v>
                </c:pt>
                <c:pt idx="6">
                  <c:v>0.40620000000000001</c:v>
                </c:pt>
                <c:pt idx="7">
                  <c:v>0.57845999999999997</c:v>
                </c:pt>
                <c:pt idx="8">
                  <c:v>0.57416</c:v>
                </c:pt>
                <c:pt idx="9">
                  <c:v>0.2</c:v>
                </c:pt>
                <c:pt idx="10">
                  <c:v>6.3119999999999996E-2</c:v>
                </c:pt>
                <c:pt idx="11">
                  <c:v>0.13155999999999998</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Cache>
            </c:numRef>
          </c:val>
          <c:extLst>
            <c:ext xmlns:c16="http://schemas.microsoft.com/office/drawing/2014/chart" uri="{C3380CC4-5D6E-409C-BE32-E72D297353CC}">
              <c16:uniqueId val="{00000006-3695-4993-84BB-D50852FC6C5D}"/>
            </c:ext>
          </c:extLst>
        </c:ser>
        <c:dLbls>
          <c:showLegendKey val="0"/>
          <c:showVal val="0"/>
          <c:showCatName val="0"/>
          <c:showSerName val="0"/>
          <c:showPercent val="0"/>
          <c:showBubbleSize val="0"/>
        </c:dLbls>
        <c:axId val="405338056"/>
        <c:axId val="405339624"/>
      </c:areaChart>
      <c:lineChart>
        <c:grouping val="standard"/>
        <c:varyColors val="0"/>
        <c:ser>
          <c:idx val="0"/>
          <c:order val="0"/>
          <c:tx>
            <c:v>Caller</c:v>
          </c:tx>
          <c:spPr>
            <a:ln w="25400" cap="rnd">
              <a:solidFill>
                <a:schemeClr val="accent1">
                  <a:lumMod val="75000"/>
                  <a:alpha val="30000"/>
                </a:schemeClr>
              </a:solidFill>
              <a:round/>
            </a:ln>
            <a:effectLst/>
          </c:spPr>
          <c:marker>
            <c:symbol val="circle"/>
            <c:size val="7"/>
            <c:spPr>
              <a:solidFill>
                <a:schemeClr val="accent1"/>
              </a:solidFill>
              <a:ln w="9525">
                <a:solidFill>
                  <a:schemeClr val="accent1"/>
                </a:solidFill>
              </a:ln>
              <a:effectLst/>
            </c:spPr>
          </c:marker>
          <c:cat>
            <c:numRef>
              <c:f>'Caller Portal Instructions'!$D$64:$BA$64</c:f>
              <c:numCache>
                <c:formatCode>mmm\-dd</c:formatCode>
                <c:ptCount val="50"/>
                <c:pt idx="0">
                  <c:v>43470</c:v>
                </c:pt>
                <c:pt idx="1">
                  <c:v>43477</c:v>
                </c:pt>
                <c:pt idx="2">
                  <c:v>43484</c:v>
                </c:pt>
                <c:pt idx="3">
                  <c:v>43491</c:v>
                </c:pt>
                <c:pt idx="4">
                  <c:v>43498</c:v>
                </c:pt>
                <c:pt idx="5">
                  <c:v>43505</c:v>
                </c:pt>
                <c:pt idx="6">
                  <c:v>43512</c:v>
                </c:pt>
                <c:pt idx="7">
                  <c:v>43519</c:v>
                </c:pt>
                <c:pt idx="8">
                  <c:v>43526</c:v>
                </c:pt>
                <c:pt idx="9">
                  <c:v>43533</c:v>
                </c:pt>
                <c:pt idx="10">
                  <c:v>43540</c:v>
                </c:pt>
                <c:pt idx="11">
                  <c:v>43547</c:v>
                </c:pt>
                <c:pt idx="12">
                  <c:v>43554</c:v>
                </c:pt>
                <c:pt idx="13">
                  <c:v>43561</c:v>
                </c:pt>
                <c:pt idx="14">
                  <c:v>43568</c:v>
                </c:pt>
                <c:pt idx="15">
                  <c:v>43575</c:v>
                </c:pt>
                <c:pt idx="16">
                  <c:v>43582</c:v>
                </c:pt>
                <c:pt idx="17">
                  <c:v>43589</c:v>
                </c:pt>
                <c:pt idx="18">
                  <c:v>43596</c:v>
                </c:pt>
                <c:pt idx="19">
                  <c:v>43603</c:v>
                </c:pt>
                <c:pt idx="20">
                  <c:v>43610</c:v>
                </c:pt>
                <c:pt idx="21">
                  <c:v>43617</c:v>
                </c:pt>
                <c:pt idx="22">
                  <c:v>43624</c:v>
                </c:pt>
                <c:pt idx="23">
                  <c:v>43631</c:v>
                </c:pt>
                <c:pt idx="24">
                  <c:v>43638</c:v>
                </c:pt>
                <c:pt idx="25">
                  <c:v>43645</c:v>
                </c:pt>
                <c:pt idx="26">
                  <c:v>43652</c:v>
                </c:pt>
                <c:pt idx="27">
                  <c:v>43659</c:v>
                </c:pt>
                <c:pt idx="28">
                  <c:v>43666</c:v>
                </c:pt>
                <c:pt idx="29">
                  <c:v>43673</c:v>
                </c:pt>
                <c:pt idx="30">
                  <c:v>43680</c:v>
                </c:pt>
                <c:pt idx="31">
                  <c:v>43687</c:v>
                </c:pt>
                <c:pt idx="32">
                  <c:v>43694</c:v>
                </c:pt>
                <c:pt idx="33">
                  <c:v>43701</c:v>
                </c:pt>
                <c:pt idx="34">
                  <c:v>43708</c:v>
                </c:pt>
                <c:pt idx="35">
                  <c:v>43715</c:v>
                </c:pt>
                <c:pt idx="36">
                  <c:v>43722</c:v>
                </c:pt>
                <c:pt idx="37">
                  <c:v>43729</c:v>
                </c:pt>
                <c:pt idx="38">
                  <c:v>43736</c:v>
                </c:pt>
                <c:pt idx="39">
                  <c:v>43743</c:v>
                </c:pt>
                <c:pt idx="40">
                  <c:v>43750</c:v>
                </c:pt>
                <c:pt idx="41">
                  <c:v>43757</c:v>
                </c:pt>
                <c:pt idx="42">
                  <c:v>43764</c:v>
                </c:pt>
                <c:pt idx="43">
                  <c:v>43771</c:v>
                </c:pt>
                <c:pt idx="44">
                  <c:v>43778</c:v>
                </c:pt>
                <c:pt idx="45">
                  <c:v>43785</c:v>
                </c:pt>
                <c:pt idx="46">
                  <c:v>43792</c:v>
                </c:pt>
                <c:pt idx="47">
                  <c:v>43799</c:v>
                </c:pt>
                <c:pt idx="48">
                  <c:v>43806</c:v>
                </c:pt>
                <c:pt idx="49">
                  <c:v>43813</c:v>
                </c:pt>
              </c:numCache>
            </c:numRef>
          </c:cat>
          <c:val>
            <c:numRef>
              <c:f>'Caller Portal Instructions'!$D$65:$BA$65</c:f>
              <c:numCache>
                <c:formatCode>General</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Cache>
            </c:numRef>
          </c:val>
          <c:smooth val="0"/>
          <c:extLst>
            <c:ext xmlns:c16="http://schemas.microsoft.com/office/drawing/2014/chart" uri="{C3380CC4-5D6E-409C-BE32-E72D297353CC}">
              <c16:uniqueId val="{00000000-3695-4993-84BB-D50852FC6C5D}"/>
            </c:ext>
          </c:extLst>
        </c:ser>
        <c:dLbls>
          <c:showLegendKey val="0"/>
          <c:showVal val="0"/>
          <c:showCatName val="0"/>
          <c:showSerName val="0"/>
          <c:showPercent val="0"/>
          <c:showBubbleSize val="0"/>
        </c:dLbls>
        <c:marker val="1"/>
        <c:smooth val="0"/>
        <c:axId val="405338056"/>
        <c:axId val="405339624"/>
        <c:extLst>
          <c:ext xmlns:c15="http://schemas.microsoft.com/office/drawing/2012/chart" uri="{02D57815-91ED-43cb-92C2-25804820EDAC}">
            <c15:filteredLineSeries>
              <c15:ser>
                <c:idx val="1"/>
                <c:order val="1"/>
                <c:tx>
                  <c:v>Telefund Median</c:v>
                </c:tx>
                <c:spPr>
                  <a:ln w="28575" cap="rnd">
                    <a:solidFill>
                      <a:schemeClr val="accent2">
                        <a:lumMod val="75000"/>
                        <a:alpha val="40000"/>
                      </a:schemeClr>
                    </a:solidFill>
                    <a:round/>
                  </a:ln>
                  <a:effectLst/>
                </c:spPr>
                <c:marker>
                  <c:symbol val="diamond"/>
                  <c:size val="8"/>
                  <c:spPr>
                    <a:solidFill>
                      <a:schemeClr val="accent2"/>
                    </a:solidFill>
                    <a:ln w="9525">
                      <a:solidFill>
                        <a:schemeClr val="accent2"/>
                      </a:solidFill>
                    </a:ln>
                    <a:effectLst/>
                  </c:spPr>
                </c:marker>
                <c:cat>
                  <c:numRef>
                    <c:extLst>
                      <c:ext uri="{02D57815-91ED-43cb-92C2-25804820EDAC}">
                        <c15:formulaRef>
                          <c15:sqref>'Caller Portal Instructions'!$D$64:$BA$64</c15:sqref>
                        </c15:formulaRef>
                      </c:ext>
                    </c:extLst>
                    <c:numCache>
                      <c:formatCode>mmm\-dd</c:formatCode>
                      <c:ptCount val="50"/>
                      <c:pt idx="0">
                        <c:v>43470</c:v>
                      </c:pt>
                      <c:pt idx="1">
                        <c:v>43477</c:v>
                      </c:pt>
                      <c:pt idx="2">
                        <c:v>43484</c:v>
                      </c:pt>
                      <c:pt idx="3">
                        <c:v>43491</c:v>
                      </c:pt>
                      <c:pt idx="4">
                        <c:v>43498</c:v>
                      </c:pt>
                      <c:pt idx="5">
                        <c:v>43505</c:v>
                      </c:pt>
                      <c:pt idx="6">
                        <c:v>43512</c:v>
                      </c:pt>
                      <c:pt idx="7">
                        <c:v>43519</c:v>
                      </c:pt>
                      <c:pt idx="8">
                        <c:v>43526</c:v>
                      </c:pt>
                      <c:pt idx="9">
                        <c:v>43533</c:v>
                      </c:pt>
                      <c:pt idx="10">
                        <c:v>43540</c:v>
                      </c:pt>
                      <c:pt idx="11">
                        <c:v>43547</c:v>
                      </c:pt>
                      <c:pt idx="12">
                        <c:v>43554</c:v>
                      </c:pt>
                      <c:pt idx="13">
                        <c:v>43561</c:v>
                      </c:pt>
                      <c:pt idx="14">
                        <c:v>43568</c:v>
                      </c:pt>
                      <c:pt idx="15">
                        <c:v>43575</c:v>
                      </c:pt>
                      <c:pt idx="16">
                        <c:v>43582</c:v>
                      </c:pt>
                      <c:pt idx="17">
                        <c:v>43589</c:v>
                      </c:pt>
                      <c:pt idx="18">
                        <c:v>43596</c:v>
                      </c:pt>
                      <c:pt idx="19">
                        <c:v>43603</c:v>
                      </c:pt>
                      <c:pt idx="20">
                        <c:v>43610</c:v>
                      </c:pt>
                      <c:pt idx="21">
                        <c:v>43617</c:v>
                      </c:pt>
                      <c:pt idx="22">
                        <c:v>43624</c:v>
                      </c:pt>
                      <c:pt idx="23">
                        <c:v>43631</c:v>
                      </c:pt>
                      <c:pt idx="24">
                        <c:v>43638</c:v>
                      </c:pt>
                      <c:pt idx="25">
                        <c:v>43645</c:v>
                      </c:pt>
                      <c:pt idx="26">
                        <c:v>43652</c:v>
                      </c:pt>
                      <c:pt idx="27">
                        <c:v>43659</c:v>
                      </c:pt>
                      <c:pt idx="28">
                        <c:v>43666</c:v>
                      </c:pt>
                      <c:pt idx="29">
                        <c:v>43673</c:v>
                      </c:pt>
                      <c:pt idx="30">
                        <c:v>43680</c:v>
                      </c:pt>
                      <c:pt idx="31">
                        <c:v>43687</c:v>
                      </c:pt>
                      <c:pt idx="32">
                        <c:v>43694</c:v>
                      </c:pt>
                      <c:pt idx="33">
                        <c:v>43701</c:v>
                      </c:pt>
                      <c:pt idx="34">
                        <c:v>43708</c:v>
                      </c:pt>
                      <c:pt idx="35">
                        <c:v>43715</c:v>
                      </c:pt>
                      <c:pt idx="36">
                        <c:v>43722</c:v>
                      </c:pt>
                      <c:pt idx="37">
                        <c:v>43729</c:v>
                      </c:pt>
                      <c:pt idx="38">
                        <c:v>43736</c:v>
                      </c:pt>
                      <c:pt idx="39">
                        <c:v>43743</c:v>
                      </c:pt>
                      <c:pt idx="40">
                        <c:v>43750</c:v>
                      </c:pt>
                      <c:pt idx="41">
                        <c:v>43757</c:v>
                      </c:pt>
                      <c:pt idx="42">
                        <c:v>43764</c:v>
                      </c:pt>
                      <c:pt idx="43">
                        <c:v>43771</c:v>
                      </c:pt>
                      <c:pt idx="44">
                        <c:v>43778</c:v>
                      </c:pt>
                      <c:pt idx="45">
                        <c:v>43785</c:v>
                      </c:pt>
                      <c:pt idx="46">
                        <c:v>43792</c:v>
                      </c:pt>
                      <c:pt idx="47">
                        <c:v>43799</c:v>
                      </c:pt>
                      <c:pt idx="48">
                        <c:v>43806</c:v>
                      </c:pt>
                      <c:pt idx="49">
                        <c:v>43813</c:v>
                      </c:pt>
                    </c:numCache>
                  </c:numRef>
                </c:cat>
                <c:val>
                  <c:numRef>
                    <c:extLst>
                      <c:ext uri="{02D57815-91ED-43cb-92C2-25804820EDAC}">
                        <c15:formulaRef>
                          <c15:sqref>'Caller Portal Instructions'!$D$66:$BA$66</c15:sqref>
                        </c15:formulaRef>
                      </c:ext>
                    </c:extLst>
                    <c:numCache>
                      <c:formatCode>General</c:formatCode>
                      <c:ptCount val="50"/>
                      <c:pt idx="0">
                        <c:v>3.39E-2</c:v>
                      </c:pt>
                      <c:pt idx="1">
                        <c:v>0.1038</c:v>
                      </c:pt>
                      <c:pt idx="2">
                        <c:v>0.11435000000000001</c:v>
                      </c:pt>
                      <c:pt idx="3">
                        <c:v>3.2300000000000002E-2</c:v>
                      </c:pt>
                      <c:pt idx="4">
                        <c:v>7.6899999999999996E-2</c:v>
                      </c:pt>
                      <c:pt idx="5">
                        <c:v>0.33329999999999999</c:v>
                      </c:pt>
                      <c:pt idx="6">
                        <c:v>0.44740000000000002</c:v>
                      </c:pt>
                      <c:pt idx="7">
                        <c:v>0.625</c:v>
                      </c:pt>
                      <c:pt idx="8">
                        <c:v>0.63160000000000005</c:v>
                      </c:pt>
                      <c:pt idx="9">
                        <c:v>0.30769999999999997</c:v>
                      </c:pt>
                      <c:pt idx="10">
                        <c:v>8.9549999999999991E-2</c:v>
                      </c:pt>
                      <c:pt idx="11">
                        <c:v>0.1724</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Cache>
                  </c:numRef>
                </c:val>
                <c:smooth val="0"/>
                <c:extLst>
                  <c:ext xmlns:c16="http://schemas.microsoft.com/office/drawing/2014/chart" uri="{C3380CC4-5D6E-409C-BE32-E72D297353CC}">
                    <c16:uniqueId val="{00000001-3695-4993-84BB-D50852FC6C5D}"/>
                  </c:ext>
                </c:extLst>
              </c15:ser>
            </c15:filteredLineSeries>
          </c:ext>
        </c:extLst>
      </c:lineChart>
      <c:dateAx>
        <c:axId val="405338056"/>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round/>
          </a:ln>
          <a:effectLst/>
        </c:spPr>
        <c:txPr>
          <a:bodyPr rot="-33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339624"/>
        <c:crosses val="autoZero"/>
        <c:auto val="1"/>
        <c:lblOffset val="100"/>
        <c:baseTimeUnit val="days"/>
      </c:dateAx>
      <c:valAx>
        <c:axId val="405339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338056"/>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AB$2" horiz="1" max="24" page="5" val="0"/>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2</xdr:col>
      <xdr:colOff>19049</xdr:colOff>
      <xdr:row>29</xdr:row>
      <xdr:rowOff>0</xdr:rowOff>
    </xdr:from>
    <xdr:to>
      <xdr:col>24</xdr:col>
      <xdr:colOff>514350</xdr:colOff>
      <xdr:row>47</xdr:row>
      <xdr:rowOff>47625</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1781175</xdr:colOff>
          <xdr:row>11</xdr:row>
          <xdr:rowOff>19050</xdr:rowOff>
        </xdr:from>
        <xdr:to>
          <xdr:col>27</xdr:col>
          <xdr:colOff>590550</xdr:colOff>
          <xdr:row>11</xdr:row>
          <xdr:rowOff>190500</xdr:rowOff>
        </xdr:to>
        <xdr:sp macro="" textlink="">
          <xdr:nvSpPr>
            <xdr:cNvPr id="1110" name="Scroll Bar 86" hidden="1">
              <a:extLst>
                <a:ext uri="{63B3BB69-23CF-44E3-9099-C40C66FF867C}">
                  <a14:compatExt spid="_x0000_s1110"/>
                </a:ext>
                <a:ext uri="{FF2B5EF4-FFF2-40B4-BE49-F238E27FC236}">
                  <a16:creationId xmlns:a16="http://schemas.microsoft.com/office/drawing/2014/main" id="{00000000-0008-0000-0000-00005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2</xdr:col>
      <xdr:colOff>1</xdr:colOff>
      <xdr:row>0</xdr:row>
      <xdr:rowOff>0</xdr:rowOff>
    </xdr:from>
    <xdr:to>
      <xdr:col>10</xdr:col>
      <xdr:colOff>295276</xdr:colOff>
      <xdr:row>17</xdr:row>
      <xdr:rowOff>95250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1" y="0"/>
          <a:ext cx="6343650" cy="3333750"/>
        </a:xfrm>
        <a:prstGeom prst="rect">
          <a:avLst/>
        </a:prstGeom>
        <a:solidFill>
          <a:schemeClr val="lt1"/>
        </a:solidFill>
        <a:ln w="8572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b="1" u="sng">
            <a:solidFill>
              <a:srgbClr val="FF0000"/>
            </a:solidFill>
          </a:endParaRPr>
        </a:p>
        <a:p>
          <a:r>
            <a:rPr lang="en-US" sz="1100" b="1" u="sng" baseline="0">
              <a:solidFill>
                <a:schemeClr val="tx1">
                  <a:lumMod val="95000"/>
                  <a:lumOff val="5000"/>
                </a:schemeClr>
              </a:solidFill>
              <a:effectLst/>
              <a:latin typeface="+mn-lt"/>
              <a:ea typeface="+mn-ea"/>
              <a:cs typeface="+mn-cs"/>
            </a:rPr>
            <a:t>Using CALLER Portal:</a:t>
          </a:r>
        </a:p>
        <a:p>
          <a:r>
            <a:rPr lang="en-US" sz="1100" b="0" u="none" baseline="0">
              <a:solidFill>
                <a:schemeClr val="tx1">
                  <a:lumMod val="95000"/>
                  <a:lumOff val="5000"/>
                </a:schemeClr>
              </a:solidFill>
              <a:effectLst/>
              <a:latin typeface="+mn-lt"/>
              <a:ea typeface="+mn-ea"/>
              <a:cs typeface="+mn-cs"/>
            </a:rPr>
            <a:t>Stats Color Coding:</a:t>
          </a:r>
          <a:endParaRPr lang="en-US" b="0" u="none">
            <a:solidFill>
              <a:schemeClr val="tx1">
                <a:lumMod val="95000"/>
                <a:lumOff val="5000"/>
              </a:schemeClr>
            </a:solidFill>
            <a:effectLst/>
          </a:endParaRPr>
        </a:p>
        <a:p>
          <a:r>
            <a:rPr lang="en-US" sz="1100" b="0" baseline="0">
              <a:solidFill>
                <a:schemeClr val="accent1"/>
              </a:solidFill>
              <a:effectLst/>
              <a:latin typeface="+mn-lt"/>
              <a:ea typeface="+mn-ea"/>
              <a:cs typeface="+mn-cs"/>
            </a:rPr>
            <a:t>- Blue: Performing above the middle range (by default anyone performing in the top 30%)</a:t>
          </a:r>
        </a:p>
        <a:p>
          <a:r>
            <a:rPr lang="en-US" sz="1100" b="0" baseline="0">
              <a:solidFill>
                <a:schemeClr val="accent1"/>
              </a:solidFill>
              <a:effectLst/>
              <a:latin typeface="+mn-lt"/>
              <a:ea typeface="+mn-ea"/>
              <a:cs typeface="+mn-cs"/>
            </a:rPr>
            <a:t>-</a:t>
          </a:r>
          <a:r>
            <a:rPr lang="en-US" sz="1100" b="0" baseline="0">
              <a:solidFill>
                <a:sysClr val="windowText" lastClr="000000"/>
              </a:solidFill>
              <a:effectLst/>
              <a:latin typeface="+mn-lt"/>
              <a:ea typeface="+mn-ea"/>
              <a:cs typeface="+mn-cs"/>
            </a:rPr>
            <a:t> </a:t>
          </a:r>
          <a:r>
            <a:rPr lang="en-US" sz="1100" b="0" baseline="0">
              <a:solidFill>
                <a:schemeClr val="accent6"/>
              </a:solidFill>
              <a:effectLst/>
              <a:latin typeface="+mn-lt"/>
              <a:ea typeface="+mn-ea"/>
              <a:cs typeface="+mn-cs"/>
            </a:rPr>
            <a:t>Green: Performing within the middle range</a:t>
          </a:r>
          <a:endParaRPr lang="en-US" sz="1100" b="0" baseline="0">
            <a:solidFill>
              <a:schemeClr val="accent4"/>
            </a:solidFill>
            <a:effectLst/>
            <a:latin typeface="+mn-lt"/>
            <a:ea typeface="+mn-ea"/>
            <a:cs typeface="+mn-cs"/>
          </a:endParaRPr>
        </a:p>
        <a:p>
          <a:r>
            <a:rPr lang="en-US" sz="1100" b="0" baseline="0">
              <a:solidFill>
                <a:sysClr val="windowText" lastClr="000000"/>
              </a:solidFill>
              <a:effectLst/>
              <a:latin typeface="+mn-lt"/>
              <a:ea typeface="+mn-ea"/>
              <a:cs typeface="+mn-cs"/>
            </a:rPr>
            <a:t>- </a:t>
          </a:r>
          <a:r>
            <a:rPr lang="en-US" sz="1100" b="0" baseline="0">
              <a:solidFill>
                <a:srgbClr val="FF0000"/>
              </a:solidFill>
              <a:effectLst/>
              <a:latin typeface="+mn-lt"/>
              <a:ea typeface="+mn-ea"/>
              <a:cs typeface="+mn-cs"/>
            </a:rPr>
            <a:t>Red: Performing below the middle range (by default in the bottom 30%)</a:t>
          </a:r>
        </a:p>
        <a:p>
          <a:endParaRPr lang="en-US" sz="1100" b="0" baseline="0">
            <a:solidFill>
              <a:srgbClr val="FF0000"/>
            </a:solidFill>
            <a:effectLst/>
            <a:latin typeface="+mn-lt"/>
            <a:ea typeface="+mn-ea"/>
            <a:cs typeface="+mn-cs"/>
          </a:endParaRPr>
        </a:p>
        <a:p>
          <a:r>
            <a:rPr lang="en-US" sz="1050" b="0" baseline="0">
              <a:solidFill>
                <a:sysClr val="windowText" lastClr="000000"/>
              </a:solidFill>
              <a:effectLst/>
              <a:latin typeface="+mn-lt"/>
              <a:ea typeface="+mn-ea"/>
              <a:cs typeface="+mn-cs"/>
            </a:rPr>
            <a:t>System Time Standing:</a:t>
          </a:r>
        </a:p>
        <a:p>
          <a:r>
            <a:rPr lang="en-US" sz="1050" b="0" baseline="0">
              <a:solidFill>
                <a:sysClr val="windowText" lastClr="000000"/>
              </a:solidFill>
              <a:effectLst/>
              <a:latin typeface="+mn-lt"/>
              <a:ea typeface="+mn-ea"/>
              <a:cs typeface="+mn-cs"/>
            </a:rPr>
            <a:t> - This table allows the caller to see their standing in meeting minimum system time.</a:t>
          </a:r>
        </a:p>
        <a:p>
          <a:r>
            <a:rPr lang="en-US" sz="1050" b="0" baseline="0">
              <a:solidFill>
                <a:sysClr val="windowText" lastClr="000000"/>
              </a:solidFill>
              <a:effectLst/>
              <a:latin typeface="+mn-lt"/>
              <a:ea typeface="+mn-ea"/>
              <a:cs typeface="+mn-cs"/>
            </a:rPr>
            <a:t> - The first option selects the roll of the employee by default it is set to Caller.</a:t>
          </a:r>
        </a:p>
        <a:p>
          <a:r>
            <a:rPr lang="en-US" sz="1050" b="0" baseline="0">
              <a:solidFill>
                <a:sysClr val="windowText" lastClr="000000"/>
              </a:solidFill>
              <a:effectLst/>
              <a:latin typeface="+mn-lt"/>
              <a:ea typeface="+mn-ea"/>
              <a:cs typeface="+mn-cs"/>
            </a:rPr>
            <a:t> - The second reports the expected system time for that time range given the position of the employee.</a:t>
          </a:r>
        </a:p>
        <a:p>
          <a:r>
            <a:rPr lang="en-US" sz="1050" b="0" baseline="0">
              <a:solidFill>
                <a:sysClr val="windowText" lastClr="000000"/>
              </a:solidFill>
              <a:effectLst/>
              <a:latin typeface="+mn-lt"/>
              <a:ea typeface="+mn-ea"/>
              <a:cs typeface="+mn-cs"/>
            </a:rPr>
            <a:t> - The third includes the option to reduce the expected system time due to excused absence.</a:t>
          </a:r>
        </a:p>
        <a:p>
          <a:r>
            <a:rPr lang="en-US" sz="1050" b="0" baseline="0">
              <a:solidFill>
                <a:sysClr val="windowText" lastClr="000000"/>
              </a:solidFill>
              <a:effectLst/>
              <a:latin typeface="+mn-lt"/>
              <a:ea typeface="+mn-ea"/>
              <a:cs typeface="+mn-cs"/>
            </a:rPr>
            <a:t> - The fourth reports the employee's system time given the time range. It is color coded on a red to green spectrum. Green is exceeding and Red is below.</a:t>
          </a:r>
        </a:p>
        <a:p>
          <a:endParaRPr lang="en-US" sz="1050" b="0" baseline="0">
            <a:solidFill>
              <a:sysClr val="windowText" lastClr="000000"/>
            </a:solidFill>
            <a:effectLst/>
            <a:latin typeface="+mn-lt"/>
            <a:ea typeface="+mn-ea"/>
            <a:cs typeface="+mn-cs"/>
          </a:endParaRPr>
        </a:p>
        <a:p>
          <a:r>
            <a:rPr lang="en-US" sz="1050" b="0" baseline="0">
              <a:solidFill>
                <a:sysClr val="windowText" lastClr="000000"/>
              </a:solidFill>
              <a:effectLst/>
              <a:latin typeface="+mn-lt"/>
              <a:ea typeface="+mn-ea"/>
              <a:cs typeface="+mn-cs"/>
            </a:rPr>
            <a:t>Weekly Table: Allows the caller to view performance on a week by week basis</a:t>
          </a:r>
        </a:p>
        <a:p>
          <a:r>
            <a:rPr lang="en-US" sz="1050" b="0" baseline="0">
              <a:solidFill>
                <a:sysClr val="windowText" lastClr="000000"/>
              </a:solidFill>
              <a:effectLst/>
              <a:latin typeface="+mn-lt"/>
              <a:ea typeface="+mn-ea"/>
              <a:cs typeface="+mn-cs"/>
            </a:rPr>
            <a:t>Summary Table: Allows the caller to view their overall performance over a set time period. C-Score will be slightly different if viewing a single week.</a:t>
          </a:r>
          <a:endParaRPr lang="en-US" sz="1100" b="0" baseline="0">
            <a:solidFill>
              <a:srgbClr val="FF0000"/>
            </a:solidFill>
            <a:effectLst/>
            <a:latin typeface="+mn-lt"/>
            <a:ea typeface="+mn-ea"/>
            <a:cs typeface="+mn-cs"/>
          </a:endParaRPr>
        </a:p>
      </xdr:txBody>
    </xdr:sp>
    <xdr:clientData/>
  </xdr:twoCellAnchor>
  <xdr:twoCellAnchor>
    <xdr:from>
      <xdr:col>11</xdr:col>
      <xdr:colOff>0</xdr:colOff>
      <xdr:row>0</xdr:row>
      <xdr:rowOff>0</xdr:rowOff>
    </xdr:from>
    <xdr:to>
      <xdr:col>21</xdr:col>
      <xdr:colOff>247650</xdr:colOff>
      <xdr:row>17</xdr:row>
      <xdr:rowOff>95250</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6657975" y="0"/>
          <a:ext cx="6343650" cy="3333750"/>
        </a:xfrm>
        <a:prstGeom prst="rect">
          <a:avLst/>
        </a:prstGeom>
        <a:solidFill>
          <a:schemeClr val="lt1"/>
        </a:solidFill>
        <a:ln w="8572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b="1" u="sng">
            <a:solidFill>
              <a:srgbClr val="FF0000"/>
            </a:solidFill>
          </a:endParaRPr>
        </a:p>
        <a:p>
          <a:r>
            <a:rPr lang="en-US" sz="1100" b="1" u="sng" baseline="0">
              <a:solidFill>
                <a:schemeClr val="tx1">
                  <a:lumMod val="95000"/>
                  <a:lumOff val="5000"/>
                </a:schemeClr>
              </a:solidFill>
              <a:effectLst/>
              <a:latin typeface="+mn-lt"/>
              <a:ea typeface="+mn-ea"/>
              <a:cs typeface="+mn-cs"/>
            </a:rPr>
            <a:t>Release Updates:</a:t>
          </a:r>
        </a:p>
        <a:p>
          <a:r>
            <a:rPr lang="en-US" sz="1050" b="0" u="none" baseline="0">
              <a:solidFill>
                <a:schemeClr val="tx1">
                  <a:lumMod val="95000"/>
                  <a:lumOff val="5000"/>
                </a:schemeClr>
              </a:solidFill>
              <a:effectLst/>
              <a:latin typeface="+mn-lt"/>
              <a:ea typeface="+mn-ea"/>
              <a:cs typeface="+mn-cs"/>
            </a:rPr>
            <a:t>- Replaced 4-color scheme for 3-colors with upper and lower percentile bound options</a:t>
          </a:r>
        </a:p>
        <a:p>
          <a:r>
            <a:rPr lang="en-US" sz="1050" b="0" u="none" baseline="0">
              <a:solidFill>
                <a:schemeClr val="tx1">
                  <a:lumMod val="95000"/>
                  <a:lumOff val="5000"/>
                </a:schemeClr>
              </a:solidFill>
              <a:effectLst/>
              <a:latin typeface="+mn-lt"/>
              <a:ea typeface="+mn-ea"/>
              <a:cs typeface="+mn-cs"/>
            </a:rPr>
            <a:t>- Based key indicators off of medians instead of averages</a:t>
          </a:r>
        </a:p>
        <a:p>
          <a:endParaRPr lang="en-US" sz="1050" b="0" u="none" baseline="0">
            <a:solidFill>
              <a:schemeClr val="tx1">
                <a:lumMod val="95000"/>
                <a:lumOff val="5000"/>
              </a:schemeClr>
            </a:solidFill>
            <a:effectLst/>
            <a:latin typeface="+mn-lt"/>
            <a:ea typeface="+mn-ea"/>
            <a:cs typeface="+mn-cs"/>
          </a:endParaRPr>
        </a:p>
        <a:p>
          <a:r>
            <a:rPr lang="en-US" sz="1050" b="0" u="none" baseline="0">
              <a:solidFill>
                <a:schemeClr val="tx1">
                  <a:lumMod val="95000"/>
                  <a:lumOff val="5000"/>
                </a:schemeClr>
              </a:solidFill>
              <a:effectLst/>
              <a:latin typeface="+mn-lt"/>
              <a:ea typeface="+mn-ea"/>
              <a:cs typeface="+mn-cs"/>
            </a:rPr>
            <a:t>- Created 5 tables on the Caller Portal Instructions Sheet to replace the old tables</a:t>
          </a:r>
        </a:p>
        <a:p>
          <a:r>
            <a:rPr lang="en-US" sz="1050" b="0" u="none" baseline="0">
              <a:solidFill>
                <a:schemeClr val="tx1">
                  <a:lumMod val="95000"/>
                  <a:lumOff val="5000"/>
                </a:schemeClr>
              </a:solidFill>
              <a:effectLst/>
              <a:latin typeface="+mn-lt"/>
              <a:ea typeface="+mn-ea"/>
              <a:cs typeface="+mn-cs"/>
            </a:rPr>
            <a:t>   - List references: Contains data in the drop down boxes on the right of the CALLER PORTAL chart</a:t>
          </a:r>
        </a:p>
        <a:p>
          <a:r>
            <a:rPr lang="en-US" sz="1050" b="0" u="none" baseline="0">
              <a:solidFill>
                <a:schemeClr val="tx1">
                  <a:lumMod val="95000"/>
                  <a:lumOff val="5000"/>
                </a:schemeClr>
              </a:solidFill>
              <a:effectLst/>
              <a:latin typeface="+mn-lt"/>
              <a:ea typeface="+mn-ea"/>
              <a:cs typeface="+mn-cs"/>
            </a:rPr>
            <a:t>   - Weekly Stats Table: Contains a reference table to the weekly stats in each key indicator as well as weekly C-Score, Pledge Count, Credit Card Count, Contacts, Total Amount, and System Time</a:t>
          </a:r>
        </a:p>
        <a:p>
          <a:r>
            <a:rPr lang="en-US" sz="1050" b="0" u="none" baseline="0">
              <a:solidFill>
                <a:schemeClr val="tx1">
                  <a:lumMod val="95000"/>
                  <a:lumOff val="5000"/>
                </a:schemeClr>
              </a:solidFill>
              <a:effectLst/>
              <a:latin typeface="+mn-lt"/>
              <a:ea typeface="+mn-ea"/>
              <a:cs typeface="+mn-cs"/>
            </a:rPr>
            <a:t>   - Lower Bound Table: Contains the lower bound that dynamically updates based on the drop down selection on the CALLER Portal Sheet</a:t>
          </a:r>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n-lt"/>
              <a:ea typeface="+mn-ea"/>
              <a:cs typeface="+mn-cs"/>
            </a:rPr>
            <a:t>   - Upper Bound Table: Contains the upper bound that dynamically updates based on the drop down selection on the CALLER Portal Sheet</a:t>
          </a:r>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n-lt"/>
              <a:ea typeface="+mn-ea"/>
              <a:cs typeface="+mn-cs"/>
            </a:rPr>
            <a:t>   - Chart Table: This table is the actual refernce table for the chart on the first page that dynamically updates based on stat selection and draws its values from the Caller Table on the CALLER Portal sheet and the other three data tables on the Instructions sheet.</a:t>
          </a:r>
        </a:p>
        <a:p>
          <a:pPr marL="0" marR="0" lvl="0" indent="0" defTabSz="914400" eaLnBrk="1" fontAlgn="auto" latinLnBrk="0" hangingPunct="1">
            <a:lnSpc>
              <a:spcPct val="100000"/>
            </a:lnSpc>
            <a:spcBef>
              <a:spcPts val="0"/>
            </a:spcBef>
            <a:spcAft>
              <a:spcPts val="0"/>
            </a:spcAft>
            <a:buClrTx/>
            <a:buSzTx/>
            <a:buFontTx/>
            <a:buNone/>
            <a:tabLst/>
            <a:defRPr/>
          </a:pPr>
          <a:endParaRPr lang="en-US" sz="1050">
            <a:effectLst/>
          </a:endParaRPr>
        </a:p>
        <a:p>
          <a:r>
            <a:rPr lang="en-US" sz="1050" b="0" u="none" baseline="0">
              <a:solidFill>
                <a:schemeClr val="tx1">
                  <a:lumMod val="95000"/>
                  <a:lumOff val="5000"/>
                </a:schemeClr>
              </a:solidFill>
              <a:effectLst/>
              <a:latin typeface="+mn-lt"/>
              <a:ea typeface="+mn-ea"/>
              <a:cs typeface="+mn-cs"/>
            </a:rPr>
            <a:t>- Created a single chart to replace all previous charts.</a:t>
          </a:r>
        </a:p>
        <a:p>
          <a:r>
            <a:rPr lang="en-US" sz="1050" b="0" u="none" baseline="0">
              <a:solidFill>
                <a:schemeClr val="tx1">
                  <a:lumMod val="95000"/>
                  <a:lumOff val="5000"/>
                </a:schemeClr>
              </a:solidFill>
              <a:effectLst/>
              <a:latin typeface="+mn-lt"/>
              <a:ea typeface="+mn-ea"/>
              <a:cs typeface="+mn-cs"/>
            </a:rPr>
            <a:t>   - This chart is dynamic, it updates based on the selections made in the box to the left</a:t>
          </a:r>
        </a:p>
        <a:p>
          <a:endParaRPr lang="en-US" sz="1050" b="1" u="sng" baseline="0">
            <a:solidFill>
              <a:schemeClr val="tx1">
                <a:lumMod val="95000"/>
                <a:lumOff val="5000"/>
              </a:schemeClr>
            </a:solidFill>
            <a:effectLst/>
            <a:latin typeface="+mn-lt"/>
            <a:ea typeface="+mn-ea"/>
            <a:cs typeface="+mn-cs"/>
          </a:endParaRPr>
        </a:p>
      </xdr:txBody>
    </xdr:sp>
    <xdr:clientData/>
  </xdr:twoCellAnchor>
  <mc:AlternateContent xmlns:mc="http://schemas.openxmlformats.org/markup-compatibility/2006">
    <mc:Choice xmlns:a14="http://schemas.microsoft.com/office/drawing/2010/main" Requires="a14">
      <xdr:twoCellAnchor editAs="oneCell">
        <xdr:from>
          <xdr:col>11</xdr:col>
          <xdr:colOff>38100</xdr:colOff>
          <xdr:row>0</xdr:row>
          <xdr:rowOff>47625</xdr:rowOff>
        </xdr:from>
        <xdr:to>
          <xdr:col>21</xdr:col>
          <xdr:colOff>200025</xdr:colOff>
          <xdr:row>17</xdr:row>
          <xdr:rowOff>76200</xdr:rowOff>
        </xdr:to>
        <xdr:sp macro="" textlink="">
          <xdr:nvSpPr>
            <xdr:cNvPr id="2050" name="TextBox1" hidden="1">
              <a:extLst>
                <a:ext uri="{63B3BB69-23CF-44E3-9099-C40C66FF867C}">
                  <a14:compatExt spid="_x0000_s2050"/>
                </a:ext>
                <a:ext uri="{FF2B5EF4-FFF2-40B4-BE49-F238E27FC236}">
                  <a16:creationId xmlns:a16="http://schemas.microsoft.com/office/drawing/2014/main" id="{00000000-0008-0000-0200-000002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LocksWithSheet="0"/>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telefundsup" refreshedDate="43558.629370833332" createdVersion="6" refreshedVersion="6" minRefreshableVersion="3" recordCount="169">
  <cacheSource type="worksheet">
    <worksheetSource name="OverallTable"/>
  </cacheSource>
  <cacheFields count="26">
    <cacheField name="Name" numFmtId="0">
      <sharedItems count="169">
        <s v="(Blank)"/>
        <s v="Aaron Lake"/>
        <s v="Aayat Barr "/>
        <s v="Aayush Shop "/>
        <s v="Abby Red "/>
        <s v="Abigail Mueller "/>
        <s v="Abu Darmin "/>
        <s v="Adam Briggs "/>
        <s v="Agatha Snow "/>
        <s v="Alara Bench "/>
        <s v="Alfriede Tre "/>
        <s v="Allfred Haliday "/>
        <s v="Alys Davey "/>
        <s v="Angel Cordova "/>
        <s v="Anne Ferrell "/>
        <s v="Antoinette Brandy "/>
        <s v="Anwen Robinson "/>
        <s v="Aqib Tyler "/>
        <s v="Ariyan Whitworth "/>
        <s v="Ashleigh Wu "/>
        <s v="Barbara Sparks "/>
        <s v="Bartholomew Tegi "/>
        <s v="Beau Dolden "/>
        <s v="Berndate Butler "/>
        <s v="Bianka Edin "/>
        <s v="Boris Sandu "/>
        <s v="Borys Mejia "/>
        <s v="Braydon Hampton "/>
        <s v="Breanna Hooper "/>
        <s v="Brie Poulsen "/>
        <s v="Bryn Jacobson "/>
        <s v="Cali Beck "/>
        <s v="Caol Xi "/>
        <s v="Cecily Whitting "/>
        <s v="Cerys Rosemary "/>
        <s v="Chad Bonsley "/>
        <s v="Chay Dickson "/>
        <s v="Cherie Banks "/>
        <s v="Chris Quinn "/>
        <s v="Christopher Martin "/>
        <s v="Corbin Thoat "/>
        <s v="Cynthia Walters "/>
        <s v="Deliah Newman "/>
        <s v="Denise Millar "/>
        <s v="Diego Gunn "/>
        <s v="Dorian Ramos "/>
        <s v="Eddie Reg "/>
        <s v="Eddie Rogers "/>
        <s v="Elana Delacruz "/>
        <s v="Elise Akro "/>
        <s v="Elli Owen "/>
        <s v="Emer Snow "/>
        <s v="Emery Hoggs "/>
        <s v="Flynn Olsen "/>
        <s v="Francis Lougan "/>
        <s v="Frazer Fry "/>
        <s v="Garrett Frinly "/>
        <s v="George Moran "/>
        <s v="Grayson Joymai "/>
        <s v="Gregory Jeb "/>
        <s v="Gregory Parson"/>
        <s v="Haleemah Schmitt "/>
        <s v="Harlan Gameron "/>
        <s v="Humera Humphree "/>
        <s v="Isabelle Whiton "/>
        <s v="Isha Perry "/>
        <s v="Jace Pittman "/>
        <s v="Jackson Blan "/>
        <s v="Jacob Suh "/>
        <s v="Jaol Soaps "/>
        <s v="Jasmine Le "/>
        <s v="Jason Long"/>
        <s v="Jaspal Ellis "/>
        <s v="Jenna Kerns "/>
        <s v="Jens Layson "/>
        <s v="Jim Kingser "/>
        <s v="Joel Owens "/>
        <s v="John Tree "/>
        <s v="Joseff Reeves "/>
        <s v="Joseph Tallys "/>
        <s v="Julien Peason "/>
        <s v="Julius McCayon "/>
        <s v="Juniper Kidd "/>
        <s v="Justice Kolpos "/>
        <s v="Kara Andrews "/>
        <s v="Karl Wood "/>
        <s v="Kasper Moayap "/>
        <s v="Kayden Dodsonl "/>
        <s v="Keiron Cope "/>
        <s v="Kelsey McCannon "/>
        <s v="Kenneth Choi "/>
        <s v="Kenzo Fisher "/>
        <s v="Korban McCray "/>
        <s v="Kris Olber "/>
        <s v="Kristy Creg "/>
        <s v="Kyla Dudley "/>
        <s v="Larry Lopez "/>
        <s v="Lauren Hewitt "/>
        <s v="Lauren Yapsen "/>
        <s v="Lee Waller "/>
        <s v="Leia Tolpor "/>
        <s v="Leile Contrea "/>
        <s v="Leslie Query "/>
        <s v="Liz Thoat "/>
        <s v="Loren Appleton "/>
        <s v="Lucas Ness "/>
        <s v="Macie Powell "/>
        <s v="Mack Gold "/>
        <s v="Madeline Finley "/>
        <s v="Madison Herp "/>
        <s v="Maja Thorpe "/>
        <s v="Martyna England "/>
        <s v="Mary Brown "/>
        <s v="Mason Mueller "/>
        <s v="Maud Diaz "/>
        <s v="Maximus Arty "/>
        <s v="Mehmet Brus "/>
        <s v="Melinda Ferguson "/>
        <s v="Milo Buan "/>
        <s v="Misty Olson "/>
        <s v="Moesha Herbert "/>
        <s v="Nancy Tervino "/>
        <s v="Nellie Allred "/>
        <s v="Neriah Mueller "/>
        <s v="Nettie Higgins "/>
        <s v="Nettie Paut "/>
        <s v="Nicholaa Ward "/>
        <s v="Nick Khel "/>
        <s v="Nisha Gibbons "/>
        <s v="Olga Kuat "/>
        <s v="Page Lindsay "/>
        <s v="Paul Long "/>
        <s v="Paullette Tolsto "/>
        <s v="Penelope Grese "/>
        <s v="Penny Moore "/>
        <s v="Peter Lopis "/>
        <s v="Petra Bonner "/>
        <s v="Peyton Rangel "/>
        <s v="Phil Golup "/>
        <s v="Rachelle Kuat "/>
        <s v="Rea French "/>
        <s v="Rhodri Andrews "/>
        <s v="Ricardo Fitz "/>
        <s v="Riley McNeil "/>
        <s v="Rogan Brooks "/>
        <s v="Roger Kolson "/>
        <s v="Roland Berg "/>
        <s v="Sam Pong "/>
        <s v="Samantha Hamiliton "/>
        <s v="Samuel Dayo "/>
        <s v="Shyam Boyd "/>
        <s v="Stephanie Parti "/>
        <s v="Sufyan Sanchez "/>
        <s v="Tabatha Fray "/>
        <s v="Tehya Macfarland "/>
        <s v="Teyson Jol "/>
        <s v="Thor Bosra "/>
        <s v="Tim Lonser "/>
        <s v="Tomi Wiggins "/>
        <s v="Trystan Maro "/>
        <s v="Umaia Colley "/>
        <s v="Usman Fellow "/>
        <s v="Violet Adam "/>
        <s v="Vlad Frasier "/>
        <s v="Willmer Morisson "/>
        <s v="Yusha Roman "/>
        <s v="Yuvraj Dens "/>
        <s v="Zach Yugma "/>
        <s v="Zane McArthur "/>
      </sharedItems>
    </cacheField>
    <cacheField name="Active" numFmtId="0">
      <sharedItems/>
    </cacheField>
    <cacheField name="System Time" numFmtId="0">
      <sharedItems containsSemiMixedTypes="0" containsString="0" containsNumber="1" minValue="0" maxValue="135.58399999999997"/>
    </cacheField>
    <cacheField name="Total Gifts" numFmtId="0">
      <sharedItems containsSemiMixedTypes="0" containsString="0" containsNumber="1" containsInteger="1" minValue="0" maxValue="113"/>
    </cacheField>
    <cacheField name="One-Time Gifts" numFmtId="0">
      <sharedItems containsSemiMixedTypes="0" containsString="0" containsNumber="1" containsInteger="1" minValue="0" maxValue="67"/>
    </cacheField>
    <cacheField name="Recurring Gifts" numFmtId="0">
      <sharedItems containsSemiMixedTypes="0" containsString="0" containsNumber="1" containsInteger="1" minValue="0" maxValue="16"/>
    </cacheField>
    <cacheField name="Contacts" numFmtId="1">
      <sharedItems containsSemiMixedTypes="0" containsString="0" containsNumber="1" containsInteger="1" minValue="0" maxValue="523"/>
    </cacheField>
    <cacheField name="One-Time Amount" numFmtId="164">
      <sharedItems containsSemiMixedTypes="0" containsString="0" containsNumber="1" minValue="0" maxValue="5085"/>
    </cacheField>
    <cacheField name="Recurring Amount" numFmtId="164">
      <sharedItems containsSemiMixedTypes="0" containsString="0" containsNumber="1" containsInteger="1" minValue="0" maxValue="2226"/>
    </cacheField>
    <cacheField name="Total Amount" numFmtId="164">
      <sharedItems containsSemiMixedTypes="0" containsString="0" containsNumber="1" minValue="0" maxValue="8166"/>
    </cacheField>
    <cacheField name="Participation Rate" numFmtId="10">
      <sharedItems containsMixedTypes="1" containsNumber="1" minValue="0" maxValue="0.42929292929292928"/>
    </cacheField>
    <cacheField name="Immediate Gift Rate" numFmtId="10">
      <sharedItems containsMixedTypes="1" containsNumber="1" minValue="0" maxValue="1"/>
    </cacheField>
    <cacheField name="Recurring Gift Rate" numFmtId="10">
      <sharedItems containsMixedTypes="1" containsNumber="1" minValue="0" maxValue="0.20754716981132076"/>
    </cacheField>
    <cacheField name="Immediate Amt / Hour" numFmtId="164">
      <sharedItems containsMixedTypes="1" containsNumber="1" minValue="0" maxValue="75.891676331156262"/>
    </cacheField>
    <cacheField name="Immediate Gifts / Hour" numFmtId="2">
      <sharedItems containsMixedTypes="1" containsNumber="1" minValue="0" maxValue="0.99906983153615592"/>
    </cacheField>
    <cacheField name="Recurring Gifts  / Hour" numFmtId="2">
      <sharedItems containsMixedTypes="1" containsNumber="1" minValue="0" maxValue="0.1684507128527894"/>
    </cacheField>
    <cacheField name="ContactHr" numFmtId="2">
      <sharedItems containsMixedTypes="1" containsNumber="1" minValue="0" maxValue="5.6786117381489838"/>
    </cacheField>
    <cacheField name="Calling Percentile" numFmtId="2">
      <sharedItems containsMixedTypes="1" containsNumber="1" minValue="0" maxValue="1"/>
    </cacheField>
    <cacheField name="F-Score" numFmtId="2">
      <sharedItems containsMixedTypes="1" containsNumber="1" minValue="1.2E-2" maxValue="0.87990000000000002"/>
    </cacheField>
    <cacheField name="Percent Rank PR" numFmtId="0">
      <sharedItems containsMixedTypes="1" containsNumber="1" minValue="1.2E-2" maxValue="0.98699999999999999"/>
    </cacheField>
    <cacheField name="Percent Rank IGR" numFmtId="0">
      <sharedItems containsMixedTypes="1" containsNumber="1" minValue="1.2E-2" maxValue="0.97499999999999998"/>
    </cacheField>
    <cacheField name="Percent Rank RGR" numFmtId="0">
      <sharedItems containsMixedTypes="1" containsNumber="1" minValue="1.2E-2" maxValue="0.98699999999999999"/>
    </cacheField>
    <cacheField name="Percent Rank IAH" numFmtId="0">
      <sharedItems containsMixedTypes="1" containsNumber="1" minValue="1.2E-2" maxValue="0.98699999999999999"/>
    </cacheField>
    <cacheField name="Percent Rank IGH" numFmtId="0">
      <sharedItems containsMixedTypes="1" containsNumber="1" minValue="1.2E-2" maxValue="0.98699999999999999"/>
    </cacheField>
    <cacheField name="Percent Rank RGH" numFmtId="0">
      <sharedItems containsMixedTypes="1" containsNumber="1" minValue="1.2E-2" maxValue="0.98699999999999999"/>
    </cacheField>
    <cacheField name="Blanked out Reference Name" numFmtId="0">
      <sharedItems count="366">
        <s v="(Blank)"/>
        <s v="Aaron Lake"/>
        <s v="Aayat Barr "/>
        <s v="Aayush Shop "/>
        <s v="Abby Red "/>
        <s v="Abigail Mueller "/>
        <s v="Abu Darmin "/>
        <s v="Adam Briggs "/>
        <s v="Agatha Snow "/>
        <s v="Alara Bench "/>
        <s v="Alfriede Tre "/>
        <s v="Allfred Haliday "/>
        <s v="Alys Davey "/>
        <s v="Angel Cordova "/>
        <s v="Anne Ferrell "/>
        <s v="Antoinette Brandy "/>
        <s v="Anwen Robinson "/>
        <s v="Aqib Tyler "/>
        <s v="Ariyan Whitworth "/>
        <s v="Ashleigh Wu "/>
        <s v="Barbara Sparks "/>
        <s v="Bartholomew Tegi "/>
        <s v="Beau Dolden "/>
        <s v="Berndate Butler "/>
        <s v="Bianka Edin "/>
        <s v="Boris Sandu "/>
        <s v="Borys Mejia "/>
        <s v="Braydon Hampton "/>
        <s v="Breanna Hooper "/>
        <s v="Brie Poulsen "/>
        <s v="Bryn Jacobson "/>
        <s v="Cali Beck "/>
        <s v="Caol Xi "/>
        <s v="Cecily Whitting "/>
        <s v="Cerys Rosemary "/>
        <s v="Chad Bonsley "/>
        <s v="Chay Dickson "/>
        <s v="Cherie Banks "/>
        <s v="Chris Quinn "/>
        <s v="Christopher Martin "/>
        <s v="Corbin Thoat "/>
        <s v="Cynthia Walters "/>
        <s v="Deliah Newman "/>
        <s v="Denise Millar "/>
        <s v="Diego Gunn "/>
        <s v="Dorian Ramos "/>
        <s v="Eddie Reg "/>
        <s v="Eddie Rogers "/>
        <s v="Elana Delacruz "/>
        <s v="Elise Akro "/>
        <s v="Elli Owen "/>
        <s v="Emer Snow "/>
        <s v="Emery Hoggs "/>
        <s v="Flynn Olsen "/>
        <s v="Francis Lougan "/>
        <s v="Frazer Fry "/>
        <s v="Garrett Frinly "/>
        <s v="George Moran "/>
        <s v="Grayson Joymai "/>
        <s v="Gregory Jeb "/>
        <s v="Gregory Parson"/>
        <s v="Haleemah Schmitt "/>
        <s v="Harlan Gameron "/>
        <s v="Humera Humphree "/>
        <s v="Isabelle Whiton "/>
        <s v="Isha Perry "/>
        <s v="Jace Pittman "/>
        <s v="Jackson Blan "/>
        <s v="Jacob Suh "/>
        <s v="Jaol Soaps "/>
        <s v="Jasmine Le "/>
        <s v="Jason Long"/>
        <s v="Jaspal Ellis "/>
        <s v="Jenna Kerns "/>
        <s v="Jens Layson "/>
        <s v="Jim Kingser "/>
        <s v="Joel Owens "/>
        <s v="John Tree "/>
        <s v="Joseff Reeves "/>
        <s v="Joseph Tallys "/>
        <s v="Julien Peason "/>
        <s v="Julius McCayon "/>
        <s v="Juniper Kidd "/>
        <s v="Justice Kolpos "/>
        <s v="Kara Andrews "/>
        <s v="Karl Wood "/>
        <s v="Kasper Moayap "/>
        <s v="Kayden Dodsonl "/>
        <s v="Keiron Cope "/>
        <s v="Kelsey McCannon "/>
        <s v="Kenneth Choi "/>
        <s v="Kenzo Fisher "/>
        <s v="Korban McCray "/>
        <s v="Kris Olber "/>
        <s v="Kristy Creg "/>
        <s v="Kyla Dudley "/>
        <s v="Larry Lopez "/>
        <s v="Lauren Hewitt "/>
        <s v="Lauren Yapsen "/>
        <s v="Lee Waller "/>
        <s v="Leia Tolpor "/>
        <s v="Leile Contrea "/>
        <s v="Leslie Query "/>
        <s v="Liz Thoat "/>
        <s v="Loren Appleton "/>
        <s v="Lucas Ness "/>
        <s v="Macie Powell "/>
        <s v="Mack Gold "/>
        <s v="Madeline Finley "/>
        <s v="Madison Herp "/>
        <s v="Maja Thorpe "/>
        <s v="Martyna England "/>
        <s v="Mary Brown "/>
        <s v="Mason Mueller "/>
        <s v="Maud Diaz "/>
        <s v="Maximus Arty "/>
        <s v="Mehmet Brus "/>
        <s v="Melinda Ferguson "/>
        <s v="Milo Buan "/>
        <s v="Misty Olson "/>
        <s v="Moesha Herbert "/>
        <s v="Nancy Tervino "/>
        <s v="Nellie Allred "/>
        <s v="Neriah Mueller "/>
        <s v="Nettie Higgins "/>
        <s v="Nettie Paut "/>
        <s v="Nicholaa Ward "/>
        <s v="Nick Khel "/>
        <s v="Nisha Gibbons "/>
        <s v="Olga Kuat "/>
        <s v="Page Lindsay "/>
        <s v="Paul Long "/>
        <s v="Paullette Tolsto "/>
        <s v="Penelope Grese "/>
        <s v="Penny Moore "/>
        <s v="Peter Lopis "/>
        <s v="Petra Bonner "/>
        <s v="Peyton Rangel "/>
        <s v="Phil Golup "/>
        <s v="Rachelle Kuat "/>
        <s v="Rea French "/>
        <s v="Rhodri Andrews "/>
        <s v="Ricardo Fitz "/>
        <s v="Riley McNeil "/>
        <s v="Rogan Brooks "/>
        <s v="Roger Kolson "/>
        <s v="Roland Berg "/>
        <s v="Sam Pong "/>
        <s v="Samantha Hamiliton "/>
        <s v="Samuel Dayo "/>
        <s v="Shyam Boyd "/>
        <s v="Stephanie Parti "/>
        <s v="Sufyan Sanchez "/>
        <s v="Tabatha Fray "/>
        <s v="Tehya Macfarland "/>
        <s v="Teyson Jol "/>
        <s v="Thor Bosra "/>
        <s v="Tim Lonser "/>
        <s v="Tomi Wiggins "/>
        <s v="Trystan Maro "/>
        <s v="Umaia Colley "/>
        <s v="Usman Fellow "/>
        <s v="Violet Adam "/>
        <s v="Vlad Frasier "/>
        <s v="Willmer Morisson "/>
        <s v="Yusha Roman "/>
        <s v="Yuvraj Dens "/>
        <s v="Zach Yugma "/>
        <s v="Zane McArthur "/>
        <s v="Carlee Hanson" u="1"/>
        <s v="Grace Petersen " u="1"/>
        <s v="Teagan Knechtel " u="1"/>
        <s v="Paige Smalley " u="1"/>
        <s v="Anna Gardiner " u="1"/>
        <s v="Camille Christiansen " u="1"/>
        <s v="Madelyn Christensen " u="1"/>
        <s v="Chandra Dozier " u="1"/>
        <s v="Aaron Zitting " u="1"/>
        <s v="Matthew Porter " u="1"/>
        <s v="Zach Taylor " u="1"/>
        <s v="Taylor Brooks " u="1"/>
        <s v="Warren Rosengren " u="1"/>
        <s v="Paige Smalley" u="1"/>
        <s v="Sydney Foster " u="1"/>
        <s v="Anna Gardiner" u="1"/>
        <s v="Jessica Olive " u="1"/>
        <s v="Michelle Adams " u="1"/>
        <s v="Sydney Carnahan " u="1"/>
        <s v="Ashlee Olsen " u="1"/>
        <s v="Nick Miles" u="1"/>
        <s v="Brianna Allen " u="1"/>
        <s v="Jacob Parker " u="1"/>
        <s v="Blake Andrus " u="1"/>
        <s v="Haley Andrews " u="1"/>
        <s v="Montana Shugars " u="1"/>
        <s v="Brayden Martinez " u="1"/>
        <s v="Kailee Kunz " u="1"/>
        <s v="Kade MacDonald " u="1"/>
        <s v="Spencer McMurray " u="1"/>
        <s v="Blake Andrus" u="1"/>
        <s v="Haley Andrews" u="1"/>
        <s v="Shaelyn Hill " u="1"/>
        <s v="Natalie Koon " u="1"/>
        <s v="Lance Good " u="1"/>
        <s v="Natalie Anderson " u="1"/>
        <s v="KaTrina Weyerman " u="1"/>
        <s v="Abby Owens " u="1"/>
        <s v="Savanna Hsu" u="1"/>
        <s v="Emma Huntzinger" u="1"/>
        <s v="Iwalani Kaaa " u="1"/>
        <s v="Bronte Reay " u="1"/>
        <s v="Amy Riding" u="1"/>
        <s v="Kangwon Suh" u="1"/>
        <s v="Ashley Cain " u="1"/>
        <s v="Nick Miles " u="1"/>
        <s v="Spencer McMurray" u="1"/>
        <s v="Emma Hawkes " u="1"/>
        <s v="Lexi Loveless" u="1"/>
        <s v="Megan Alvarez " u="1"/>
        <s v="Emma Huntzinger " u="1"/>
        <s v="Josh Dvorak" u="1"/>
        <s v="Alli Lanigan " u="1"/>
        <s v="Melannie Palomino " u="1"/>
        <s v="Mariah Brooks " u="1"/>
        <s v="Kenzie McEwan " u="1"/>
        <s v="Lauralee Preciado " u="1"/>
        <s v="Tanner Atkin " u="1"/>
        <s v="KangWon Suh " u="1"/>
        <s v="Smina Adhikari " u="1"/>
        <s v="Taetyn Hansen " u="1"/>
        <s v="Amber Davis " u="1"/>
        <s v="Shannon McBride " u="1"/>
        <s v="Levi Pike " u="1"/>
        <s v="Sarah Pearce " u="1"/>
        <s v="Mariah Brooks" u="1"/>
        <s v="Tanner Atkin" u="1"/>
        <s v="Amanda Koyle " u="1"/>
        <s v="Brandon Olsen " u="1"/>
        <s v="Tanner Williford " u="1"/>
        <s v="Michael Keightley " u="1"/>
        <s v="Taetyn Hansen" u="1"/>
        <s v="Amy Riding " u="1"/>
        <s v="Dallin Dvorak " u="1"/>
        <s v="Jace Hammer " u="1"/>
        <s v="Daniel Moreno " u="1"/>
        <s v="Siena Becker " u="1"/>
        <s v="Brandon Olsen" u="1"/>
        <s v="Simon Li " u="1"/>
        <s v="Kenzey Aukema " u="1"/>
        <s v="Kathryn Judd " u="1"/>
        <s v="Jaden Lindquist " u="1"/>
        <s v="Dalton Bennett" u="1"/>
        <s v="Ken Liu " u="1"/>
        <s v="Emery Thomas " u="1"/>
        <s v="Megan Wynne " u="1"/>
        <s v="Ashley Brown " u="1"/>
        <s v="Katie Petty " u="1"/>
        <s v="Savannah Hsu " u="1"/>
        <s v="Megan Cather " u="1"/>
        <s v="Jenna Kim " u="1"/>
        <s v="Stella Fragoso " u="1"/>
        <s v="Rebecca Knowles " u="1"/>
        <s v="Clayton Jenson " u="1"/>
        <s v="Allison Stephens " u="1"/>
        <s v="George Charbadze " u="1"/>
        <s v="Harmony Gailey " u="1"/>
        <s v="Teeya Lei " u="1"/>
        <s v="Joshua Dvorak " u="1"/>
        <s v="Bridger Tower " u="1"/>
        <s v="Rachel Feilbach " u="1"/>
        <s v="Hunter Thomas " u="1"/>
        <s v="Alyssa Dvorak " u="1"/>
        <s v="Maud Famina " u="1"/>
        <s v="Paige Gunderson " u="1"/>
        <s v="Austin Johnson " u="1"/>
        <s v="Scott Sais" u="1"/>
        <s v="Serin Lee " u="1"/>
        <s v="Soraya Farah " u="1"/>
        <s v="Sadie Smith " u="1"/>
        <s v="Olivia Grover " u="1"/>
        <s v="Isaiah Morgan " u="1"/>
        <s v="Jacob Wolff " u="1"/>
        <s v="Khaya Elliott " u="1"/>
        <s v="Blaine Grover " u="1"/>
        <s v="Alexia Modzelewska " u="1"/>
        <s v="Soraya Farah" u="1"/>
        <s v="Emily Kitzmiller " u="1"/>
        <s v="Heidi Dray " u="1"/>
        <s v="Blake Berkabile " u="1"/>
        <s v="Alexis Loveless " u="1"/>
        <s v="Olivia Grover" u="1"/>
        <s v="Anally Contreras " u="1"/>
        <s v="Devin Loveland" u="1"/>
        <s v="Corbyn Ploeger " u="1"/>
        <s v="Devin Dayton " u="1"/>
        <s v="Rachel Housley " u="1"/>
        <s v="Campbell Hofstetter " u="1"/>
        <s v="Chelsie VanDerwerken " u="1"/>
        <s v="Dalton Bennett " u="1"/>
        <s v="Nicholas Jones " u="1"/>
        <s v="Danny McKell " u="1"/>
        <s v="Ben Zitting " u="1"/>
        <s v="Adam Quist " u="1"/>
        <s v="Shaundra Barney " u="1"/>
        <s v="Bethany Twede " u="1"/>
        <s v="Jake Adams " u="1"/>
        <s v="Abigail Deru " u="1"/>
        <s v="Rebecca Davis " u="1"/>
        <s v="Danielle Townsend " u="1"/>
        <s v="Scott Sais " u="1"/>
        <s v="Heather Anderson " u="1"/>
        <s v="Jayne Preciado " u="1"/>
        <s v="Ada Hawkes " u="1"/>
        <s v="Allie Jones " u="1"/>
        <s v="Nicholas Cardoso " u="1"/>
        <s v="Darrick Twede " u="1"/>
        <s v="Elizabeth Cobb " u="1"/>
        <s v="Brooke Devereaux " u="1"/>
        <s v="Anna Rose Smith " u="1"/>
        <s v="Carolyn Chen " u="1"/>
        <s v="Eric Forbush " u="1"/>
        <s v="Kiana Moon " u="1"/>
        <s v="Chanel Wood " u="1"/>
        <s v="Emily Clegg" u="1"/>
        <s v="Savannah Roll " u="1"/>
        <s v="Benjamin Hepworth " u="1"/>
        <s v="John Lindsay " u="1"/>
        <s v="Carolyn Chen" u="1"/>
        <s v="Annika Ohran " u="1"/>
        <s v="Emma Franklin " u="1"/>
        <s v="Emily Clegg " u="1"/>
        <s v="Michelle Adams" u="1"/>
        <s v="Tamara Handa " u="1"/>
        <s v="Emma Franklin" u="1"/>
        <s v="McKenzie Weisler " u="1"/>
        <s v="Tiana Wrathall " u="1"/>
        <s v="Elizabeth Card " u="1"/>
        <s v="Kade MacDonald" u="1"/>
        <s v="Colleen Bird " u="1"/>
        <s v="Jonathan Charpentier " u="1"/>
        <s v="Aubrey Penrod " u="1"/>
        <s v="Hannah Weeks " u="1"/>
        <s v="Robert Lindsay " u="1"/>
        <s v="Devin Loveland " u="1"/>
        <s v="Lauren Willis " u="1"/>
        <s v="Peri Adamson " u="1"/>
        <s v="Brooke Reil " u="1"/>
        <s v="Brielle Twede " u="1"/>
        <s v="--" u="1"/>
        <s v="Nikaela Smith " u="1"/>
        <s v="Olivia Brock " u="1"/>
        <s v="Courtney Jenkins " u="1"/>
        <s v="Andres Troya " u="1"/>
        <s v="Dallin Wright " u="1"/>
        <s v="Kaitlin Steele " u="1"/>
        <s v="Megan McDonnell " u="1"/>
        <s v="Jessica Willis " u="1"/>
        <s v="Carlee Hanson " u="1"/>
        <s v="Brielle Twede" u="1"/>
        <s v="Angela Larsen " u="1"/>
        <s v="Gabby Guardia " u="1"/>
        <s v="Joshua Alvarez " u="1"/>
        <s v="Alex Jimenez " u="1"/>
        <s v="Christopher Nelson " u="1"/>
        <s v="Lindsey Austin " u="1"/>
        <s v="Justin Spencer "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69">
  <r>
    <x v="0"/>
    <b v="1"/>
    <n v="0"/>
    <n v="0"/>
    <n v="0"/>
    <n v="0"/>
    <n v="0"/>
    <n v="0"/>
    <n v="0"/>
    <n v="0"/>
    <s v=""/>
    <s v=""/>
    <s v=""/>
    <s v=""/>
    <s v=""/>
    <s v=""/>
    <s v=""/>
    <s v=""/>
    <s v=""/>
    <s v=""/>
    <s v=""/>
    <s v=""/>
    <s v=""/>
    <s v=""/>
    <s v=""/>
    <x v="0"/>
  </r>
  <r>
    <x v="1"/>
    <b v="1"/>
    <n v="0"/>
    <n v="0"/>
    <n v="0"/>
    <n v="0"/>
    <n v="0"/>
    <n v="0"/>
    <n v="0"/>
    <n v="0"/>
    <s v=""/>
    <s v=""/>
    <s v=""/>
    <s v=""/>
    <s v=""/>
    <s v=""/>
    <s v=""/>
    <s v=""/>
    <s v=""/>
    <s v=""/>
    <s v=""/>
    <s v=""/>
    <s v=""/>
    <s v=""/>
    <s v=""/>
    <x v="1"/>
  </r>
  <r>
    <x v="2"/>
    <b v="1"/>
    <n v="75.205999999999989"/>
    <n v="48"/>
    <n v="32"/>
    <n v="4"/>
    <n v="327"/>
    <n v="1480"/>
    <n v="780"/>
    <n v="2705"/>
    <n v="0.14678899082568808"/>
    <n v="0.75"/>
    <n v="8.3333333333333329E-2"/>
    <n v="30.050793819642053"/>
    <n v="0.47868521128633362"/>
    <n v="5.318724569848151E-2"/>
    <n v="4.3480573358508634"/>
    <n v="0.379"/>
    <n v="0.45960000000000006"/>
    <n v="0.111"/>
    <n v="0.74299999999999999"/>
    <n v="0.65800000000000003"/>
    <n v="0.439"/>
    <n v="0.40200000000000002"/>
    <n v="0.54800000000000004"/>
    <x v="2"/>
  </r>
  <r>
    <x v="3"/>
    <b v="1"/>
    <n v="0"/>
    <n v="0"/>
    <n v="0"/>
    <n v="0"/>
    <n v="0"/>
    <n v="0"/>
    <n v="0"/>
    <n v="0"/>
    <s v=""/>
    <s v=""/>
    <s v=""/>
    <s v=""/>
    <s v=""/>
    <s v=""/>
    <s v=""/>
    <s v=""/>
    <s v=""/>
    <s v=""/>
    <s v=""/>
    <s v=""/>
    <s v=""/>
    <s v=""/>
    <s v=""/>
    <x v="3"/>
  </r>
  <r>
    <x v="4"/>
    <b v="1"/>
    <n v="0"/>
    <n v="0"/>
    <n v="0"/>
    <n v="0"/>
    <n v="0"/>
    <n v="0"/>
    <n v="0"/>
    <n v="0"/>
    <s v=""/>
    <s v=""/>
    <s v=""/>
    <s v=""/>
    <s v=""/>
    <s v=""/>
    <s v=""/>
    <s v=""/>
    <s v=""/>
    <s v=""/>
    <s v=""/>
    <s v=""/>
    <s v=""/>
    <s v=""/>
    <s v=""/>
    <x v="4"/>
  </r>
  <r>
    <x v="5"/>
    <b v="1"/>
    <n v="0"/>
    <n v="0"/>
    <n v="0"/>
    <n v="0"/>
    <n v="0"/>
    <n v="0"/>
    <n v="0"/>
    <n v="0"/>
    <s v=""/>
    <s v=""/>
    <s v=""/>
    <s v=""/>
    <s v=""/>
    <s v=""/>
    <s v=""/>
    <s v=""/>
    <s v=""/>
    <s v=""/>
    <s v=""/>
    <s v=""/>
    <s v=""/>
    <s v=""/>
    <s v=""/>
    <x v="5"/>
  </r>
  <r>
    <x v="6"/>
    <b v="1"/>
    <n v="0"/>
    <n v="0"/>
    <n v="0"/>
    <n v="0"/>
    <n v="0"/>
    <n v="0"/>
    <n v="0"/>
    <n v="0"/>
    <s v=""/>
    <s v=""/>
    <s v=""/>
    <s v=""/>
    <s v=""/>
    <s v=""/>
    <s v=""/>
    <s v=""/>
    <s v=""/>
    <s v=""/>
    <s v=""/>
    <s v=""/>
    <s v=""/>
    <s v=""/>
    <s v=""/>
    <x v="6"/>
  </r>
  <r>
    <x v="7"/>
    <b v="1"/>
    <n v="0"/>
    <n v="0"/>
    <n v="0"/>
    <n v="0"/>
    <n v="0"/>
    <n v="0"/>
    <n v="0"/>
    <n v="0"/>
    <s v=""/>
    <s v=""/>
    <s v=""/>
    <s v=""/>
    <s v=""/>
    <s v=""/>
    <s v=""/>
    <s v=""/>
    <s v=""/>
    <s v=""/>
    <s v=""/>
    <s v=""/>
    <s v=""/>
    <s v=""/>
    <s v=""/>
    <x v="7"/>
  </r>
  <r>
    <x v="8"/>
    <b v="1"/>
    <n v="28.352000000000004"/>
    <n v="23"/>
    <n v="20"/>
    <n v="1"/>
    <n v="161"/>
    <n v="745"/>
    <n v="120"/>
    <n v="910"/>
    <n v="0.14285714285714285"/>
    <n v="0.91304347826086951"/>
    <n v="4.3478260869565216E-2"/>
    <n v="30.509311512415344"/>
    <n v="0.74068848758465"/>
    <n v="3.5270880361173811E-2"/>
    <n v="5.6786117381489838"/>
    <n v="0.65800000000000003"/>
    <n v="0.55840000000000001"/>
    <n v="9.8000000000000004E-2"/>
    <n v="0.93899999999999995"/>
    <n v="0.40200000000000002"/>
    <n v="0.45100000000000001"/>
    <n v="0.89"/>
    <n v="0.42599999999999999"/>
    <x v="8"/>
  </r>
  <r>
    <x v="9"/>
    <b v="1"/>
    <n v="110"/>
    <n v="113"/>
    <n v="61"/>
    <n v="16"/>
    <n v="523"/>
    <n v="2825"/>
    <n v="1788"/>
    <n v="6818"/>
    <n v="0.21606118546845124"/>
    <n v="0.68141592920353977"/>
    <n v="0.1415929203539823"/>
    <n v="41.936363636363637"/>
    <n v="0.7"/>
    <n v="0.14545454545454545"/>
    <n v="4.7545454545454549"/>
    <n v="0.88600000000000001"/>
    <n v="0.7360000000000001"/>
    <n v="0.56699999999999995"/>
    <n v="0.60899999999999999"/>
    <n v="0.84099999999999997"/>
    <n v="0.74299999999999999"/>
    <n v="0.85299999999999998"/>
    <n v="0.97499999999999998"/>
    <x v="9"/>
  </r>
  <r>
    <x v="10"/>
    <b v="1"/>
    <n v="0"/>
    <n v="0"/>
    <n v="0"/>
    <n v="0"/>
    <n v="0"/>
    <n v="0"/>
    <n v="0"/>
    <n v="0"/>
    <s v=""/>
    <s v=""/>
    <s v=""/>
    <s v=""/>
    <s v=""/>
    <s v=""/>
    <s v=""/>
    <s v=""/>
    <s v=""/>
    <s v=""/>
    <s v=""/>
    <s v=""/>
    <s v=""/>
    <s v=""/>
    <s v=""/>
    <x v="10"/>
  </r>
  <r>
    <x v="11"/>
    <b v="1"/>
    <n v="18.016000000000002"/>
    <n v="5"/>
    <n v="2"/>
    <n v="0"/>
    <n v="61"/>
    <n v="120"/>
    <n v="0"/>
    <n v="245"/>
    <n v="8.1967213114754092E-2"/>
    <n v="0.4"/>
    <n v="0"/>
    <n v="6.6607460035523971"/>
    <n v="0.11101243339253995"/>
    <n v="0"/>
    <n v="3.3858792184724686"/>
    <n v="1.2E-2"/>
    <n v="4.8400000000000006E-2"/>
    <n v="2.4E-2"/>
    <n v="7.2999999999999995E-2"/>
    <n v="1.2E-2"/>
    <n v="7.2999999999999995E-2"/>
    <n v="0.06"/>
    <n v="1.2E-2"/>
    <x v="11"/>
  </r>
  <r>
    <x v="12"/>
    <b v="1"/>
    <n v="0"/>
    <n v="0"/>
    <n v="0"/>
    <n v="0"/>
    <n v="0"/>
    <n v="0"/>
    <n v="0"/>
    <n v="0"/>
    <s v=""/>
    <s v=""/>
    <s v=""/>
    <s v=""/>
    <s v=""/>
    <s v=""/>
    <s v=""/>
    <s v=""/>
    <s v=""/>
    <s v=""/>
    <s v=""/>
    <s v=""/>
    <s v=""/>
    <s v=""/>
    <s v=""/>
    <x v="12"/>
  </r>
  <r>
    <x v="13"/>
    <b v="1"/>
    <n v="0"/>
    <n v="0"/>
    <n v="0"/>
    <n v="0"/>
    <n v="0"/>
    <n v="0"/>
    <n v="0"/>
    <n v="0"/>
    <s v=""/>
    <s v=""/>
    <s v=""/>
    <s v=""/>
    <s v=""/>
    <s v=""/>
    <s v=""/>
    <s v=""/>
    <s v=""/>
    <s v=""/>
    <s v=""/>
    <s v=""/>
    <s v=""/>
    <s v=""/>
    <s v=""/>
    <x v="13"/>
  </r>
  <r>
    <x v="14"/>
    <b v="1"/>
    <n v="0"/>
    <n v="0"/>
    <n v="0"/>
    <n v="0"/>
    <n v="0"/>
    <n v="0"/>
    <n v="0"/>
    <n v="0"/>
    <s v=""/>
    <s v=""/>
    <s v=""/>
    <s v=""/>
    <s v=""/>
    <s v=""/>
    <s v=""/>
    <s v=""/>
    <s v=""/>
    <s v=""/>
    <s v=""/>
    <s v=""/>
    <s v=""/>
    <s v=""/>
    <s v=""/>
    <x v="14"/>
  </r>
  <r>
    <x v="15"/>
    <b v="1"/>
    <n v="0"/>
    <n v="0"/>
    <n v="0"/>
    <n v="0"/>
    <n v="0"/>
    <n v="0"/>
    <n v="0"/>
    <n v="0"/>
    <s v=""/>
    <s v=""/>
    <s v=""/>
    <s v=""/>
    <s v=""/>
    <s v=""/>
    <s v=""/>
    <s v=""/>
    <s v=""/>
    <s v=""/>
    <s v=""/>
    <s v=""/>
    <s v=""/>
    <s v=""/>
    <s v=""/>
    <x v="15"/>
  </r>
  <r>
    <x v="16"/>
    <b v="1"/>
    <n v="7.6129999999999995"/>
    <n v="8"/>
    <n v="6"/>
    <n v="0"/>
    <n v="22"/>
    <n v="215"/>
    <n v="0"/>
    <n v="325"/>
    <n v="0.36363636363636365"/>
    <n v="0.75"/>
    <n v="0"/>
    <n v="28.241166425850519"/>
    <n v="0.7881255746748983"/>
    <n v="0"/>
    <n v="2.8897937738079604"/>
    <n v="0.72099999999999997"/>
    <n v="0.60919999999999996"/>
    <n v="0.96199999999999997"/>
    <n v="0.74299999999999999"/>
    <n v="1.2E-2"/>
    <n v="0.39"/>
    <n v="0.93899999999999995"/>
    <n v="1.2E-2"/>
    <x v="16"/>
  </r>
  <r>
    <x v="17"/>
    <b v="1"/>
    <n v="43.571999999999996"/>
    <n v="35"/>
    <n v="21"/>
    <n v="3"/>
    <n v="138"/>
    <n v="1335"/>
    <n v="340"/>
    <n v="3070"/>
    <n v="0.25362318840579712"/>
    <n v="0.68571428571428572"/>
    <n v="8.5714285714285715E-2"/>
    <n v="38.442118791884702"/>
    <n v="0.55081244836133303"/>
    <n v="6.8851556045166629E-2"/>
    <n v="3.167171578077665"/>
    <n v="0.75900000000000001"/>
    <n v="0.67230000000000001"/>
    <n v="0.79"/>
    <n v="0.63400000000000001"/>
    <n v="0.67"/>
    <n v="0.65800000000000003"/>
    <n v="0.59699999999999998"/>
    <n v="0.69499999999999995"/>
    <x v="17"/>
  </r>
  <r>
    <x v="18"/>
    <b v="1"/>
    <n v="44.151999999999994"/>
    <n v="40"/>
    <n v="22"/>
    <n v="2"/>
    <n v="214"/>
    <n v="1270"/>
    <n v="130"/>
    <n v="1890"/>
    <n v="0.18691588785046728"/>
    <n v="0.6"/>
    <n v="0.05"/>
    <n v="31.708642870085164"/>
    <n v="0.54357673491574565"/>
    <n v="4.5298061242978804E-2"/>
    <n v="4.8468925529987326"/>
    <n v="0.32900000000000001"/>
    <n v="0.44920000000000004"/>
    <n v="0.308"/>
    <n v="0.40200000000000002"/>
    <n v="0.439"/>
    <n v="0.5"/>
    <n v="0.57299999999999995"/>
    <n v="0.48699999999999999"/>
    <x v="18"/>
  </r>
  <r>
    <x v="19"/>
    <b v="1"/>
    <n v="84.315999999999988"/>
    <n v="71"/>
    <n v="49"/>
    <n v="5"/>
    <n v="344"/>
    <n v="5085"/>
    <n v="600"/>
    <n v="6835"/>
    <n v="0.20639534883720931"/>
    <n v="0.76056338028169013"/>
    <n v="7.0422535211267609E-2"/>
    <n v="67.42492528108545"/>
    <n v="0.64044783908155045"/>
    <n v="5.9300725840884298E-2"/>
    <n v="4.0798899378528395"/>
    <n v="0.83499999999999996"/>
    <n v="0.71900000000000008"/>
    <n v="0.46899999999999997"/>
    <n v="0.80400000000000005"/>
    <n v="0.60899999999999999"/>
    <n v="0.95099999999999996"/>
    <n v="0.75600000000000001"/>
    <n v="0.621"/>
    <x v="19"/>
  </r>
  <r>
    <x v="20"/>
    <b v="1"/>
    <n v="18.134"/>
    <n v="7"/>
    <n v="3"/>
    <n v="1"/>
    <n v="42"/>
    <n v="1110"/>
    <n v="120"/>
    <n v="1385"/>
    <n v="0.16666666666666666"/>
    <n v="0.5714285714285714"/>
    <n v="0.14285714285714285"/>
    <n v="67.828388662181538"/>
    <n v="0.22058012573067165"/>
    <n v="5.5145031432667913E-2"/>
    <n v="2.3160913201720525"/>
    <n v="0.36699999999999999"/>
    <n v="0.45960000000000001"/>
    <n v="0.17199999999999999"/>
    <n v="0.317"/>
    <n v="0.85299999999999998"/>
    <n v="0.97499999999999998"/>
    <n v="0.121"/>
    <n v="0.57299999999999995"/>
    <x v="20"/>
  </r>
  <r>
    <x v="21"/>
    <b v="1"/>
    <n v="7.1709999999999994"/>
    <n v="0"/>
    <n v="0"/>
    <n v="0"/>
    <n v="22"/>
    <n v="0"/>
    <n v="0"/>
    <n v="0"/>
    <n v="0"/>
    <n v="0"/>
    <n v="0"/>
    <n v="0"/>
    <n v="0"/>
    <n v="0"/>
    <n v="3.0679124250453218"/>
    <n v="0"/>
    <n v="1.2E-2"/>
    <n v="1.2E-2"/>
    <n v="1.2E-2"/>
    <n v="1.2E-2"/>
    <n v="1.2E-2"/>
    <n v="1.2E-2"/>
    <n v="1.2E-2"/>
    <x v="21"/>
  </r>
  <r>
    <x v="22"/>
    <b v="1"/>
    <n v="0"/>
    <n v="0"/>
    <n v="0"/>
    <n v="0"/>
    <n v="0"/>
    <n v="0"/>
    <n v="0"/>
    <n v="0"/>
    <s v=""/>
    <s v=""/>
    <s v=""/>
    <s v=""/>
    <s v=""/>
    <s v=""/>
    <s v=""/>
    <s v=""/>
    <s v=""/>
    <s v=""/>
    <s v=""/>
    <s v=""/>
    <s v=""/>
    <s v=""/>
    <s v=""/>
    <x v="22"/>
  </r>
  <r>
    <x v="23"/>
    <b v="1"/>
    <n v="0"/>
    <n v="0"/>
    <n v="0"/>
    <n v="0"/>
    <n v="0"/>
    <n v="0"/>
    <n v="0"/>
    <n v="0"/>
    <s v=""/>
    <s v=""/>
    <s v=""/>
    <s v=""/>
    <s v=""/>
    <s v=""/>
    <s v=""/>
    <s v=""/>
    <s v=""/>
    <s v=""/>
    <s v=""/>
    <s v=""/>
    <s v=""/>
    <s v=""/>
    <s v=""/>
    <x v="23"/>
  </r>
  <r>
    <x v="24"/>
    <b v="1"/>
    <n v="82.521000000000015"/>
    <n v="40"/>
    <n v="23"/>
    <n v="0"/>
    <n v="205"/>
    <n v="1365"/>
    <n v="0"/>
    <n v="1975"/>
    <n v="0.1951219512195122"/>
    <n v="0.57499999999999996"/>
    <n v="0"/>
    <n v="16.541244046969858"/>
    <n v="0.27871693265956538"/>
    <n v="0"/>
    <n v="2.4842161389222133"/>
    <n v="7.4999999999999997E-2"/>
    <n v="0.22240000000000001"/>
    <n v="0.35799999999999998"/>
    <n v="0.34100000000000003"/>
    <n v="1.2E-2"/>
    <n v="0.219"/>
    <n v="0.182"/>
    <n v="1.2E-2"/>
    <x v="24"/>
  </r>
  <r>
    <x v="25"/>
    <b v="1"/>
    <n v="79.381000000000014"/>
    <n v="52"/>
    <n v="39"/>
    <n v="0"/>
    <n v="289"/>
    <n v="3760"/>
    <n v="0"/>
    <n v="5185"/>
    <n v="0.17993079584775087"/>
    <n v="0.75"/>
    <n v="0"/>
    <n v="47.366498280444937"/>
    <n v="0.49130144493014694"/>
    <n v="0"/>
    <n v="3.640669681661858"/>
    <n v="0.34100000000000003"/>
    <n v="0.4536"/>
    <n v="0.246"/>
    <n v="0.74299999999999999"/>
    <n v="1.2E-2"/>
    <n v="0.84099999999999997"/>
    <n v="0.42599999999999999"/>
    <n v="1.2E-2"/>
    <x v="25"/>
  </r>
  <r>
    <x v="26"/>
    <b v="1"/>
    <n v="19.695"/>
    <n v="8"/>
    <n v="3"/>
    <n v="0"/>
    <n v="70"/>
    <n v="75"/>
    <n v="0"/>
    <n v="415"/>
    <n v="0.11428571428571428"/>
    <n v="0.375"/>
    <n v="0"/>
    <n v="3.8080731150038081"/>
    <n v="0.15232292460015232"/>
    <n v="0"/>
    <n v="3.554201574003554"/>
    <n v="2.5000000000000001E-2"/>
    <n v="5.3199999999999997E-2"/>
    <n v="6.0999999999999999E-2"/>
    <n v="0.06"/>
    <n v="1.2E-2"/>
    <n v="3.5999999999999997E-2"/>
    <n v="9.7000000000000003E-2"/>
    <n v="1.2E-2"/>
    <x v="26"/>
  </r>
  <r>
    <x v="27"/>
    <b v="1"/>
    <n v="0"/>
    <n v="0"/>
    <n v="0"/>
    <n v="0"/>
    <n v="0"/>
    <n v="0"/>
    <n v="0"/>
    <n v="0"/>
    <s v=""/>
    <s v=""/>
    <s v=""/>
    <s v=""/>
    <s v=""/>
    <s v=""/>
    <s v=""/>
    <s v=""/>
    <s v=""/>
    <s v=""/>
    <s v=""/>
    <s v=""/>
    <s v=""/>
    <s v=""/>
    <s v=""/>
    <x v="27"/>
  </r>
  <r>
    <x v="28"/>
    <b v="1"/>
    <n v="112.46900000000001"/>
    <n v="82"/>
    <n v="47"/>
    <n v="3"/>
    <n v="410"/>
    <n v="3230"/>
    <n v="240"/>
    <n v="5910"/>
    <n v="0.2"/>
    <n v="0.6097560975609756"/>
    <n v="3.6585365853658534E-2"/>
    <n v="30.852946145159997"/>
    <n v="0.44456694733659941"/>
    <n v="2.6674016840195963E-2"/>
    <n v="3.6454489681601148"/>
    <n v="0.29099999999999998"/>
    <n v="0.40530000000000005"/>
    <n v="0.37"/>
    <n v="0.45100000000000001"/>
    <n v="0.378"/>
    <n v="0.47499999999999998"/>
    <n v="0.36499999999999999"/>
    <n v="0.35299999999999998"/>
    <x v="28"/>
  </r>
  <r>
    <x v="29"/>
    <b v="1"/>
    <n v="0"/>
    <n v="0"/>
    <n v="0"/>
    <n v="0"/>
    <n v="0"/>
    <n v="0"/>
    <n v="0"/>
    <n v="0"/>
    <s v=""/>
    <s v=""/>
    <s v=""/>
    <s v=""/>
    <s v=""/>
    <s v=""/>
    <s v=""/>
    <s v=""/>
    <s v=""/>
    <s v=""/>
    <s v=""/>
    <s v=""/>
    <s v=""/>
    <s v=""/>
    <s v=""/>
    <x v="29"/>
  </r>
  <r>
    <x v="30"/>
    <b v="1"/>
    <n v="0"/>
    <n v="0"/>
    <n v="0"/>
    <n v="0"/>
    <n v="0"/>
    <n v="0"/>
    <n v="0"/>
    <n v="0"/>
    <s v=""/>
    <s v=""/>
    <s v=""/>
    <s v=""/>
    <s v=""/>
    <s v=""/>
    <s v=""/>
    <s v=""/>
    <s v=""/>
    <s v=""/>
    <s v=""/>
    <s v=""/>
    <s v=""/>
    <s v=""/>
    <s v=""/>
    <x v="30"/>
  </r>
  <r>
    <x v="31"/>
    <b v="1"/>
    <n v="0"/>
    <n v="0"/>
    <n v="0"/>
    <n v="0"/>
    <n v="0"/>
    <n v="0"/>
    <n v="0"/>
    <n v="0"/>
    <s v=""/>
    <s v=""/>
    <s v=""/>
    <s v=""/>
    <s v=""/>
    <s v=""/>
    <s v=""/>
    <s v=""/>
    <s v=""/>
    <s v=""/>
    <s v=""/>
    <s v=""/>
    <s v=""/>
    <s v=""/>
    <s v=""/>
    <x v="31"/>
  </r>
  <r>
    <x v="32"/>
    <b v="1"/>
    <n v="0"/>
    <n v="0"/>
    <n v="0"/>
    <n v="0"/>
    <n v="0"/>
    <n v="0"/>
    <n v="0"/>
    <n v="0"/>
    <s v=""/>
    <s v=""/>
    <s v=""/>
    <s v=""/>
    <s v=""/>
    <s v=""/>
    <s v=""/>
    <s v=""/>
    <s v=""/>
    <s v=""/>
    <s v=""/>
    <s v=""/>
    <s v=""/>
    <s v=""/>
    <s v=""/>
    <x v="32"/>
  </r>
  <r>
    <x v="33"/>
    <b v="1"/>
    <n v="79.388000000000005"/>
    <n v="79"/>
    <n v="32"/>
    <n v="6"/>
    <n v="338"/>
    <n v="2675.1800000000003"/>
    <n v="720"/>
    <n v="7010.18"/>
    <n v="0.23372781065088757"/>
    <n v="0.48101265822784811"/>
    <n v="7.5949367088607597E-2"/>
    <n v="42.766916914395125"/>
    <n v="0.47866176248299486"/>
    <n v="7.5578173023630776E-2"/>
    <n v="4.2575704136645331"/>
    <n v="0.59399999999999997"/>
    <n v="0.53780000000000006"/>
    <n v="0.66600000000000004"/>
    <n v="0.17"/>
    <n v="0.63400000000000001"/>
    <n v="0.76800000000000002"/>
    <n v="0.39"/>
    <n v="0.75600000000000001"/>
    <x v="33"/>
  </r>
  <r>
    <x v="34"/>
    <b v="1"/>
    <n v="93.254000000000019"/>
    <n v="97"/>
    <n v="44"/>
    <n v="5"/>
    <n v="376"/>
    <n v="3776"/>
    <n v="600"/>
    <n v="8166"/>
    <n v="0.25797872340425532"/>
    <n v="0.50515463917525771"/>
    <n v="5.1546391752577317E-2"/>
    <n v="46.925601046603887"/>
    <n v="0.52544662963518984"/>
    <n v="5.3617003023998959E-2"/>
    <n v="4.0319986274047217"/>
    <n v="0.69599999999999995"/>
    <n v="0.58450000000000002"/>
    <n v="0.82699999999999996"/>
    <n v="0.219"/>
    <n v="0.46300000000000002"/>
    <n v="0.82899999999999996"/>
    <n v="0.53600000000000003"/>
    <n v="0.56000000000000005"/>
    <x v="34"/>
  </r>
  <r>
    <x v="35"/>
    <b v="1"/>
    <n v="0"/>
    <n v="0"/>
    <n v="0"/>
    <n v="0"/>
    <n v="0"/>
    <n v="0"/>
    <n v="0"/>
    <n v="0"/>
    <s v=""/>
    <s v=""/>
    <s v=""/>
    <s v=""/>
    <s v=""/>
    <s v=""/>
    <s v=""/>
    <s v=""/>
    <s v=""/>
    <s v=""/>
    <s v=""/>
    <s v=""/>
    <s v=""/>
    <s v=""/>
    <s v=""/>
    <x v="35"/>
  </r>
  <r>
    <x v="36"/>
    <b v="1"/>
    <n v="0"/>
    <n v="0"/>
    <n v="0"/>
    <n v="0"/>
    <n v="0"/>
    <n v="0"/>
    <n v="0"/>
    <n v="0"/>
    <s v=""/>
    <s v=""/>
    <s v=""/>
    <s v=""/>
    <s v=""/>
    <s v=""/>
    <s v=""/>
    <s v=""/>
    <s v=""/>
    <s v=""/>
    <s v=""/>
    <s v=""/>
    <s v=""/>
    <s v=""/>
    <s v=""/>
    <x v="36"/>
  </r>
  <r>
    <x v="37"/>
    <b v="1"/>
    <n v="0"/>
    <n v="0"/>
    <n v="0"/>
    <n v="0"/>
    <n v="0"/>
    <n v="0"/>
    <n v="0"/>
    <n v="0"/>
    <s v=""/>
    <s v=""/>
    <s v=""/>
    <s v=""/>
    <s v=""/>
    <s v=""/>
    <s v=""/>
    <s v=""/>
    <s v=""/>
    <s v=""/>
    <s v=""/>
    <s v=""/>
    <s v=""/>
    <s v=""/>
    <s v=""/>
    <x v="37"/>
  </r>
  <r>
    <x v="38"/>
    <b v="1"/>
    <n v="17.951000000000001"/>
    <n v="16"/>
    <n v="13"/>
    <n v="1"/>
    <n v="64"/>
    <n v="455"/>
    <n v="100"/>
    <n v="700"/>
    <n v="0.25"/>
    <n v="0.875"/>
    <n v="6.25E-2"/>
    <n v="30.917497632443872"/>
    <n v="0.77990084117876435"/>
    <n v="5.5707202941340316E-2"/>
    <n v="3.5652609882457802"/>
    <n v="0.873"/>
    <n v="0.73290000000000011"/>
    <n v="0.76500000000000001"/>
    <n v="0.92600000000000005"/>
    <n v="0.53600000000000003"/>
    <n v="0.48699999999999999"/>
    <n v="0.92600000000000005"/>
    <n v="0.58499999999999996"/>
    <x v="38"/>
  </r>
  <r>
    <x v="39"/>
    <b v="1"/>
    <n v="0"/>
    <n v="0"/>
    <n v="0"/>
    <n v="0"/>
    <n v="0"/>
    <n v="0"/>
    <n v="0"/>
    <n v="0"/>
    <s v=""/>
    <s v=""/>
    <s v=""/>
    <s v=""/>
    <s v=""/>
    <s v=""/>
    <s v=""/>
    <s v=""/>
    <s v=""/>
    <s v=""/>
    <s v=""/>
    <s v=""/>
    <s v=""/>
    <s v=""/>
    <s v=""/>
    <x v="39"/>
  </r>
  <r>
    <x v="40"/>
    <b v="1"/>
    <n v="0"/>
    <n v="0"/>
    <n v="0"/>
    <n v="0"/>
    <n v="0"/>
    <n v="0"/>
    <n v="0"/>
    <n v="0"/>
    <s v=""/>
    <s v=""/>
    <s v=""/>
    <s v=""/>
    <s v=""/>
    <s v=""/>
    <s v=""/>
    <s v=""/>
    <s v=""/>
    <s v=""/>
    <s v=""/>
    <s v=""/>
    <s v=""/>
    <s v=""/>
    <s v=""/>
    <x v="40"/>
  </r>
  <r>
    <x v="41"/>
    <b v="1"/>
    <n v="0"/>
    <n v="0"/>
    <n v="0"/>
    <n v="0"/>
    <n v="0"/>
    <n v="0"/>
    <n v="0"/>
    <n v="0"/>
    <s v=""/>
    <s v=""/>
    <s v=""/>
    <s v=""/>
    <s v=""/>
    <s v=""/>
    <s v=""/>
    <s v=""/>
    <s v=""/>
    <s v=""/>
    <s v=""/>
    <s v=""/>
    <s v=""/>
    <s v=""/>
    <s v=""/>
    <x v="41"/>
  </r>
  <r>
    <x v="42"/>
    <b v="1"/>
    <n v="47.759999999999991"/>
    <n v="45"/>
    <n v="24"/>
    <n v="0"/>
    <n v="171"/>
    <n v="2145"/>
    <n v="0"/>
    <n v="4220"/>
    <n v="0.26315789473684209"/>
    <n v="0.53333333333333333"/>
    <n v="0"/>
    <n v="44.912060301507545"/>
    <n v="0.50251256281407042"/>
    <n v="0"/>
    <n v="3.580402010050252"/>
    <n v="0.39200000000000002"/>
    <n v="0.46500000000000002"/>
    <n v="0.83899999999999997"/>
    <n v="0.23100000000000001"/>
    <n v="1.2E-2"/>
    <n v="0.79200000000000004"/>
    <n v="0.45100000000000001"/>
    <n v="1.2E-2"/>
    <x v="42"/>
  </r>
  <r>
    <x v="43"/>
    <b v="1"/>
    <n v="0"/>
    <n v="0"/>
    <n v="0"/>
    <n v="0"/>
    <n v="0"/>
    <n v="0"/>
    <n v="0"/>
    <n v="0"/>
    <s v=""/>
    <s v=""/>
    <s v=""/>
    <s v=""/>
    <s v=""/>
    <s v=""/>
    <s v=""/>
    <s v=""/>
    <s v=""/>
    <s v=""/>
    <s v=""/>
    <s v=""/>
    <s v=""/>
    <s v=""/>
    <s v=""/>
    <x v="43"/>
  </r>
  <r>
    <x v="44"/>
    <b v="1"/>
    <n v="70.784000000000006"/>
    <n v="84"/>
    <n v="53"/>
    <n v="9"/>
    <n v="263"/>
    <n v="2045"/>
    <n v="2226"/>
    <n v="5306"/>
    <n v="0.3193916349809886"/>
    <n v="0.73809523809523814"/>
    <n v="0.10714285714285714"/>
    <n v="60.338494575045203"/>
    <n v="0.87590415913200714"/>
    <n v="0.12714737793851716"/>
    <n v="3.7155289330922239"/>
    <n v="1"/>
    <n v="0.87990000000000002"/>
    <n v="0.93799999999999994"/>
    <n v="0.70699999999999996"/>
    <n v="0.76800000000000002"/>
    <n v="0.92600000000000005"/>
    <n v="0.97499999999999998"/>
    <n v="0.93899999999999995"/>
    <x v="44"/>
  </r>
  <r>
    <x v="45"/>
    <b v="1"/>
    <n v="61.987000000000002"/>
    <n v="55"/>
    <n v="28"/>
    <n v="4"/>
    <n v="247"/>
    <n v="2100"/>
    <n v="420"/>
    <n v="3720"/>
    <n v="0.22267206477732793"/>
    <n v="0.58181818181818179"/>
    <n v="7.2727272727272724E-2"/>
    <n v="40.653685450175033"/>
    <n v="0.51623727555777821"/>
    <n v="6.4529659444722276E-2"/>
    <n v="3.9847064707116009"/>
    <n v="0.64500000000000002"/>
    <n v="0.55809999999999993"/>
    <n v="0.60399999999999998"/>
    <n v="0.35299999999999998"/>
    <n v="0.621"/>
    <n v="0.69499999999999995"/>
    <n v="0.48699999999999999"/>
    <n v="0.68200000000000005"/>
    <x v="45"/>
  </r>
  <r>
    <x v="46"/>
    <b v="1"/>
    <n v="0"/>
    <n v="0"/>
    <n v="0"/>
    <n v="0"/>
    <n v="0"/>
    <n v="0"/>
    <n v="0"/>
    <n v="0"/>
    <s v=""/>
    <s v=""/>
    <s v=""/>
    <s v=""/>
    <s v=""/>
    <s v=""/>
    <s v=""/>
    <s v=""/>
    <s v=""/>
    <s v=""/>
    <s v=""/>
    <s v=""/>
    <s v=""/>
    <s v=""/>
    <s v=""/>
    <x v="46"/>
  </r>
  <r>
    <x v="47"/>
    <b v="1"/>
    <n v="13.972000000000001"/>
    <n v="5"/>
    <n v="1"/>
    <n v="1"/>
    <n v="32"/>
    <n v="25"/>
    <n v="60"/>
    <n v="215"/>
    <n v="0.15625"/>
    <n v="0.4"/>
    <n v="0.2"/>
    <n v="6.0835957629544799"/>
    <n v="0.14314342971657601"/>
    <n v="7.1571714858288005E-2"/>
    <n v="2.2902948754652162"/>
    <n v="8.7999999999999995E-2"/>
    <n v="0.23660000000000003"/>
    <n v="0.14799999999999999"/>
    <n v="7.2999999999999995E-2"/>
    <n v="0.96299999999999997"/>
    <n v="4.8000000000000001E-2"/>
    <n v="7.2999999999999995E-2"/>
    <n v="0.71899999999999997"/>
    <x v="47"/>
  </r>
  <r>
    <x v="48"/>
    <b v="1"/>
    <n v="0"/>
    <n v="0"/>
    <n v="0"/>
    <n v="0"/>
    <n v="0"/>
    <n v="0"/>
    <n v="0"/>
    <n v="0"/>
    <s v=""/>
    <s v=""/>
    <s v=""/>
    <s v=""/>
    <s v=""/>
    <s v=""/>
    <s v=""/>
    <s v=""/>
    <s v=""/>
    <s v=""/>
    <s v=""/>
    <s v=""/>
    <s v=""/>
    <s v=""/>
    <s v=""/>
    <x v="48"/>
  </r>
  <r>
    <x v="49"/>
    <b v="1"/>
    <n v="0"/>
    <n v="0"/>
    <n v="0"/>
    <n v="0"/>
    <n v="0"/>
    <n v="0"/>
    <n v="0"/>
    <n v="0"/>
    <s v=""/>
    <s v=""/>
    <s v=""/>
    <s v=""/>
    <s v=""/>
    <s v=""/>
    <s v=""/>
    <s v=""/>
    <s v=""/>
    <s v=""/>
    <s v=""/>
    <s v=""/>
    <s v=""/>
    <s v=""/>
    <s v=""/>
    <x v="49"/>
  </r>
  <r>
    <x v="50"/>
    <b v="1"/>
    <n v="91.169000000000011"/>
    <n v="85"/>
    <n v="44"/>
    <n v="8"/>
    <n v="268"/>
    <n v="3070"/>
    <n v="1145"/>
    <n v="7545"/>
    <n v="0.31716417910447764"/>
    <n v="0.61176470588235299"/>
    <n v="9.4117647058823528E-2"/>
    <n v="46.232820366571964"/>
    <n v="0.57036931413089964"/>
    <n v="8.7749125250907639E-2"/>
    <n v="2.9395956959054059"/>
    <n v="0.84799999999999998"/>
    <n v="0.72380000000000011"/>
    <n v="0.92500000000000004"/>
    <n v="0.46300000000000002"/>
    <n v="0.71899999999999997"/>
    <n v="0.81699999999999995"/>
    <n v="0.64600000000000002"/>
    <n v="0.81699999999999995"/>
    <x v="50"/>
  </r>
  <r>
    <x v="51"/>
    <b v="1"/>
    <n v="0"/>
    <n v="0"/>
    <n v="0"/>
    <n v="0"/>
    <n v="0"/>
    <n v="0"/>
    <n v="0"/>
    <n v="0"/>
    <s v=""/>
    <s v=""/>
    <s v=""/>
    <s v=""/>
    <s v=""/>
    <s v=""/>
    <s v=""/>
    <s v=""/>
    <s v=""/>
    <s v=""/>
    <s v=""/>
    <s v=""/>
    <s v=""/>
    <s v=""/>
    <s v=""/>
    <x v="51"/>
  </r>
  <r>
    <x v="52"/>
    <b v="1"/>
    <n v="0"/>
    <n v="0"/>
    <n v="0"/>
    <n v="0"/>
    <n v="0"/>
    <n v="0"/>
    <n v="0"/>
    <n v="0"/>
    <s v=""/>
    <s v=""/>
    <s v=""/>
    <s v=""/>
    <s v=""/>
    <s v=""/>
    <s v=""/>
    <s v=""/>
    <s v=""/>
    <s v=""/>
    <s v=""/>
    <s v=""/>
    <s v=""/>
    <s v=""/>
    <s v=""/>
    <x v="52"/>
  </r>
  <r>
    <x v="53"/>
    <b v="1"/>
    <n v="68.532000000000011"/>
    <n v="58"/>
    <n v="38"/>
    <n v="1"/>
    <n v="288"/>
    <n v="2365"/>
    <n v="60"/>
    <n v="3405"/>
    <n v="0.2013888888888889"/>
    <n v="0.67241379310344829"/>
    <n v="1.7241379310344827E-2"/>
    <n v="35.384929667892365"/>
    <n v="0.56907721940115552"/>
    <n v="1.4591723574388605E-2"/>
    <n v="4.2024163894239184"/>
    <n v="0.46800000000000003"/>
    <n v="0.49319999999999997"/>
    <n v="0.41899999999999998"/>
    <n v="0.56000000000000005"/>
    <n v="0.26800000000000002"/>
    <n v="0.57299999999999995"/>
    <n v="0.63400000000000001"/>
    <n v="0.29199999999999998"/>
    <x v="53"/>
  </r>
  <r>
    <x v="54"/>
    <b v="1"/>
    <n v="0"/>
    <n v="0"/>
    <n v="0"/>
    <n v="0"/>
    <n v="0"/>
    <n v="0"/>
    <n v="0"/>
    <n v="0"/>
    <s v=""/>
    <s v=""/>
    <s v=""/>
    <s v=""/>
    <s v=""/>
    <s v=""/>
    <s v=""/>
    <s v=""/>
    <s v=""/>
    <s v=""/>
    <s v=""/>
    <s v=""/>
    <s v=""/>
    <s v=""/>
    <s v=""/>
    <x v="54"/>
  </r>
  <r>
    <x v="55"/>
    <b v="1"/>
    <n v="17.707000000000001"/>
    <n v="12"/>
    <n v="9"/>
    <n v="2"/>
    <n v="62"/>
    <n v="490"/>
    <n v="240"/>
    <n v="850"/>
    <n v="0.19354838709677419"/>
    <n v="0.91666666666666663"/>
    <n v="0.16666666666666666"/>
    <n v="41.226633534760261"/>
    <n v="0.62122324504433268"/>
    <n v="0.11294968091715141"/>
    <n v="3.5014401084316935"/>
    <n v="0.86"/>
    <n v="0.72840000000000005"/>
    <n v="0.33300000000000002"/>
    <n v="0.95099999999999996"/>
    <n v="0.92600000000000005"/>
    <n v="0.70699999999999996"/>
    <n v="0.73099999999999998"/>
    <n v="0.91400000000000003"/>
    <x v="55"/>
  </r>
  <r>
    <x v="56"/>
    <b v="1"/>
    <n v="32.664000000000009"/>
    <n v="19"/>
    <n v="9"/>
    <n v="0"/>
    <n v="49"/>
    <n v="300"/>
    <n v="0"/>
    <n v="1795"/>
    <n v="0.38775510204081631"/>
    <n v="0.47368421052631576"/>
    <n v="0"/>
    <n v="9.1844232182218928"/>
    <n v="0.2755326965466568"/>
    <n v="0"/>
    <n v="1.5001224589762425"/>
    <n v="0.16400000000000001"/>
    <n v="0.28239999999999998"/>
    <n v="0.97499999999999998"/>
    <n v="0.13400000000000001"/>
    <n v="1.2E-2"/>
    <n v="0.121"/>
    <n v="0.17"/>
    <n v="1.2E-2"/>
    <x v="56"/>
  </r>
  <r>
    <x v="57"/>
    <b v="1"/>
    <n v="79.524000000000001"/>
    <n v="86"/>
    <n v="51"/>
    <n v="5"/>
    <n v="356"/>
    <n v="4375"/>
    <n v="840"/>
    <n v="7085"/>
    <n v="0.24157303370786518"/>
    <n v="0.65116279069767447"/>
    <n v="5.8139534883720929E-2"/>
    <n v="65.577687239072475"/>
    <n v="0.70418993008399977"/>
    <n v="6.2874100900357124E-2"/>
    <n v="4.4766359841054273"/>
    <n v="0.82199999999999995"/>
    <n v="0.71839999999999993"/>
    <n v="0.69099999999999995"/>
    <n v="0.51200000000000001"/>
    <n v="0.5"/>
    <n v="0.93899999999999995"/>
    <n v="0.86499999999999999"/>
    <n v="0.67"/>
    <x v="57"/>
  </r>
  <r>
    <x v="58"/>
    <b v="1"/>
    <n v="2.5000000000000001E-2"/>
    <n v="0"/>
    <n v="0"/>
    <n v="0"/>
    <n v="0"/>
    <n v="0"/>
    <n v="0"/>
    <n v="0"/>
    <s v=""/>
    <n v="0"/>
    <n v="0"/>
    <n v="0"/>
    <n v="0"/>
    <n v="0"/>
    <n v="0"/>
    <s v=""/>
    <s v=""/>
    <s v=""/>
    <n v="1.2E-2"/>
    <n v="1.2E-2"/>
    <n v="1.2E-2"/>
    <n v="1.2E-2"/>
    <n v="1.2E-2"/>
    <x v="58"/>
  </r>
  <r>
    <x v="59"/>
    <b v="1"/>
    <n v="0"/>
    <n v="0"/>
    <n v="0"/>
    <n v="0"/>
    <n v="0"/>
    <n v="0"/>
    <n v="0"/>
    <n v="0"/>
    <s v=""/>
    <s v=""/>
    <s v=""/>
    <s v=""/>
    <s v=""/>
    <s v=""/>
    <s v=""/>
    <s v=""/>
    <s v=""/>
    <s v=""/>
    <s v=""/>
    <s v=""/>
    <s v=""/>
    <s v=""/>
    <s v=""/>
    <x v="59"/>
  </r>
  <r>
    <x v="60"/>
    <b v="1"/>
    <n v="0"/>
    <n v="0"/>
    <n v="0"/>
    <n v="0"/>
    <n v="0"/>
    <n v="0"/>
    <n v="0"/>
    <n v="0"/>
    <s v=""/>
    <s v=""/>
    <s v=""/>
    <s v=""/>
    <s v=""/>
    <s v=""/>
    <s v=""/>
    <s v=""/>
    <s v=""/>
    <s v=""/>
    <s v=""/>
    <s v=""/>
    <s v=""/>
    <s v=""/>
    <s v=""/>
    <x v="60"/>
  </r>
  <r>
    <x v="61"/>
    <b v="1"/>
    <n v="0"/>
    <n v="0"/>
    <n v="0"/>
    <n v="0"/>
    <n v="0"/>
    <n v="0"/>
    <n v="0"/>
    <n v="0"/>
    <s v=""/>
    <s v=""/>
    <s v=""/>
    <s v=""/>
    <s v=""/>
    <s v=""/>
    <s v=""/>
    <s v=""/>
    <s v=""/>
    <s v=""/>
    <s v=""/>
    <s v=""/>
    <s v=""/>
    <s v=""/>
    <s v=""/>
    <x v="61"/>
  </r>
  <r>
    <x v="62"/>
    <b v="1"/>
    <n v="82.992999999999995"/>
    <n v="39"/>
    <n v="13"/>
    <n v="8"/>
    <n v="212"/>
    <n v="690"/>
    <n v="910"/>
    <n v="2750"/>
    <n v="0.18396226415094338"/>
    <n v="0.53846153846153844"/>
    <n v="0.20512820512820512"/>
    <n v="19.278734351089852"/>
    <n v="0.25303338835805433"/>
    <n v="9.6393671755449259E-2"/>
    <n v="2.5544323015194053"/>
    <n v="0.253"/>
    <n v="0.36699999999999999"/>
    <n v="0.28299999999999997"/>
    <n v="0.24299999999999999"/>
    <n v="0.97499999999999998"/>
    <n v="0.24299999999999999"/>
    <n v="0.14599999999999999"/>
    <n v="0.86499999999999999"/>
    <x v="62"/>
  </r>
  <r>
    <x v="63"/>
    <b v="1"/>
    <n v="0"/>
    <n v="0"/>
    <n v="0"/>
    <n v="0"/>
    <n v="0"/>
    <n v="0"/>
    <n v="0"/>
    <n v="0"/>
    <s v=""/>
    <s v=""/>
    <s v=""/>
    <s v=""/>
    <s v=""/>
    <s v=""/>
    <s v=""/>
    <s v=""/>
    <s v=""/>
    <s v=""/>
    <s v=""/>
    <s v=""/>
    <s v=""/>
    <s v=""/>
    <s v=""/>
    <x v="63"/>
  </r>
  <r>
    <x v="64"/>
    <b v="1"/>
    <n v="0"/>
    <n v="0"/>
    <n v="0"/>
    <n v="0"/>
    <n v="0"/>
    <n v="0"/>
    <n v="0"/>
    <n v="0"/>
    <s v=""/>
    <s v=""/>
    <s v=""/>
    <s v=""/>
    <s v=""/>
    <s v=""/>
    <s v=""/>
    <s v=""/>
    <s v=""/>
    <s v=""/>
    <s v=""/>
    <s v=""/>
    <s v=""/>
    <s v=""/>
    <s v=""/>
    <x v="64"/>
  </r>
  <r>
    <x v="65"/>
    <b v="1"/>
    <n v="0"/>
    <n v="0"/>
    <n v="0"/>
    <n v="0"/>
    <n v="0"/>
    <n v="0"/>
    <n v="0"/>
    <n v="0"/>
    <s v=""/>
    <s v=""/>
    <s v=""/>
    <s v=""/>
    <s v=""/>
    <s v=""/>
    <s v=""/>
    <s v=""/>
    <s v=""/>
    <s v=""/>
    <s v=""/>
    <s v=""/>
    <s v=""/>
    <s v=""/>
    <s v=""/>
    <x v="65"/>
  </r>
  <r>
    <x v="66"/>
    <b v="1"/>
    <n v="54.641999999999996"/>
    <n v="50"/>
    <n v="32"/>
    <n v="4"/>
    <n v="224"/>
    <n v="1715"/>
    <n v="580"/>
    <n v="3892"/>
    <n v="0.22321428571428573"/>
    <n v="0.72"/>
    <n v="0.08"/>
    <n v="42.000658833864065"/>
    <n v="0.65883386406061273"/>
    <n v="7.3203762673401424E-2"/>
    <n v="4.0994107097104795"/>
    <n v="0.78400000000000003"/>
    <n v="0.70590000000000008"/>
    <n v="0.61699999999999999"/>
    <n v="0.65800000000000003"/>
    <n v="0.64600000000000002"/>
    <n v="0.75600000000000001"/>
    <n v="0.80400000000000005"/>
    <n v="0.74299999999999999"/>
    <x v="66"/>
  </r>
  <r>
    <x v="67"/>
    <b v="1"/>
    <n v="50.656999999999996"/>
    <n v="49"/>
    <n v="27"/>
    <n v="2"/>
    <n v="209"/>
    <n v="970"/>
    <n v="240"/>
    <n v="2165"/>
    <n v="0.23444976076555024"/>
    <n v="0.59183673469387754"/>
    <n v="4.0816326530612242E-2"/>
    <n v="23.886136170716782"/>
    <n v="0.57247764376098076"/>
    <n v="3.9481216811102122E-2"/>
    <n v="4.1257871567601718"/>
    <n v="0.45500000000000002"/>
    <n v="0.49170000000000008"/>
    <n v="0.67900000000000005"/>
    <n v="0.378"/>
    <n v="0.39"/>
    <n v="0.32900000000000001"/>
    <n v="0.65800000000000003"/>
    <n v="0.439"/>
    <x v="67"/>
  </r>
  <r>
    <x v="68"/>
    <b v="1"/>
    <n v="0"/>
    <n v="0"/>
    <n v="0"/>
    <n v="0"/>
    <n v="0"/>
    <n v="0"/>
    <n v="0"/>
    <n v="0"/>
    <s v=""/>
    <s v=""/>
    <s v=""/>
    <s v=""/>
    <s v=""/>
    <s v=""/>
    <s v=""/>
    <s v=""/>
    <s v=""/>
    <s v=""/>
    <s v=""/>
    <s v=""/>
    <s v=""/>
    <s v=""/>
    <s v=""/>
    <x v="68"/>
  </r>
  <r>
    <x v="69"/>
    <b v="1"/>
    <n v="58.054000000000002"/>
    <n v="85"/>
    <n v="50"/>
    <n v="8"/>
    <n v="198"/>
    <n v="2160"/>
    <n v="900"/>
    <n v="4665"/>
    <n v="0.42929292929292928"/>
    <n v="0.68235294117647061"/>
    <n v="9.4117647058823528E-2"/>
    <n v="52.709546284493747"/>
    <n v="0.99906983153615592"/>
    <n v="0.13780273538429738"/>
    <n v="3.4106177007613598"/>
    <n v="0.98699999999999999"/>
    <n v="0.85780000000000012"/>
    <n v="0.98699999999999999"/>
    <n v="0.621"/>
    <n v="0.71899999999999997"/>
    <n v="0.85299999999999998"/>
    <n v="0.98699999999999999"/>
    <n v="0.96299999999999997"/>
    <x v="69"/>
  </r>
  <r>
    <x v="70"/>
    <b v="1"/>
    <n v="28.366"/>
    <n v="28"/>
    <n v="20"/>
    <n v="3"/>
    <n v="139"/>
    <n v="865"/>
    <n v="420"/>
    <n v="1525"/>
    <n v="0.20143884892086331"/>
    <n v="0.8214285714285714"/>
    <n v="0.10714285714285714"/>
    <n v="45.300712120143835"/>
    <n v="0.81082986674187407"/>
    <n v="0.10576041740111401"/>
    <n v="4.9002326729182828"/>
    <n v="0.94899999999999995"/>
    <n v="0.77620000000000011"/>
    <n v="0.432"/>
    <n v="0.86499999999999999"/>
    <n v="0.76800000000000002"/>
    <n v="0.80400000000000005"/>
    <n v="0.95099999999999996"/>
    <n v="0.89"/>
    <x v="70"/>
  </r>
  <r>
    <x v="71"/>
    <b v="1"/>
    <n v="0"/>
    <n v="0"/>
    <n v="0"/>
    <n v="0"/>
    <n v="0"/>
    <n v="0"/>
    <n v="0"/>
    <n v="0"/>
    <s v=""/>
    <s v=""/>
    <s v=""/>
    <s v=""/>
    <s v=""/>
    <s v=""/>
    <s v=""/>
    <s v=""/>
    <s v=""/>
    <s v=""/>
    <s v=""/>
    <s v=""/>
    <s v=""/>
    <s v=""/>
    <s v=""/>
    <x v="71"/>
  </r>
  <r>
    <x v="72"/>
    <b v="1"/>
    <n v="0"/>
    <n v="0"/>
    <n v="0"/>
    <n v="0"/>
    <n v="0"/>
    <n v="0"/>
    <n v="0"/>
    <n v="0"/>
    <s v=""/>
    <s v=""/>
    <s v=""/>
    <s v=""/>
    <s v=""/>
    <s v=""/>
    <s v=""/>
    <s v=""/>
    <s v=""/>
    <s v=""/>
    <s v=""/>
    <s v=""/>
    <s v=""/>
    <s v=""/>
    <s v=""/>
    <x v="72"/>
  </r>
  <r>
    <x v="73"/>
    <b v="1"/>
    <n v="12.817"/>
    <n v="9"/>
    <n v="4"/>
    <n v="0"/>
    <n v="33"/>
    <n v="115"/>
    <n v="0"/>
    <n v="175"/>
    <n v="0.27272727272727271"/>
    <n v="0.44444444444444442"/>
    <n v="0"/>
    <n v="8.9724584536162908"/>
    <n v="0.31208551143013186"/>
    <n v="0"/>
    <n v="2.5747054692985878"/>
    <n v="0.126"/>
    <n v="0.26480000000000004"/>
    <n v="0.85099999999999998"/>
    <n v="0.109"/>
    <n v="1.2E-2"/>
    <n v="0.109"/>
    <n v="0.24299999999999999"/>
    <n v="1.2E-2"/>
    <x v="73"/>
  </r>
  <r>
    <x v="74"/>
    <b v="1"/>
    <n v="21.243000000000002"/>
    <n v="18"/>
    <n v="11"/>
    <n v="1"/>
    <n v="74"/>
    <n v="335"/>
    <n v="120"/>
    <n v="570"/>
    <n v="0.24324324324324326"/>
    <n v="0.66666666666666663"/>
    <n v="5.5555555555555552E-2"/>
    <n v="21.418820317280986"/>
    <n v="0.56489196441180622"/>
    <n v="4.7074330367650519E-2"/>
    <n v="3.4835004472061382"/>
    <n v="0.56899999999999995"/>
    <n v="0.53050000000000008"/>
    <n v="0.71599999999999997"/>
    <n v="0.53600000000000003"/>
    <n v="0.47499999999999998"/>
    <n v="0.29199999999999998"/>
    <n v="0.621"/>
    <n v="0.5"/>
    <x v="74"/>
  </r>
  <r>
    <x v="75"/>
    <b v="1"/>
    <n v="135.58399999999997"/>
    <n v="70"/>
    <n v="41"/>
    <n v="0"/>
    <n v="289"/>
    <n v="2990"/>
    <n v="0"/>
    <n v="6125"/>
    <n v="0.24221453287197231"/>
    <n v="0.58571428571428574"/>
    <n v="0"/>
    <n v="22.052749586971917"/>
    <n v="0.30239556289827713"/>
    <n v="0"/>
    <n v="2.1315199433561487"/>
    <n v="0.22700000000000001"/>
    <n v="0.3206"/>
    <n v="0.70299999999999996"/>
    <n v="0.36499999999999999"/>
    <n v="1.2E-2"/>
    <n v="0.30399999999999999"/>
    <n v="0.219"/>
    <n v="1.2E-2"/>
    <x v="75"/>
  </r>
  <r>
    <x v="76"/>
    <b v="1"/>
    <n v="17.042999999999999"/>
    <n v="7"/>
    <n v="6"/>
    <n v="1"/>
    <n v="40"/>
    <n v="85"/>
    <n v="60"/>
    <n v="145"/>
    <n v="0.17499999999999999"/>
    <n v="1"/>
    <n v="0.14285714285714285"/>
    <n v="8.5078918030863111"/>
    <n v="0.41072581118347712"/>
    <n v="5.8675115883353869E-2"/>
    <n v="2.3470046353341547"/>
    <n v="0.41699999999999998"/>
    <n v="0.4708"/>
    <n v="0.222"/>
    <n v="0.97499999999999998"/>
    <n v="0.85299999999999998"/>
    <n v="9.7000000000000003E-2"/>
    <n v="0.32900000000000001"/>
    <n v="0.60899999999999999"/>
    <x v="76"/>
  </r>
  <r>
    <x v="77"/>
    <b v="1"/>
    <n v="0"/>
    <n v="0"/>
    <n v="0"/>
    <n v="0"/>
    <n v="0"/>
    <n v="0"/>
    <n v="0"/>
    <n v="0"/>
    <s v=""/>
    <s v=""/>
    <s v=""/>
    <s v=""/>
    <s v=""/>
    <s v=""/>
    <s v=""/>
    <s v=""/>
    <s v=""/>
    <s v=""/>
    <s v=""/>
    <s v=""/>
    <s v=""/>
    <s v=""/>
    <s v=""/>
    <x v="77"/>
  </r>
  <r>
    <x v="78"/>
    <b v="1"/>
    <n v="50.27"/>
    <n v="60"/>
    <n v="30"/>
    <n v="4"/>
    <n v="201"/>
    <n v="970"/>
    <n v="730"/>
    <n v="3810"/>
    <n v="0.29850746268656714"/>
    <n v="0.56666666666666665"/>
    <n v="6.6666666666666666E-2"/>
    <n v="33.817386114979108"/>
    <n v="0.67634772229958218"/>
    <n v="7.9570320270539077E-2"/>
    <n v="3.998408593594589"/>
    <n v="0.746"/>
    <n v="0.65020000000000011"/>
    <n v="0.88800000000000001"/>
    <n v="0.29199999999999998"/>
    <n v="0.56000000000000005"/>
    <n v="0.56000000000000005"/>
    <n v="0.84099999999999997"/>
    <n v="0.78"/>
    <x v="78"/>
  </r>
  <r>
    <x v="79"/>
    <b v="1"/>
    <n v="0"/>
    <n v="0"/>
    <n v="0"/>
    <n v="0"/>
    <n v="0"/>
    <n v="0"/>
    <n v="0"/>
    <n v="0"/>
    <s v=""/>
    <s v=""/>
    <s v=""/>
    <s v=""/>
    <s v=""/>
    <s v=""/>
    <s v=""/>
    <s v=""/>
    <s v=""/>
    <s v=""/>
    <s v=""/>
    <s v=""/>
    <s v=""/>
    <s v=""/>
    <s v=""/>
    <x v="79"/>
  </r>
  <r>
    <x v="80"/>
    <b v="1"/>
    <n v="0"/>
    <n v="0"/>
    <n v="0"/>
    <n v="0"/>
    <n v="0"/>
    <n v="0"/>
    <n v="0"/>
    <n v="0"/>
    <s v=""/>
    <s v=""/>
    <s v=""/>
    <s v=""/>
    <s v=""/>
    <s v=""/>
    <s v=""/>
    <s v=""/>
    <s v=""/>
    <s v=""/>
    <s v=""/>
    <s v=""/>
    <s v=""/>
    <s v=""/>
    <s v=""/>
    <x v="80"/>
  </r>
  <r>
    <x v="81"/>
    <b v="1"/>
    <n v="0"/>
    <n v="0"/>
    <n v="0"/>
    <n v="0"/>
    <n v="0"/>
    <n v="0"/>
    <n v="0"/>
    <n v="0"/>
    <s v=""/>
    <s v=""/>
    <s v=""/>
    <s v=""/>
    <s v=""/>
    <s v=""/>
    <s v=""/>
    <s v=""/>
    <s v=""/>
    <s v=""/>
    <s v=""/>
    <s v=""/>
    <s v=""/>
    <s v=""/>
    <s v=""/>
    <x v="81"/>
  </r>
  <r>
    <x v="82"/>
    <b v="1"/>
    <n v="0"/>
    <n v="0"/>
    <n v="0"/>
    <n v="0"/>
    <n v="0"/>
    <n v="0"/>
    <n v="0"/>
    <n v="0"/>
    <s v=""/>
    <s v=""/>
    <s v=""/>
    <s v=""/>
    <s v=""/>
    <s v=""/>
    <s v=""/>
    <s v=""/>
    <s v=""/>
    <s v=""/>
    <s v=""/>
    <s v=""/>
    <s v=""/>
    <s v=""/>
    <s v=""/>
    <x v="82"/>
  </r>
  <r>
    <x v="83"/>
    <b v="1"/>
    <n v="0"/>
    <n v="0"/>
    <n v="0"/>
    <n v="0"/>
    <n v="0"/>
    <n v="0"/>
    <n v="0"/>
    <n v="0"/>
    <s v=""/>
    <s v=""/>
    <s v=""/>
    <s v=""/>
    <s v=""/>
    <s v=""/>
    <s v=""/>
    <s v=""/>
    <s v=""/>
    <s v=""/>
    <s v=""/>
    <s v=""/>
    <s v=""/>
    <s v=""/>
    <s v=""/>
    <x v="83"/>
  </r>
  <r>
    <x v="84"/>
    <b v="1"/>
    <n v="32.522999999999996"/>
    <n v="33"/>
    <n v="22"/>
    <n v="2"/>
    <n v="129"/>
    <n v="1150"/>
    <n v="260"/>
    <n v="2265"/>
    <n v="0.2558139534883721"/>
    <n v="0.72727272727272729"/>
    <n v="6.0606060606060608E-2"/>
    <n v="43.353934138917076"/>
    <n v="0.73793930449220557"/>
    <n v="6.1494942041017131E-2"/>
    <n v="3.9664237616456051"/>
    <n v="0.91100000000000003"/>
    <n v="0.74419999999999997"/>
    <n v="0.81399999999999995"/>
    <n v="0.67"/>
    <n v="0.51200000000000001"/>
    <n v="0.78"/>
    <n v="0.878"/>
    <n v="0.64600000000000002"/>
    <x v="84"/>
  </r>
  <r>
    <x v="85"/>
    <b v="1"/>
    <n v="0"/>
    <n v="0"/>
    <n v="0"/>
    <n v="0"/>
    <n v="0"/>
    <n v="0"/>
    <n v="0"/>
    <n v="0"/>
    <s v=""/>
    <s v=""/>
    <s v=""/>
    <s v=""/>
    <s v=""/>
    <s v=""/>
    <s v=""/>
    <s v=""/>
    <s v=""/>
    <s v=""/>
    <s v=""/>
    <s v=""/>
    <s v=""/>
    <s v=""/>
    <s v=""/>
    <x v="85"/>
  </r>
  <r>
    <x v="86"/>
    <b v="1"/>
    <n v="0"/>
    <n v="0"/>
    <n v="0"/>
    <n v="0"/>
    <n v="0"/>
    <n v="0"/>
    <n v="0"/>
    <n v="0"/>
    <s v=""/>
    <s v=""/>
    <s v=""/>
    <s v=""/>
    <s v=""/>
    <s v=""/>
    <s v=""/>
    <s v=""/>
    <s v=""/>
    <s v=""/>
    <s v=""/>
    <s v=""/>
    <s v=""/>
    <s v=""/>
    <s v=""/>
    <x v="86"/>
  </r>
  <r>
    <x v="87"/>
    <b v="1"/>
    <n v="88.274000000000001"/>
    <n v="69"/>
    <n v="36"/>
    <n v="8"/>
    <n v="395"/>
    <n v="2176"/>
    <n v="545"/>
    <n v="3561"/>
    <n v="0.17468354430379746"/>
    <n v="0.6376811594202898"/>
    <n v="0.11594202898550725"/>
    <n v="30.824478328839749"/>
    <n v="0.49844801413779821"/>
    <n v="9.0626911661417855E-2"/>
    <n v="4.4747037632825064"/>
    <n v="0.43"/>
    <n v="0.48680000000000001"/>
    <n v="0.20899999999999999"/>
    <n v="0.5"/>
    <n v="0.81699999999999995"/>
    <n v="0.46300000000000002"/>
    <n v="0.439"/>
    <n v="0.82899999999999996"/>
    <x v="87"/>
  </r>
  <r>
    <x v="88"/>
    <b v="1"/>
    <n v="10.413"/>
    <n v="10"/>
    <n v="7"/>
    <n v="1"/>
    <n v="45"/>
    <n v="240"/>
    <n v="60"/>
    <n v="360"/>
    <n v="0.22222222222222221"/>
    <n v="0.8"/>
    <n v="0.1"/>
    <n v="28.810141169691732"/>
    <n v="0.76827043119177951"/>
    <n v="9.6033803898972439E-2"/>
    <n v="4.3215211754537597"/>
    <n v="0.79700000000000004"/>
    <n v="0.70700000000000018"/>
    <n v="0.59199999999999997"/>
    <n v="0.82899999999999996"/>
    <n v="0.74299999999999999"/>
    <n v="0.40200000000000002"/>
    <n v="0.91400000000000003"/>
    <n v="0.85299999999999998"/>
    <x v="88"/>
  </r>
  <r>
    <x v="89"/>
    <b v="1"/>
    <n v="0"/>
    <n v="0"/>
    <n v="0"/>
    <n v="0"/>
    <n v="0"/>
    <n v="0"/>
    <n v="0"/>
    <n v="0"/>
    <s v=""/>
    <s v=""/>
    <s v=""/>
    <s v=""/>
    <s v=""/>
    <s v=""/>
    <s v=""/>
    <s v=""/>
    <s v=""/>
    <s v=""/>
    <s v=""/>
    <s v=""/>
    <s v=""/>
    <s v=""/>
    <s v=""/>
    <x v="89"/>
  </r>
  <r>
    <x v="90"/>
    <b v="1"/>
    <n v="19.547000000000001"/>
    <n v="10"/>
    <n v="4"/>
    <n v="1"/>
    <n v="55"/>
    <n v="205"/>
    <n v="60"/>
    <n v="355"/>
    <n v="0.18181818181818182"/>
    <n v="0.5"/>
    <n v="0.1"/>
    <n v="13.55706758070292"/>
    <n v="0.25579372793779098"/>
    <n v="5.1158745587558188E-2"/>
    <n v="2.8137310073157007"/>
    <n v="0.17699999999999999"/>
    <n v="0.28670000000000007"/>
    <n v="0.25900000000000001"/>
    <n v="0.19500000000000001"/>
    <n v="0.74299999999999999"/>
    <n v="0.182"/>
    <n v="0.158"/>
    <n v="0.53600000000000003"/>
    <x v="90"/>
  </r>
  <r>
    <x v="91"/>
    <b v="1"/>
    <n v="65.301000000000002"/>
    <n v="53"/>
    <n v="29"/>
    <n v="11"/>
    <n v="261"/>
    <n v="2290"/>
    <n v="1200"/>
    <n v="4085"/>
    <n v="0.20306513409961685"/>
    <n v="0.75471698113207553"/>
    <n v="0.20754716981132076"/>
    <n v="53.444817077839538"/>
    <n v="0.61254804673741592"/>
    <n v="0.1684507128527894"/>
    <n v="3.996876004961639"/>
    <n v="0.93600000000000005"/>
    <n v="0.76140000000000008"/>
    <n v="0.45600000000000002"/>
    <n v="0.79200000000000004"/>
    <n v="0.98699999999999999"/>
    <n v="0.86499999999999999"/>
    <n v="0.70699999999999996"/>
    <n v="0.98699999999999999"/>
    <x v="91"/>
  </r>
  <r>
    <x v="92"/>
    <b v="1"/>
    <n v="0"/>
    <n v="0"/>
    <n v="0"/>
    <n v="0"/>
    <n v="0"/>
    <n v="0"/>
    <n v="0"/>
    <n v="0"/>
    <s v=""/>
    <s v=""/>
    <s v=""/>
    <s v=""/>
    <s v=""/>
    <s v=""/>
    <s v=""/>
    <s v=""/>
    <s v=""/>
    <s v=""/>
    <s v=""/>
    <s v=""/>
    <s v=""/>
    <s v=""/>
    <s v=""/>
    <x v="92"/>
  </r>
  <r>
    <x v="93"/>
    <b v="1"/>
    <n v="0"/>
    <n v="0"/>
    <n v="0"/>
    <n v="0"/>
    <n v="0"/>
    <n v="0"/>
    <n v="0"/>
    <n v="0"/>
    <s v=""/>
    <s v=""/>
    <s v=""/>
    <s v=""/>
    <s v=""/>
    <s v=""/>
    <s v=""/>
    <s v=""/>
    <s v=""/>
    <s v=""/>
    <s v=""/>
    <s v=""/>
    <s v=""/>
    <s v=""/>
    <s v=""/>
    <x v="93"/>
  </r>
  <r>
    <x v="94"/>
    <b v="1"/>
    <n v="0"/>
    <n v="0"/>
    <n v="0"/>
    <n v="0"/>
    <n v="0"/>
    <n v="0"/>
    <n v="0"/>
    <n v="0"/>
    <s v=""/>
    <s v=""/>
    <s v=""/>
    <s v=""/>
    <s v=""/>
    <s v=""/>
    <s v=""/>
    <s v=""/>
    <s v=""/>
    <s v=""/>
    <s v=""/>
    <s v=""/>
    <s v=""/>
    <s v=""/>
    <s v=""/>
    <x v="94"/>
  </r>
  <r>
    <x v="95"/>
    <b v="1"/>
    <n v="0"/>
    <n v="0"/>
    <n v="0"/>
    <n v="0"/>
    <n v="0"/>
    <n v="0"/>
    <n v="0"/>
    <n v="0"/>
    <s v=""/>
    <s v=""/>
    <s v=""/>
    <s v=""/>
    <s v=""/>
    <s v=""/>
    <s v=""/>
    <s v=""/>
    <s v=""/>
    <s v=""/>
    <s v=""/>
    <s v=""/>
    <s v=""/>
    <s v=""/>
    <s v=""/>
    <x v="95"/>
  </r>
  <r>
    <x v="96"/>
    <b v="1"/>
    <n v="55.660000000000011"/>
    <n v="43"/>
    <n v="25"/>
    <n v="4"/>
    <n v="214"/>
    <n v="1165"/>
    <n v="480"/>
    <n v="2170"/>
    <n v="0.20093457943925233"/>
    <n v="0.67441860465116277"/>
    <n v="9.3023255813953487E-2"/>
    <n v="29.554437657204449"/>
    <n v="0.52102048149478974"/>
    <n v="7.1864893999281337E-2"/>
    <n v="3.8447718289615516"/>
    <n v="0.55600000000000005"/>
    <n v="0.52980000000000005"/>
    <n v="0.40699999999999997"/>
    <n v="0.57299999999999995"/>
    <n v="0.70699999999999996"/>
    <n v="0.42599999999999999"/>
    <n v="0.52400000000000002"/>
    <n v="0.73099999999999998"/>
    <x v="96"/>
  </r>
  <r>
    <x v="97"/>
    <b v="1"/>
    <n v="78.842000000000013"/>
    <n v="22"/>
    <n v="11"/>
    <n v="1"/>
    <n v="143"/>
    <n v="2515"/>
    <n v="120"/>
    <n v="3055"/>
    <n v="0.15384615384615385"/>
    <n v="0.54545454545454541"/>
    <n v="4.5454545454545456E-2"/>
    <n v="33.421272925598025"/>
    <n v="0.15220314045813144"/>
    <n v="1.268359503817762E-2"/>
    <n v="1.8137540904593996"/>
    <n v="0.13900000000000001"/>
    <n v="0.27290000000000003"/>
    <n v="0.13500000000000001"/>
    <n v="0.26800000000000002"/>
    <n v="0.41399999999999998"/>
    <n v="0.54800000000000004"/>
    <n v="8.5000000000000006E-2"/>
    <n v="0.24299999999999999"/>
    <x v="97"/>
  </r>
  <r>
    <x v="98"/>
    <b v="1"/>
    <n v="0"/>
    <n v="0"/>
    <n v="0"/>
    <n v="0"/>
    <n v="0"/>
    <n v="0"/>
    <n v="0"/>
    <n v="0"/>
    <s v=""/>
    <s v=""/>
    <s v=""/>
    <s v=""/>
    <s v=""/>
    <s v=""/>
    <s v=""/>
    <s v=""/>
    <s v=""/>
    <s v=""/>
    <s v=""/>
    <s v=""/>
    <s v=""/>
    <s v=""/>
    <s v=""/>
    <x v="98"/>
  </r>
  <r>
    <x v="99"/>
    <b v="1"/>
    <n v="11.661999999999999"/>
    <n v="7"/>
    <n v="5"/>
    <n v="1"/>
    <n v="37"/>
    <n v="165"/>
    <n v="120"/>
    <n v="295"/>
    <n v="0.1891891891891892"/>
    <n v="0.8571428571428571"/>
    <n v="0.14285714285714285"/>
    <n v="24.438346767278343"/>
    <n v="0.51449151089007039"/>
    <n v="8.5748585148345061E-2"/>
    <n v="3.1726976504887672"/>
    <n v="0.67"/>
    <n v="0.5697000000000001"/>
    <n v="0.32"/>
    <n v="0.90200000000000002"/>
    <n v="0.85299999999999998"/>
    <n v="0.34100000000000003"/>
    <n v="0.46300000000000002"/>
    <n v="0.79200000000000004"/>
    <x v="99"/>
  </r>
  <r>
    <x v="100"/>
    <b v="1"/>
    <n v="0"/>
    <n v="0"/>
    <n v="0"/>
    <n v="0"/>
    <n v="0"/>
    <n v="0"/>
    <n v="0"/>
    <n v="0"/>
    <s v=""/>
    <s v=""/>
    <s v=""/>
    <s v=""/>
    <s v=""/>
    <s v=""/>
    <s v=""/>
    <s v=""/>
    <s v=""/>
    <s v=""/>
    <s v=""/>
    <s v=""/>
    <s v=""/>
    <s v=""/>
    <s v=""/>
    <x v="100"/>
  </r>
  <r>
    <x v="101"/>
    <b v="1"/>
    <n v="32.756"/>
    <n v="20"/>
    <n v="11"/>
    <n v="1"/>
    <n v="131"/>
    <n v="405"/>
    <n v="100"/>
    <n v="880"/>
    <n v="0.15267175572519084"/>
    <n v="0.6"/>
    <n v="0.05"/>
    <n v="15.417022835511052"/>
    <n v="0.36634509708145074"/>
    <n v="3.0528758090120893E-2"/>
    <n v="3.9992673098058371"/>
    <n v="0.151"/>
    <n v="0.28170000000000001"/>
    <n v="0.123"/>
    <n v="0.40200000000000002"/>
    <n v="0.439"/>
    <n v="0.19500000000000001"/>
    <n v="0.28000000000000003"/>
    <n v="0.378"/>
    <x v="101"/>
  </r>
  <r>
    <x v="102"/>
    <b v="1"/>
    <n v="0"/>
    <n v="0"/>
    <n v="0"/>
    <n v="0"/>
    <n v="0"/>
    <n v="0"/>
    <n v="0"/>
    <n v="0"/>
    <s v=""/>
    <s v=""/>
    <s v=""/>
    <s v=""/>
    <s v=""/>
    <s v=""/>
    <s v=""/>
    <s v=""/>
    <s v=""/>
    <s v=""/>
    <s v=""/>
    <s v=""/>
    <s v=""/>
    <s v=""/>
    <s v=""/>
    <x v="102"/>
  </r>
  <r>
    <x v="103"/>
    <b v="1"/>
    <n v="0"/>
    <n v="0"/>
    <n v="0"/>
    <n v="0"/>
    <n v="0"/>
    <n v="0"/>
    <n v="0"/>
    <n v="0"/>
    <s v=""/>
    <s v=""/>
    <s v=""/>
    <s v=""/>
    <s v=""/>
    <s v=""/>
    <s v=""/>
    <s v=""/>
    <s v=""/>
    <s v=""/>
    <s v=""/>
    <s v=""/>
    <s v=""/>
    <s v=""/>
    <s v=""/>
    <x v="103"/>
  </r>
  <r>
    <x v="104"/>
    <b v="1"/>
    <n v="0"/>
    <n v="0"/>
    <n v="0"/>
    <n v="0"/>
    <n v="0"/>
    <n v="0"/>
    <n v="0"/>
    <n v="0"/>
    <s v=""/>
    <s v=""/>
    <s v=""/>
    <s v=""/>
    <s v=""/>
    <s v=""/>
    <s v=""/>
    <s v=""/>
    <s v=""/>
    <s v=""/>
    <s v=""/>
    <s v=""/>
    <s v=""/>
    <s v=""/>
    <s v=""/>
    <x v="104"/>
  </r>
  <r>
    <x v="105"/>
    <b v="1"/>
    <n v="57.357000000000006"/>
    <n v="78"/>
    <n v="36"/>
    <n v="1"/>
    <n v="306"/>
    <n v="1765"/>
    <n v="108"/>
    <n v="4908"/>
    <n v="0.25490196078431371"/>
    <n v="0.47435897435897434"/>
    <n v="1.282051282051282E-2"/>
    <n v="32.655124919364674"/>
    <n v="0.64508255313213725"/>
    <n v="1.7434663598165871E-2"/>
    <n v="5.3350070610387563"/>
    <n v="0.49299999999999999"/>
    <n v="0.51"/>
    <n v="0.80200000000000005"/>
    <n v="0.158"/>
    <n v="0.24299999999999999"/>
    <n v="0.53600000000000003"/>
    <n v="0.76800000000000002"/>
    <n v="0.32900000000000001"/>
    <x v="105"/>
  </r>
  <r>
    <x v="106"/>
    <b v="1"/>
    <n v="33.180999999999997"/>
    <n v="40"/>
    <n v="19"/>
    <n v="1"/>
    <n v="133"/>
    <n v="1105"/>
    <n v="120"/>
    <n v="2650"/>
    <n v="0.3007518796992481"/>
    <n v="0.5"/>
    <n v="2.5000000000000001E-2"/>
    <n v="36.918718543744916"/>
    <n v="0.60275458846930474"/>
    <n v="3.0137729423465237E-2"/>
    <n v="4.0083180133208769"/>
    <n v="0.60699999999999998"/>
    <n v="0.55059999999999998"/>
    <n v="0.90100000000000002"/>
    <n v="0.19500000000000001"/>
    <n v="0.317"/>
    <n v="0.621"/>
    <n v="0.69499999999999995"/>
    <n v="0.36499999999999999"/>
    <x v="106"/>
  </r>
  <r>
    <x v="107"/>
    <b v="1"/>
    <n v="75.283000000000015"/>
    <n v="51"/>
    <n v="40"/>
    <n v="1"/>
    <n v="255"/>
    <n v="2455"/>
    <n v="240"/>
    <n v="3000"/>
    <n v="0.2"/>
    <n v="0.80392156862745101"/>
    <n v="1.9607843137254902E-2"/>
    <n v="35.798254586028712"/>
    <n v="0.54461166531620675"/>
    <n v="1.3283211349175775E-2"/>
    <n v="3.3872188940398225"/>
    <n v="0.58199999999999996"/>
    <n v="0.53460000000000008"/>
    <n v="0.37"/>
    <n v="0.84099999999999997"/>
    <n v="0.28000000000000003"/>
    <n v="0.59699999999999998"/>
    <n v="0.58499999999999996"/>
    <n v="0.28000000000000003"/>
    <x v="107"/>
  </r>
  <r>
    <x v="108"/>
    <b v="1"/>
    <n v="62.284999999999997"/>
    <n v="17"/>
    <n v="6"/>
    <n v="0"/>
    <n v="51"/>
    <n v="1010"/>
    <n v="0"/>
    <n v="2810"/>
    <n v="0.33333333333333331"/>
    <n v="0.35294117647058826"/>
    <n v="0"/>
    <n v="16.215782291081322"/>
    <n v="9.6331379947017751E-2"/>
    <n v="0"/>
    <n v="0.81881672954965079"/>
    <n v="0.10100000000000001"/>
    <n v="0.25059999999999999"/>
    <n v="0.95"/>
    <n v="4.8000000000000001E-2"/>
    <n v="1.2E-2"/>
    <n v="0.20699999999999999"/>
    <n v="3.5999999999999997E-2"/>
    <n v="1.2E-2"/>
    <x v="108"/>
  </r>
  <r>
    <x v="109"/>
    <b v="1"/>
    <n v="67.881"/>
    <n v="47"/>
    <n v="32"/>
    <n v="3"/>
    <n v="262"/>
    <n v="4220"/>
    <n v="360"/>
    <n v="5520"/>
    <n v="0.17938931297709923"/>
    <n v="0.74468085106382975"/>
    <n v="6.3829787234042548E-2"/>
    <n v="67.471015453514241"/>
    <n v="0.51560819669716118"/>
    <n v="4.4194988288328102E-2"/>
    <n v="3.8596956438473211"/>
    <n v="0.68300000000000005"/>
    <n v="0.58050000000000002"/>
    <n v="0.23400000000000001"/>
    <n v="0.73099999999999998"/>
    <n v="0.54800000000000004"/>
    <n v="0.96299999999999997"/>
    <n v="0.47499999999999998"/>
    <n v="0.45100000000000001"/>
    <x v="109"/>
  </r>
  <r>
    <x v="110"/>
    <b v="1"/>
    <n v="0"/>
    <n v="0"/>
    <n v="0"/>
    <n v="0"/>
    <n v="0"/>
    <n v="0"/>
    <n v="0"/>
    <n v="0"/>
    <s v=""/>
    <s v=""/>
    <s v=""/>
    <s v=""/>
    <s v=""/>
    <s v=""/>
    <s v=""/>
    <s v=""/>
    <s v=""/>
    <s v=""/>
    <s v=""/>
    <s v=""/>
    <s v=""/>
    <s v=""/>
    <s v=""/>
    <x v="110"/>
  </r>
  <r>
    <x v="111"/>
    <b v="1"/>
    <n v="0"/>
    <n v="0"/>
    <n v="0"/>
    <n v="0"/>
    <n v="0"/>
    <n v="0"/>
    <n v="0"/>
    <n v="0"/>
    <s v=""/>
    <s v=""/>
    <s v=""/>
    <s v=""/>
    <s v=""/>
    <s v=""/>
    <s v=""/>
    <s v=""/>
    <s v=""/>
    <s v=""/>
    <s v=""/>
    <s v=""/>
    <s v=""/>
    <s v=""/>
    <s v=""/>
    <x v="111"/>
  </r>
  <r>
    <x v="112"/>
    <b v="1"/>
    <n v="0"/>
    <n v="0"/>
    <n v="0"/>
    <n v="0"/>
    <n v="0"/>
    <n v="0"/>
    <n v="0"/>
    <n v="0"/>
    <s v=""/>
    <s v=""/>
    <s v=""/>
    <s v=""/>
    <s v=""/>
    <s v=""/>
    <s v=""/>
    <s v=""/>
    <s v=""/>
    <s v=""/>
    <s v=""/>
    <s v=""/>
    <s v=""/>
    <s v=""/>
    <s v=""/>
    <x v="112"/>
  </r>
  <r>
    <x v="113"/>
    <b v="1"/>
    <n v="0"/>
    <n v="0"/>
    <n v="0"/>
    <n v="0"/>
    <n v="0"/>
    <n v="0"/>
    <n v="0"/>
    <n v="0"/>
    <s v=""/>
    <s v=""/>
    <s v=""/>
    <s v=""/>
    <s v=""/>
    <s v=""/>
    <s v=""/>
    <s v=""/>
    <s v=""/>
    <s v=""/>
    <s v=""/>
    <s v=""/>
    <s v=""/>
    <s v=""/>
    <s v=""/>
    <x v="113"/>
  </r>
  <r>
    <x v="114"/>
    <b v="1"/>
    <n v="60.06900000000001"/>
    <n v="47"/>
    <n v="22"/>
    <n v="1"/>
    <n v="255"/>
    <n v="1565"/>
    <n v="120"/>
    <n v="3170"/>
    <n v="0.18431372549019609"/>
    <n v="0.48936170212765956"/>
    <n v="2.1276595744680851E-2"/>
    <n v="28.051074597546151"/>
    <n v="0.38289300637600088"/>
    <n v="1.6647522016347865E-2"/>
    <n v="4.2451181141687053"/>
    <n v="0.20200000000000001"/>
    <n v="0.29050000000000004"/>
    <n v="0.29599999999999999"/>
    <n v="0.182"/>
    <n v="0.29199999999999998"/>
    <n v="0.378"/>
    <n v="0.29199999999999998"/>
    <n v="0.317"/>
    <x v="114"/>
  </r>
  <r>
    <x v="115"/>
    <b v="1"/>
    <n v="77.046999999999997"/>
    <n v="31"/>
    <n v="29"/>
    <n v="1"/>
    <n v="287"/>
    <n v="1595"/>
    <n v="48"/>
    <n v="1663"/>
    <n v="0.10801393728222997"/>
    <n v="0.967741935483871"/>
    <n v="3.2258064516129031E-2"/>
    <n v="21.324645995301569"/>
    <n v="0.38937272054719846"/>
    <n v="1.2979090684906616E-2"/>
    <n v="3.7249990265681987"/>
    <n v="0.26500000000000001"/>
    <n v="0.37770000000000004"/>
    <n v="4.9000000000000002E-2"/>
    <n v="0.96299999999999997"/>
    <n v="0.32900000000000001"/>
    <n v="0.28000000000000003"/>
    <n v="0.30399999999999999"/>
    <n v="0.25600000000000001"/>
    <x v="115"/>
  </r>
  <r>
    <x v="116"/>
    <b v="1"/>
    <n v="22.397000000000002"/>
    <n v="6"/>
    <n v="4"/>
    <n v="1"/>
    <n v="37"/>
    <n v="65"/>
    <n v="120"/>
    <n v="435"/>
    <n v="0.16216216216216217"/>
    <n v="0.83333333333333337"/>
    <n v="0.16666666666666666"/>
    <n v="8.2600348260927792"/>
    <n v="0.22324418448899405"/>
    <n v="4.4648836897798812E-2"/>
    <n v="1.6520069652185558"/>
    <n v="0.27800000000000002"/>
    <n v="0.39030000000000004"/>
    <n v="0.16"/>
    <n v="0.878"/>
    <n v="0.92600000000000005"/>
    <n v="8.5000000000000006E-2"/>
    <n v="0.13400000000000001"/>
    <n v="0.46300000000000002"/>
    <x v="116"/>
  </r>
  <r>
    <x v="117"/>
    <b v="1"/>
    <n v="0"/>
    <n v="0"/>
    <n v="0"/>
    <n v="0"/>
    <n v="0"/>
    <n v="0"/>
    <n v="0"/>
    <n v="0"/>
    <s v=""/>
    <s v=""/>
    <s v=""/>
    <s v=""/>
    <s v=""/>
    <s v=""/>
    <s v=""/>
    <s v=""/>
    <s v=""/>
    <s v=""/>
    <s v=""/>
    <s v=""/>
    <s v=""/>
    <s v=""/>
    <s v=""/>
    <x v="117"/>
  </r>
  <r>
    <x v="118"/>
    <b v="1"/>
    <n v="0"/>
    <n v="0"/>
    <n v="0"/>
    <n v="0"/>
    <n v="0"/>
    <n v="0"/>
    <n v="0"/>
    <n v="0"/>
    <s v=""/>
    <s v=""/>
    <s v=""/>
    <s v=""/>
    <s v=""/>
    <s v=""/>
    <s v=""/>
    <s v=""/>
    <s v=""/>
    <s v=""/>
    <s v=""/>
    <s v=""/>
    <s v=""/>
    <s v=""/>
    <s v=""/>
    <x v="118"/>
  </r>
  <r>
    <x v="119"/>
    <b v="1"/>
    <n v="55.030999999999999"/>
    <n v="57"/>
    <n v="22"/>
    <n v="5"/>
    <n v="229"/>
    <n v="1320"/>
    <n v="648"/>
    <n v="3503"/>
    <n v="0.24890829694323144"/>
    <n v="0.47368421052631576"/>
    <n v="8.771929824561403E-2"/>
    <n v="35.761661608911339"/>
    <n v="0.49063255256128363"/>
    <n v="9.0857880103941413E-2"/>
    <n v="4.1612909087605168"/>
    <n v="0.54400000000000004"/>
    <n v="0.52950000000000008"/>
    <n v="0.753"/>
    <n v="0.13400000000000001"/>
    <n v="0.68200000000000005"/>
    <n v="0.58499999999999996"/>
    <n v="0.41399999999999998"/>
    <n v="0.84099999999999997"/>
    <x v="119"/>
  </r>
  <r>
    <x v="120"/>
    <b v="1"/>
    <n v="0"/>
    <n v="0"/>
    <n v="0"/>
    <n v="0"/>
    <n v="0"/>
    <n v="0"/>
    <n v="0"/>
    <n v="0"/>
    <s v=""/>
    <s v=""/>
    <s v=""/>
    <s v=""/>
    <s v=""/>
    <s v=""/>
    <s v=""/>
    <s v=""/>
    <s v=""/>
    <s v=""/>
    <s v=""/>
    <s v=""/>
    <s v=""/>
    <s v=""/>
    <s v=""/>
    <x v="120"/>
  </r>
  <r>
    <x v="121"/>
    <b v="1"/>
    <n v="20.71"/>
    <n v="11"/>
    <n v="7"/>
    <n v="0"/>
    <n v="48"/>
    <n v="1130"/>
    <n v="0"/>
    <n v="1260"/>
    <n v="0.22916666666666666"/>
    <n v="0.63636363636363635"/>
    <n v="0"/>
    <n v="54.563013037180106"/>
    <n v="0.33800096571704491"/>
    <n v="0"/>
    <n v="2.3177209077740222"/>
    <n v="0.35399999999999998"/>
    <n v="0.45480000000000004"/>
    <n v="0.64100000000000001"/>
    <n v="0.48699999999999999"/>
    <n v="1.2E-2"/>
    <n v="0.878"/>
    <n v="0.25600000000000001"/>
    <n v="1.2E-2"/>
    <x v="121"/>
  </r>
  <r>
    <x v="122"/>
    <b v="1"/>
    <n v="20.558"/>
    <n v="7"/>
    <n v="1"/>
    <n v="1"/>
    <n v="81"/>
    <n v="100"/>
    <n v="120"/>
    <n v="480"/>
    <n v="8.6419753086419748E-2"/>
    <n v="0.2857142857142857"/>
    <n v="0.14285714285714285"/>
    <n v="10.7014301002043"/>
    <n v="9.7285728183675452E-2"/>
    <n v="4.8642864091837726E-2"/>
    <n v="3.940071991438856"/>
    <n v="6.3E-2"/>
    <n v="0.18989999999999999"/>
    <n v="3.6999999999999998E-2"/>
    <n v="3.5999999999999997E-2"/>
    <n v="0.85299999999999998"/>
    <n v="0.14599999999999999"/>
    <n v="4.8000000000000001E-2"/>
    <n v="0.51200000000000001"/>
    <x v="122"/>
  </r>
  <r>
    <x v="123"/>
    <b v="1"/>
    <n v="0"/>
    <n v="0"/>
    <n v="0"/>
    <n v="0"/>
    <n v="0"/>
    <n v="0"/>
    <n v="0"/>
    <n v="0"/>
    <s v=""/>
    <s v=""/>
    <s v=""/>
    <s v=""/>
    <s v=""/>
    <s v=""/>
    <s v=""/>
    <s v=""/>
    <s v=""/>
    <s v=""/>
    <s v=""/>
    <s v=""/>
    <s v=""/>
    <s v=""/>
    <s v=""/>
    <x v="123"/>
  </r>
  <r>
    <x v="124"/>
    <b v="1"/>
    <n v="0"/>
    <n v="0"/>
    <n v="0"/>
    <n v="0"/>
    <n v="0"/>
    <n v="0"/>
    <n v="0"/>
    <n v="0"/>
    <s v=""/>
    <s v=""/>
    <s v=""/>
    <s v=""/>
    <s v=""/>
    <s v=""/>
    <s v=""/>
    <s v=""/>
    <s v=""/>
    <s v=""/>
    <s v=""/>
    <s v=""/>
    <s v=""/>
    <s v=""/>
    <s v=""/>
    <x v="124"/>
  </r>
  <r>
    <x v="125"/>
    <b v="1"/>
    <n v="0"/>
    <n v="0"/>
    <n v="0"/>
    <n v="0"/>
    <n v="0"/>
    <n v="0"/>
    <n v="0"/>
    <n v="0"/>
    <s v=""/>
    <s v=""/>
    <s v=""/>
    <s v=""/>
    <s v=""/>
    <s v=""/>
    <s v=""/>
    <s v=""/>
    <s v=""/>
    <s v=""/>
    <s v=""/>
    <s v=""/>
    <s v=""/>
    <s v=""/>
    <s v=""/>
    <x v="125"/>
  </r>
  <r>
    <x v="126"/>
    <b v="1"/>
    <n v="71.771000000000001"/>
    <n v="70"/>
    <n v="39"/>
    <n v="4"/>
    <n v="326"/>
    <n v="1800"/>
    <n v="480"/>
    <n v="3890"/>
    <n v="0.21472392638036811"/>
    <n v="0.61428571428571432"/>
    <n v="5.7142857142857141E-2"/>
    <n v="31.76770561926126"/>
    <n v="0.59912778141589218"/>
    <n v="5.573281687589695E-2"/>
    <n v="4.5422245753856014"/>
    <n v="0.62"/>
    <n v="0.55320000000000003"/>
    <n v="0.55500000000000005"/>
    <n v="0.47499999999999998"/>
    <n v="0.48699999999999999"/>
    <n v="0.51200000000000001"/>
    <n v="0.68200000000000005"/>
    <n v="0.59699999999999998"/>
    <x v="126"/>
  </r>
  <r>
    <x v="127"/>
    <b v="1"/>
    <n v="70.745000000000019"/>
    <n v="37"/>
    <n v="22"/>
    <n v="0"/>
    <n v="299"/>
    <n v="815"/>
    <n v="0"/>
    <n v="1451"/>
    <n v="0.12374581939799331"/>
    <n v="0.59459459459459463"/>
    <n v="0"/>
    <n v="11.520248780832565"/>
    <n v="0.31097604070959073"/>
    <n v="0"/>
    <n v="4.2264470987348917"/>
    <n v="3.6999999999999998E-2"/>
    <n v="0.17300000000000007"/>
    <n v="7.3999999999999996E-2"/>
    <n v="0.39"/>
    <n v="1.2E-2"/>
    <n v="0.158"/>
    <n v="0.23100000000000001"/>
    <n v="1.2E-2"/>
    <x v="127"/>
  </r>
  <r>
    <x v="128"/>
    <b v="1"/>
    <n v="10.625000000000002"/>
    <n v="4"/>
    <n v="3"/>
    <n v="0"/>
    <n v="22"/>
    <n v="180"/>
    <n v="0"/>
    <n v="205"/>
    <n v="0.18181818181818182"/>
    <n v="0.75"/>
    <n v="0"/>
    <n v="16.941176470588232"/>
    <n v="0.28235294117647053"/>
    <n v="0"/>
    <n v="2.0705882352941174"/>
    <n v="0.189"/>
    <n v="0.28800000000000003"/>
    <n v="0.25900000000000001"/>
    <n v="0.74299999999999999"/>
    <n v="1.2E-2"/>
    <n v="0.23100000000000001"/>
    <n v="0.19500000000000001"/>
    <n v="1.2E-2"/>
    <x v="128"/>
  </r>
  <r>
    <x v="129"/>
    <b v="1"/>
    <n v="88.733999999999995"/>
    <n v="45"/>
    <n v="31"/>
    <n v="4"/>
    <n v="345"/>
    <n v="2540"/>
    <n v="900"/>
    <n v="4215"/>
    <n v="0.13043478260869565"/>
    <n v="0.77777777777777779"/>
    <n v="8.8888888888888892E-2"/>
    <n v="38.767552460161838"/>
    <n v="0.39443730700746055"/>
    <n v="4.5078549372281201E-2"/>
    <n v="3.8880248833592539"/>
    <n v="0.48099999999999998"/>
    <n v="0.495"/>
    <n v="8.5999999999999993E-2"/>
    <n v="0.81699999999999995"/>
    <n v="0.69499999999999995"/>
    <n v="0.67"/>
    <n v="0.317"/>
    <n v="0.47499999999999998"/>
    <x v="129"/>
  </r>
  <r>
    <x v="130"/>
    <b v="1"/>
    <n v="30.808"/>
    <n v="28"/>
    <n v="16"/>
    <n v="1"/>
    <n v="139"/>
    <n v="1715"/>
    <n v="60"/>
    <n v="2565"/>
    <n v="0.20143884892086331"/>
    <n v="0.6071428571428571"/>
    <n v="3.5714285714285712E-2"/>
    <n v="57.614905219423527"/>
    <n v="0.55180472604518305"/>
    <n v="3.2459101532069594E-2"/>
    <n v="4.5118151129576738"/>
    <n v="0.63200000000000001"/>
    <n v="0.55430000000000013"/>
    <n v="0.432"/>
    <n v="0.439"/>
    <n v="0.36499999999999999"/>
    <n v="0.91400000000000003"/>
    <n v="0.60899999999999999"/>
    <n v="0.39"/>
    <x v="130"/>
  </r>
  <r>
    <x v="131"/>
    <b v="1"/>
    <n v="72.048000000000002"/>
    <n v="45"/>
    <n v="27"/>
    <n v="5"/>
    <n v="210"/>
    <n v="1005"/>
    <n v="600"/>
    <n v="2270"/>
    <n v="0.21428571428571427"/>
    <n v="0.71111111111111114"/>
    <n v="0.1111111111111111"/>
    <n v="22.276815456362424"/>
    <n v="0.44414834554741284"/>
    <n v="6.9398178991783258E-2"/>
    <n v="2.9147235176548967"/>
    <n v="0.53100000000000003"/>
    <n v="0.51790000000000003"/>
    <n v="0.51800000000000002"/>
    <n v="0.64600000000000002"/>
    <n v="0.80400000000000005"/>
    <n v="0.317"/>
    <n v="0.35299999999999998"/>
    <n v="0.70699999999999996"/>
    <x v="131"/>
  </r>
  <r>
    <x v="132"/>
    <b v="1"/>
    <n v="45.828000000000003"/>
    <n v="37"/>
    <n v="23"/>
    <n v="4"/>
    <n v="162"/>
    <n v="1430.18"/>
    <n v="274"/>
    <n v="2039.18"/>
    <n v="0.22839506172839505"/>
    <n v="0.72972972972972971"/>
    <n v="0.10810810810810811"/>
    <n v="37.186436239853364"/>
    <n v="0.58915946582875089"/>
    <n v="8.7282883826481625E-2"/>
    <n v="3.5349567949725058"/>
    <n v="0.77200000000000002"/>
    <n v="0.68259999999999998"/>
    <n v="0.629"/>
    <n v="0.68200000000000005"/>
    <n v="0.79200000000000004"/>
    <n v="0.63400000000000001"/>
    <n v="0.67"/>
    <n v="0.80400000000000005"/>
    <x v="132"/>
  </r>
  <r>
    <x v="133"/>
    <b v="1"/>
    <n v="0"/>
    <n v="0"/>
    <n v="0"/>
    <n v="0"/>
    <n v="0"/>
    <n v="0"/>
    <n v="0"/>
    <n v="0"/>
    <s v=""/>
    <s v=""/>
    <s v=""/>
    <s v=""/>
    <s v=""/>
    <s v=""/>
    <s v=""/>
    <s v=""/>
    <s v=""/>
    <s v=""/>
    <s v=""/>
    <s v=""/>
    <s v=""/>
    <s v=""/>
    <s v=""/>
    <x v="133"/>
  </r>
  <r>
    <x v="134"/>
    <b v="1"/>
    <n v="11.574"/>
    <n v="9"/>
    <n v="4"/>
    <n v="0"/>
    <n v="39"/>
    <n v="245"/>
    <n v="0"/>
    <n v="770"/>
    <n v="0.23076923076923078"/>
    <n v="0.44444444444444442"/>
    <n v="0"/>
    <n v="21.168135476067047"/>
    <n v="0.34560221185415585"/>
    <n v="0"/>
    <n v="3.36962156557802"/>
    <n v="0.113"/>
    <n v="0.25980000000000003"/>
    <n v="0.65400000000000003"/>
    <n v="0.109"/>
    <n v="1.2E-2"/>
    <n v="0.25600000000000001"/>
    <n v="0.26800000000000002"/>
    <n v="1.2E-2"/>
    <x v="134"/>
  </r>
  <r>
    <x v="135"/>
    <b v="1"/>
    <n v="49.37"/>
    <n v="47"/>
    <n v="31"/>
    <n v="1"/>
    <n v="192"/>
    <n v="2000"/>
    <n v="60"/>
    <n v="3390"/>
    <n v="0.24479166666666666"/>
    <n v="0.68085106382978722"/>
    <n v="2.1276595744680851E-2"/>
    <n v="41.725744379177641"/>
    <n v="0.64816690297751678"/>
    <n v="2.0255215718047399E-2"/>
    <n v="3.8890014178651007"/>
    <n v="0.73399999999999999"/>
    <n v="0.63050000000000006"/>
    <n v="0.74"/>
    <n v="0.59699999999999998"/>
    <n v="0.29199999999999998"/>
    <n v="0.71899999999999997"/>
    <n v="0.78"/>
    <n v="0.34100000000000003"/>
    <x v="135"/>
  </r>
  <r>
    <x v="136"/>
    <b v="1"/>
    <n v="0"/>
    <n v="0"/>
    <n v="0"/>
    <n v="0"/>
    <n v="0"/>
    <n v="0"/>
    <n v="0"/>
    <n v="0"/>
    <s v=""/>
    <s v=""/>
    <s v=""/>
    <s v=""/>
    <s v=""/>
    <s v=""/>
    <s v=""/>
    <s v=""/>
    <s v=""/>
    <s v=""/>
    <s v=""/>
    <s v=""/>
    <s v=""/>
    <s v=""/>
    <s v=""/>
    <x v="136"/>
  </r>
  <r>
    <x v="137"/>
    <b v="1"/>
    <n v="13.521000000000001"/>
    <n v="10"/>
    <n v="4"/>
    <n v="0"/>
    <n v="47"/>
    <n v="135"/>
    <n v="0"/>
    <n v="380"/>
    <n v="0.21276595744680851"/>
    <n v="0.4"/>
    <n v="0"/>
    <n v="9.9844686043931663"/>
    <n v="0.29583610679683453"/>
    <n v="0"/>
    <n v="3.4760742548628056"/>
    <n v="0.05"/>
    <n v="0.18640000000000004"/>
    <n v="0.50600000000000001"/>
    <n v="7.2999999999999995E-2"/>
    <n v="1.2E-2"/>
    <n v="0.13400000000000001"/>
    <n v="0.20699999999999999"/>
    <n v="1.2E-2"/>
    <x v="137"/>
  </r>
  <r>
    <x v="138"/>
    <b v="1"/>
    <n v="52.533999999999992"/>
    <n v="58"/>
    <n v="29"/>
    <n v="4"/>
    <n v="186"/>
    <n v="930"/>
    <n v="480"/>
    <n v="2890"/>
    <n v="0.31182795698924731"/>
    <n v="0.56896551724137934"/>
    <n v="6.8965517241379309E-2"/>
    <n v="26.839760916739639"/>
    <n v="0.62816461720028949"/>
    <n v="7.6141165721247198E-2"/>
    <n v="3.5405642060379949"/>
    <n v="0.70799999999999996"/>
    <n v="0.59789999999999999"/>
    <n v="0.91300000000000003"/>
    <n v="0.30399999999999999"/>
    <n v="0.58499999999999996"/>
    <n v="0.35299999999999998"/>
    <n v="0.74299999999999999"/>
    <n v="0.76800000000000002"/>
    <x v="138"/>
  </r>
  <r>
    <x v="139"/>
    <b v="1"/>
    <n v="75.286000000000001"/>
    <n v="59"/>
    <n v="39"/>
    <n v="1"/>
    <n v="303"/>
    <n v="2585"/>
    <n v="120"/>
    <n v="4240"/>
    <n v="0.19471947194719472"/>
    <n v="0.67796610169491522"/>
    <n v="1.6949152542372881E-2"/>
    <n v="35.929654915920622"/>
    <n v="0.53130728156629381"/>
    <n v="1.3282682039157346E-2"/>
    <n v="4.0246526578646762"/>
    <n v="0.40500000000000003"/>
    <n v="0.46980000000000005"/>
    <n v="0.34499999999999997"/>
    <n v="0.58499999999999996"/>
    <n v="0.25600000000000001"/>
    <n v="0.60899999999999999"/>
    <n v="0.54800000000000004"/>
    <n v="0.26800000000000002"/>
    <x v="139"/>
  </r>
  <r>
    <x v="140"/>
    <b v="1"/>
    <n v="0"/>
    <n v="0"/>
    <n v="0"/>
    <n v="0"/>
    <n v="0"/>
    <n v="0"/>
    <n v="0"/>
    <n v="0"/>
    <s v=""/>
    <s v=""/>
    <s v=""/>
    <s v=""/>
    <s v=""/>
    <s v=""/>
    <s v=""/>
    <s v=""/>
    <s v=""/>
    <s v=""/>
    <s v=""/>
    <s v=""/>
    <s v=""/>
    <s v=""/>
    <s v=""/>
    <x v="140"/>
  </r>
  <r>
    <x v="141"/>
    <b v="1"/>
    <n v="0"/>
    <n v="0"/>
    <n v="0"/>
    <n v="0"/>
    <n v="0"/>
    <n v="0"/>
    <n v="0"/>
    <n v="0"/>
    <s v=""/>
    <s v=""/>
    <s v=""/>
    <s v=""/>
    <s v=""/>
    <s v=""/>
    <s v=""/>
    <s v=""/>
    <s v=""/>
    <s v=""/>
    <s v=""/>
    <s v=""/>
    <s v=""/>
    <s v=""/>
    <s v=""/>
    <x v="141"/>
  </r>
  <r>
    <x v="142"/>
    <b v="1"/>
    <n v="0"/>
    <n v="0"/>
    <n v="0"/>
    <n v="0"/>
    <n v="0"/>
    <n v="0"/>
    <n v="0"/>
    <n v="0"/>
    <s v=""/>
    <s v=""/>
    <s v=""/>
    <s v=""/>
    <s v=""/>
    <s v=""/>
    <s v=""/>
    <s v=""/>
    <s v=""/>
    <s v=""/>
    <s v=""/>
    <s v=""/>
    <s v=""/>
    <s v=""/>
    <s v=""/>
    <x v="142"/>
  </r>
  <r>
    <x v="143"/>
    <b v="1"/>
    <n v="20.491"/>
    <n v="15"/>
    <n v="8"/>
    <n v="1"/>
    <n v="87"/>
    <n v="215"/>
    <n v="60"/>
    <n v="445"/>
    <n v="0.17241379310344829"/>
    <n v="0.6"/>
    <n v="6.6666666666666666E-2"/>
    <n v="13.420526084622518"/>
    <n v="0.43921721731491875"/>
    <n v="4.8801913034990971E-2"/>
    <n v="4.2457664340442145"/>
    <n v="0.24"/>
    <n v="0.33040000000000003"/>
    <n v="0.19700000000000001"/>
    <n v="0.40200000000000002"/>
    <n v="0.56000000000000005"/>
    <n v="0.17"/>
    <n v="0.34100000000000003"/>
    <n v="0.52400000000000002"/>
    <x v="143"/>
  </r>
  <r>
    <x v="144"/>
    <b v="1"/>
    <n v="32.804000000000002"/>
    <n v="23"/>
    <n v="17"/>
    <n v="0"/>
    <n v="105"/>
    <n v="885"/>
    <n v="0"/>
    <n v="990"/>
    <n v="0.21904761904761905"/>
    <n v="0.73913043478260865"/>
    <n v="0"/>
    <n v="26.978417266187048"/>
    <n v="0.51822948420924275"/>
    <n v="0"/>
    <n v="3.2008291671747346"/>
    <n v="0.316"/>
    <n v="0.43759999999999999"/>
    <n v="0.57999999999999996"/>
    <n v="0.71899999999999997"/>
    <n v="1.2E-2"/>
    <n v="0.36499999999999999"/>
    <n v="0.51200000000000001"/>
    <n v="1.2E-2"/>
    <x v="144"/>
  </r>
  <r>
    <x v="145"/>
    <b v="1"/>
    <n v="0"/>
    <n v="0"/>
    <n v="0"/>
    <n v="0"/>
    <n v="0"/>
    <n v="0"/>
    <n v="0"/>
    <n v="0"/>
    <s v=""/>
    <s v=""/>
    <s v=""/>
    <s v=""/>
    <s v=""/>
    <s v=""/>
    <s v=""/>
    <s v=""/>
    <s v=""/>
    <s v=""/>
    <s v=""/>
    <s v=""/>
    <s v=""/>
    <s v=""/>
    <s v=""/>
    <x v="145"/>
  </r>
  <r>
    <x v="146"/>
    <b v="1"/>
    <n v="0"/>
    <n v="0"/>
    <n v="0"/>
    <n v="0"/>
    <n v="0"/>
    <n v="0"/>
    <n v="0"/>
    <n v="0"/>
    <s v=""/>
    <s v=""/>
    <s v=""/>
    <s v=""/>
    <s v=""/>
    <s v=""/>
    <s v=""/>
    <s v=""/>
    <s v=""/>
    <s v=""/>
    <s v=""/>
    <s v=""/>
    <s v=""/>
    <s v=""/>
    <s v=""/>
    <x v="146"/>
  </r>
  <r>
    <x v="147"/>
    <b v="1"/>
    <n v="35.966999999999999"/>
    <n v="28"/>
    <n v="20"/>
    <n v="4"/>
    <n v="111"/>
    <n v="1025"/>
    <n v="480"/>
    <n v="1590"/>
    <n v="0.25225225225225223"/>
    <n v="0.8571428571428571"/>
    <n v="0.14285714285714285"/>
    <n v="41.843912475324608"/>
    <n v="0.66727833847693718"/>
    <n v="0.11121305641282286"/>
    <n v="3.0861623154558346"/>
    <n v="0.97399999999999998"/>
    <n v="0.82329999999999992"/>
    <n v="0.77700000000000002"/>
    <n v="0.90200000000000002"/>
    <n v="0.85299999999999998"/>
    <n v="0.73099999999999998"/>
    <n v="0.82899999999999996"/>
    <n v="0.90200000000000002"/>
    <x v="147"/>
  </r>
  <r>
    <x v="148"/>
    <b v="1"/>
    <n v="0"/>
    <n v="0"/>
    <n v="0"/>
    <n v="0"/>
    <n v="0"/>
    <n v="0"/>
    <n v="0"/>
    <n v="0"/>
    <s v=""/>
    <s v=""/>
    <s v=""/>
    <s v=""/>
    <s v=""/>
    <s v=""/>
    <s v=""/>
    <s v=""/>
    <s v=""/>
    <s v=""/>
    <s v=""/>
    <s v=""/>
    <s v=""/>
    <s v=""/>
    <s v=""/>
    <x v="148"/>
  </r>
  <r>
    <x v="149"/>
    <b v="1"/>
    <n v="49.149000000000008"/>
    <n v="39"/>
    <n v="26"/>
    <n v="6"/>
    <n v="187"/>
    <n v="3040"/>
    <n v="690"/>
    <n v="3900"/>
    <n v="0.20855614973262032"/>
    <n v="0.82051282051282048"/>
    <n v="0.15384615384615385"/>
    <n v="75.891676331156262"/>
    <n v="0.65108140552198401"/>
    <n v="0.12207776353537202"/>
    <n v="3.8047569635190945"/>
    <n v="0.96199999999999997"/>
    <n v="0.80660000000000009"/>
    <n v="0.48099999999999998"/>
    <n v="0.85299999999999998"/>
    <n v="0.91400000000000003"/>
    <n v="0.98699999999999999"/>
    <n v="0.79200000000000004"/>
    <n v="0.92600000000000005"/>
    <x v="149"/>
  </r>
  <r>
    <x v="150"/>
    <b v="1"/>
    <n v="0"/>
    <n v="0"/>
    <n v="0"/>
    <n v="0"/>
    <n v="0"/>
    <n v="0"/>
    <n v="0"/>
    <n v="0"/>
    <s v=""/>
    <s v=""/>
    <s v=""/>
    <s v=""/>
    <s v=""/>
    <s v=""/>
    <s v=""/>
    <s v=""/>
    <s v=""/>
    <s v=""/>
    <s v=""/>
    <s v=""/>
    <s v=""/>
    <s v=""/>
    <s v=""/>
    <x v="150"/>
  </r>
  <r>
    <x v="151"/>
    <b v="1"/>
    <n v="0"/>
    <n v="0"/>
    <n v="0"/>
    <n v="0"/>
    <n v="0"/>
    <n v="0"/>
    <n v="0"/>
    <n v="0"/>
    <s v=""/>
    <s v=""/>
    <s v=""/>
    <s v=""/>
    <s v=""/>
    <s v=""/>
    <s v=""/>
    <s v=""/>
    <s v=""/>
    <s v=""/>
    <s v=""/>
    <s v=""/>
    <s v=""/>
    <s v=""/>
    <s v=""/>
    <x v="151"/>
  </r>
  <r>
    <x v="152"/>
    <b v="1"/>
    <n v="0"/>
    <n v="0"/>
    <n v="0"/>
    <n v="0"/>
    <n v="0"/>
    <n v="0"/>
    <n v="0"/>
    <n v="0"/>
    <s v=""/>
    <s v=""/>
    <s v=""/>
    <s v=""/>
    <s v=""/>
    <s v=""/>
    <s v=""/>
    <s v=""/>
    <s v=""/>
    <s v=""/>
    <s v=""/>
    <s v=""/>
    <s v=""/>
    <s v=""/>
    <s v=""/>
    <x v="152"/>
  </r>
  <r>
    <x v="153"/>
    <b v="1"/>
    <n v="0"/>
    <n v="0"/>
    <n v="0"/>
    <n v="0"/>
    <n v="0"/>
    <n v="0"/>
    <n v="0"/>
    <n v="0"/>
    <s v=""/>
    <s v=""/>
    <s v=""/>
    <s v=""/>
    <s v=""/>
    <s v=""/>
    <s v=""/>
    <s v=""/>
    <s v=""/>
    <s v=""/>
    <s v=""/>
    <s v=""/>
    <s v=""/>
    <s v=""/>
    <s v=""/>
    <x v="153"/>
  </r>
  <r>
    <x v="154"/>
    <b v="1"/>
    <n v="52.562000000000005"/>
    <n v="53"/>
    <n v="28"/>
    <n v="7"/>
    <n v="191"/>
    <n v="1415"/>
    <n v="720"/>
    <n v="3174"/>
    <n v="0.27748691099476441"/>
    <n v="0.660377358490566"/>
    <n v="0.13207547169811321"/>
    <n v="40.618697918648451"/>
    <n v="0.66588029374833524"/>
    <n v="0.13317605874966704"/>
    <n v="3.633803888740915"/>
    <n v="0.92400000000000004"/>
    <n v="0.75780000000000003"/>
    <n v="0.876"/>
    <n v="0.52400000000000002"/>
    <n v="0.82899999999999996"/>
    <n v="0.68200000000000005"/>
    <n v="0.81699999999999995"/>
    <n v="0.95099999999999996"/>
    <x v="154"/>
  </r>
  <r>
    <x v="155"/>
    <b v="1"/>
    <n v="95.486000000000004"/>
    <n v="99"/>
    <n v="67"/>
    <n v="6"/>
    <n v="462"/>
    <n v="4690"/>
    <n v="530"/>
    <n v="6845"/>
    <n v="0.21428571428571427"/>
    <n v="0.73737373737373735"/>
    <n v="6.0606060606060608E-2"/>
    <n v="54.667699976959973"/>
    <n v="0.76450998052070462"/>
    <n v="6.2836436755126401E-2"/>
    <n v="4.8384056301447327"/>
    <n v="0.81"/>
    <n v="0.71799999999999997"/>
    <n v="0.51800000000000002"/>
    <n v="0.69499999999999995"/>
    <n v="0.51200000000000001"/>
    <n v="0.89"/>
    <n v="0.90200000000000002"/>
    <n v="0.65800000000000003"/>
    <x v="155"/>
  </r>
  <r>
    <x v="156"/>
    <b v="1"/>
    <n v="0"/>
    <n v="0"/>
    <n v="0"/>
    <n v="0"/>
    <n v="0"/>
    <n v="0"/>
    <n v="0"/>
    <n v="0"/>
    <s v=""/>
    <s v=""/>
    <s v=""/>
    <s v=""/>
    <s v=""/>
    <s v=""/>
    <s v=""/>
    <s v=""/>
    <s v=""/>
    <s v=""/>
    <s v=""/>
    <s v=""/>
    <s v=""/>
    <s v=""/>
    <s v=""/>
    <x v="156"/>
  </r>
  <r>
    <x v="157"/>
    <b v="1"/>
    <n v="65.265000000000001"/>
    <n v="21"/>
    <n v="11"/>
    <n v="1"/>
    <n v="86"/>
    <n v="345"/>
    <n v="60"/>
    <n v="795"/>
    <n v="0.2441860465116279"/>
    <n v="0.5714285714285714"/>
    <n v="4.7619047619047616E-2"/>
    <n v="6.2054700068949664"/>
    <n v="0.1838657779820731"/>
    <n v="1.5322148165172756E-2"/>
    <n v="1.3177047422048571"/>
    <n v="0.215"/>
    <n v="0.31580000000000003"/>
    <n v="0.72799999999999998"/>
    <n v="0.317"/>
    <n v="0.42599999999999999"/>
    <n v="0.06"/>
    <n v="0.109"/>
    <n v="0.30399999999999999"/>
    <x v="157"/>
  </r>
  <r>
    <x v="158"/>
    <b v="1"/>
    <n v="57.326000000000001"/>
    <n v="57"/>
    <n v="29"/>
    <n v="2"/>
    <n v="207"/>
    <n v="1660"/>
    <n v="180"/>
    <n v="3970"/>
    <n v="0.27536231884057971"/>
    <n v="0.54385964912280704"/>
    <n v="3.5087719298245612E-2"/>
    <n v="32.097128702508464"/>
    <n v="0.54076684227052296"/>
    <n v="3.4888183372291805E-2"/>
    <n v="3.6109269790322016"/>
    <n v="0.50600000000000001"/>
    <n v="0.51629999999999998"/>
    <n v="0.86399999999999999"/>
    <n v="0.25600000000000001"/>
    <n v="0.34100000000000003"/>
    <n v="0.52400000000000002"/>
    <n v="0.56000000000000005"/>
    <n v="0.41399999999999998"/>
    <x v="158"/>
  </r>
  <r>
    <x v="159"/>
    <b v="1"/>
    <n v="0"/>
    <n v="0"/>
    <n v="0"/>
    <n v="0"/>
    <n v="0"/>
    <n v="0"/>
    <n v="0"/>
    <n v="0"/>
    <s v=""/>
    <s v=""/>
    <s v=""/>
    <s v=""/>
    <s v=""/>
    <s v=""/>
    <s v=""/>
    <s v=""/>
    <s v=""/>
    <s v=""/>
    <s v=""/>
    <s v=""/>
    <s v=""/>
    <s v=""/>
    <s v=""/>
    <x v="159"/>
  </r>
  <r>
    <x v="160"/>
    <b v="1"/>
    <n v="0"/>
    <n v="0"/>
    <n v="0"/>
    <n v="0"/>
    <n v="0"/>
    <n v="0"/>
    <n v="0"/>
    <n v="0"/>
    <s v=""/>
    <s v=""/>
    <s v=""/>
    <s v=""/>
    <s v=""/>
    <s v=""/>
    <s v=""/>
    <s v=""/>
    <s v=""/>
    <s v=""/>
    <s v=""/>
    <s v=""/>
    <s v=""/>
    <s v=""/>
    <s v=""/>
    <x v="160"/>
  </r>
  <r>
    <x v="161"/>
    <b v="1"/>
    <n v="61.442999999999991"/>
    <n v="57"/>
    <n v="36"/>
    <n v="2"/>
    <n v="341"/>
    <n v="2115"/>
    <n v="216"/>
    <n v="3681"/>
    <n v="0.16715542521994134"/>
    <n v="0.66666666666666663"/>
    <n v="3.5087719298245612E-2"/>
    <n v="37.937600703090673"/>
    <n v="0.61845938512116927"/>
    <n v="3.2550493953745756E-2"/>
    <n v="5.5498592191136513"/>
    <n v="0.443"/>
    <n v="0.49150000000000005"/>
    <n v="0.185"/>
    <n v="0.53600000000000003"/>
    <n v="0.34100000000000003"/>
    <n v="0.64600000000000002"/>
    <n v="0.71899999999999997"/>
    <n v="0.40200000000000002"/>
    <x v="161"/>
  </r>
  <r>
    <x v="162"/>
    <b v="1"/>
    <n v="29.003999999999998"/>
    <n v="18"/>
    <n v="12"/>
    <n v="3"/>
    <n v="84"/>
    <n v="1430"/>
    <n v="205"/>
    <n v="1740"/>
    <n v="0.21428571428571427"/>
    <n v="0.83333333333333337"/>
    <n v="0.16666666666666666"/>
    <n v="56.37153496069508"/>
    <n v="0.51717004551096402"/>
    <n v="0.1034340091021928"/>
    <n v="2.8961522548613985"/>
    <n v="0.89800000000000002"/>
    <n v="0.74"/>
    <n v="0.51800000000000002"/>
    <n v="0.878"/>
    <n v="0.92600000000000005"/>
    <n v="0.90200000000000002"/>
    <n v="0.5"/>
    <n v="0.878"/>
    <x v="162"/>
  </r>
  <r>
    <x v="163"/>
    <b v="1"/>
    <n v="50.221999999999994"/>
    <n v="43"/>
    <n v="21"/>
    <n v="3"/>
    <n v="206"/>
    <n v="1105"/>
    <n v="360"/>
    <n v="2190"/>
    <n v="0.20873786407766989"/>
    <n v="0.55813953488372092"/>
    <n v="6.9767441860465115E-2"/>
    <n v="29.170483055234762"/>
    <n v="0.47787822070009167"/>
    <n v="5.9734777587511459E-2"/>
    <n v="4.1017880610091204"/>
    <n v="0.30299999999999999"/>
    <n v="0.43610000000000004"/>
    <n v="0.49299999999999999"/>
    <n v="0.28000000000000003"/>
    <n v="0.59699999999999998"/>
    <n v="0.41399999999999998"/>
    <n v="0.378"/>
    <n v="0.63400000000000001"/>
    <x v="163"/>
  </r>
  <r>
    <x v="164"/>
    <b v="1"/>
    <n v="1.1739999999999999"/>
    <n v="1"/>
    <n v="1"/>
    <n v="0"/>
    <n v="5"/>
    <n v="25"/>
    <n v="0"/>
    <n v="25"/>
    <n v="0.2"/>
    <n v="1"/>
    <n v="0"/>
    <n v="21.294718909710394"/>
    <n v="0.85178875638841567"/>
    <n v="0"/>
    <n v="4.2589437819420786"/>
    <n v="0.51800000000000002"/>
    <n v="0.51759999999999995"/>
    <n v="0.37"/>
    <n v="0.97499999999999998"/>
    <n v="1.2E-2"/>
    <n v="0.26800000000000002"/>
    <n v="0.96299999999999997"/>
    <n v="1.2E-2"/>
    <x v="164"/>
  </r>
  <r>
    <x v="165"/>
    <b v="1"/>
    <n v="0"/>
    <n v="0"/>
    <n v="0"/>
    <n v="0"/>
    <n v="0"/>
    <n v="0"/>
    <n v="0"/>
    <n v="0"/>
    <s v=""/>
    <s v=""/>
    <s v=""/>
    <s v=""/>
    <s v=""/>
    <s v=""/>
    <s v=""/>
    <s v=""/>
    <s v=""/>
    <s v=""/>
    <s v=""/>
    <s v=""/>
    <s v=""/>
    <s v=""/>
    <s v=""/>
    <x v="165"/>
  </r>
  <r>
    <x v="166"/>
    <b v="1"/>
    <n v="0"/>
    <n v="0"/>
    <n v="0"/>
    <n v="0"/>
    <n v="0"/>
    <n v="0"/>
    <n v="0"/>
    <n v="0"/>
    <s v=""/>
    <s v=""/>
    <s v=""/>
    <s v=""/>
    <s v=""/>
    <s v=""/>
    <s v=""/>
    <s v=""/>
    <s v=""/>
    <s v=""/>
    <s v=""/>
    <s v=""/>
    <s v=""/>
    <s v=""/>
    <s v=""/>
    <x v="166"/>
  </r>
  <r>
    <x v="167"/>
    <b v="1"/>
    <n v="0"/>
    <n v="0"/>
    <n v="0"/>
    <n v="0"/>
    <n v="0"/>
    <n v="0"/>
    <n v="0"/>
    <n v="0"/>
    <s v=""/>
    <s v=""/>
    <s v=""/>
    <s v=""/>
    <s v=""/>
    <s v=""/>
    <s v=""/>
    <s v=""/>
    <s v=""/>
    <s v=""/>
    <s v=""/>
    <s v=""/>
    <s v=""/>
    <s v=""/>
    <s v=""/>
    <x v="167"/>
  </r>
  <r>
    <x v="168"/>
    <b v="1"/>
    <n v="0"/>
    <n v="0"/>
    <n v="0"/>
    <n v="0"/>
    <n v="0"/>
    <n v="0"/>
    <n v="0"/>
    <n v="0"/>
    <s v=""/>
    <s v=""/>
    <s v=""/>
    <s v=""/>
    <s v=""/>
    <s v=""/>
    <s v=""/>
    <s v=""/>
    <s v=""/>
    <s v=""/>
    <s v=""/>
    <s v=""/>
    <s v=""/>
    <s v=""/>
    <s v=""/>
    <x v="16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4" applyNumberFormats="0" applyBorderFormats="0" applyFontFormats="0" applyPatternFormats="0" applyAlignmentFormats="0" applyWidthHeightFormats="1" dataCaption="Values" updatedVersion="6" minRefreshableVersion="3" useAutoFormatting="1" rowGrandTotals="0" colGrandTotals="0" itemPrintTitles="1" createdVersion="6" indent="0" showHeaders="0" outline="1" outlineData="1" multipleFieldFilters="0" rowHeaderCaption="Reference Names 2">
  <location ref="AB1:AB169" firstHeaderRow="0" firstDataRow="0" firstDataCol="1"/>
  <pivotFields count="26">
    <pivotField axis="axisRow" showAll="0">
      <items count="17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showAll="0"/>
    <pivotField showAll="0"/>
    <pivotField showAll="0"/>
    <pivotField showAll="0"/>
    <pivotField showAll="0"/>
    <pivotField numFmtId="1" showAll="0"/>
    <pivotField numFmtId="164"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sortType="ascending">
      <items count="367">
        <item m="1" x="348"/>
        <item x="0"/>
        <item x="1"/>
        <item x="2"/>
        <item x="3"/>
        <item m="1" x="206"/>
        <item n="Abby Red " m="1" x="219"/>
        <item n="Abby Red 2" x="4"/>
        <item x="5"/>
        <item x="6"/>
        <item x="7"/>
        <item m="1" x="302"/>
        <item x="8"/>
        <item n="Alara Bench " m="1" x="312"/>
        <item n="Alara Bench 2" x="9"/>
        <item m="1" x="284"/>
        <item n="Alfriede Tre " m="1" x="226"/>
        <item n="Alfriede Tre 2" x="10"/>
        <item x="11"/>
        <item m="1" x="313"/>
        <item x="12"/>
        <item m="1" x="236"/>
        <item m="1" x="211"/>
        <item m="1" x="291"/>
        <item m="1" x="352"/>
        <item x="13"/>
        <item m="1" x="184"/>
        <item m="1" x="318"/>
        <item x="14"/>
        <item m="1" x="328"/>
        <item n="Antoinette Brandy " m="1" x="214"/>
        <item n="Antoinette Brandy 2" x="15"/>
        <item n="Anwen Robinson " m="1" x="301"/>
        <item n="Anwen Robinson 2" x="16"/>
        <item n="Aqib Tyler " m="1" x="242"/>
        <item n="Aqib Tyler 2" x="17"/>
        <item x="18"/>
        <item x="19"/>
        <item m="1" x="213"/>
        <item m="1" x="340"/>
        <item m="1" x="274"/>
        <item n="Barbara Sparks " m="1" x="263"/>
        <item n="Barbara Sparks 2" x="20"/>
        <item n="Bartholomew Tegi " m="1" x="266"/>
        <item n="Bartholomew Tegi 2" x="21"/>
        <item x="22"/>
        <item m="1" x="325"/>
        <item n="Berndate Butler " m="1" x="330"/>
        <item n="Berndate Butler 2" x="23"/>
        <item n="Bianka Edin " m="1" x="272"/>
        <item n="Bianka Edin 2" x="24"/>
        <item m="1" x="199"/>
        <item n="Boris Sandu " m="1" x="177"/>
        <item n="Boris Sandu 2" x="25"/>
        <item n="Borys Mejia " m="1" x="307"/>
        <item n="Borys Mejia 2" x="26"/>
        <item m="1" x="246"/>
        <item m="1" x="195"/>
        <item x="27"/>
        <item x="28"/>
        <item m="1" x="190"/>
        <item n="Brie Poulsen " m="1" x="257"/>
        <item n="Brie Poulsen 2" x="29"/>
        <item m="1" x="358"/>
        <item m="1" x="210"/>
        <item m="1" x="317"/>
        <item x="30"/>
        <item n="Cali Beck " m="1" x="343"/>
        <item n="Cali Beck 2" x="31"/>
        <item m="1" x="174"/>
        <item m="1" x="296"/>
        <item x="32"/>
        <item m="1" x="169"/>
        <item m="1" x="327"/>
        <item n="Cecily Whitting " m="1" x="224"/>
        <item n="Cecily Whitting 2" x="33"/>
        <item n="Cerys Rosemary " m="1" x="354"/>
        <item n="Cerys Rosemary 2" x="34"/>
        <item n="Chad Bonsley " m="1" x="198"/>
        <item n="Chad Bonsley 2" x="35"/>
        <item m="1" x="176"/>
        <item x="36"/>
        <item m="1" x="297"/>
        <item x="37"/>
        <item x="38"/>
        <item n="Christopher Martin " m="1" x="186"/>
        <item n="Christopher Martin 2" x="39"/>
        <item x="40"/>
        <item m="1" x="293"/>
        <item m="1" x="351"/>
        <item x="41"/>
        <item m="1" x="353"/>
        <item m="1" x="251"/>
        <item m="1" x="315"/>
        <item n="Deliah Newman " m="1" x="281"/>
        <item n="Deliah Newman 2" x="42"/>
        <item x="43"/>
        <item m="1" x="292"/>
        <item n="Diego Gunn " m="1" x="336"/>
        <item n="Diego Gunn 2" x="44"/>
        <item n="Dorian Ramos " m="1" x="359"/>
        <item n="Dorian Ramos 2" x="45"/>
        <item x="46"/>
        <item n="Eddie Rogers " m="1" x="294"/>
        <item n="Eddie Rogers 2" x="47"/>
        <item x="48"/>
        <item x="49"/>
        <item m="1" x="316"/>
        <item n="Elli Owen " m="1" x="185"/>
        <item n="Elli Owen 2" x="50"/>
        <item x="51"/>
        <item x="52"/>
        <item m="1" x="323"/>
        <item m="1" x="286"/>
        <item m="1" x="333"/>
        <item m="1" x="208"/>
        <item m="1" x="320"/>
        <item x="53"/>
        <item x="54"/>
        <item n="Frazer Fry " m="1" x="230"/>
        <item n="Frazer Fry 2" x="55"/>
        <item m="1" x="360"/>
        <item x="56"/>
        <item m="1" x="264"/>
        <item n="George Moran " m="1" x="179"/>
        <item n="George Moran 2" x="57"/>
        <item x="58"/>
        <item x="59"/>
        <item x="60"/>
        <item x="61"/>
        <item m="1" x="200"/>
        <item m="1" x="341"/>
        <item n="Harlan Gameron " m="1" x="305"/>
        <item n="Harlan Gameron 2" x="62"/>
        <item m="1" x="265"/>
        <item m="1" x="310"/>
        <item m="1" x="287"/>
        <item n="Humera Humphree " m="1" x="267"/>
        <item n="Humera Humphree 2" x="63"/>
        <item m="1" x="270"/>
        <item x="64"/>
        <item m="1" x="280"/>
        <item x="65"/>
        <item m="1" x="209"/>
        <item m="1" x="243"/>
        <item n="Jace Pittman " m="1" x="259"/>
        <item n="Jace Pittman 2" x="66"/>
        <item n="Jackson Blan " m="1" x="283"/>
        <item n="Jackson Blan 2" x="67"/>
        <item n="Jacob Suh " m="1" x="329"/>
        <item n="Jacob Suh 2" x="68"/>
        <item m="1" x="250"/>
        <item n="Jaol Soaps " m="1" x="180"/>
        <item n="Jaol Soaps 2" x="69"/>
        <item n="Jasmine Le " m="1" x="239"/>
        <item n="Jasmine Le 2" x="70"/>
        <item x="71"/>
        <item n="Jaspal Ellis " m="1" x="227"/>
        <item n="Jaspal Ellis 2" x="72"/>
        <item n="Jenna Kerns " m="1" x="346"/>
        <item n="Jenna Kerns 2" x="73"/>
        <item n="Jens Layson " m="1" x="262"/>
        <item n="Jens Layson 2" x="74"/>
        <item m="1" x="356"/>
        <item n="Jim Kingser " m="1" x="282"/>
        <item n="Jim Kingser 2" x="75"/>
        <item n="Joel Owens " m="1" x="338"/>
        <item n="Joel Owens 2" x="76"/>
        <item x="77"/>
        <item n="Joseff Reeves " m="1" x="306"/>
        <item n="Joseff Reeves 2" x="78"/>
        <item x="79"/>
        <item m="1" x="220"/>
        <item m="1" x="361"/>
        <item x="80"/>
        <item n="Julius McCayon " m="1" x="309"/>
        <item n="Julius McCayon 2" x="81"/>
        <item x="82"/>
        <item x="83"/>
        <item m="1" x="365"/>
        <item m="1" x="337"/>
        <item m="1" x="212"/>
        <item n="Kara Andrews " m="1" x="362"/>
        <item n="Kara Andrews 2" x="84"/>
        <item x="85"/>
        <item x="86"/>
        <item m="1" x="249"/>
        <item m="1" x="256"/>
        <item n="Kayden Dodsonl " m="1" x="355"/>
        <item n="Kayden Dodsonl 2" x="87"/>
        <item x="88"/>
        <item n="Kelsey McCannon " m="1" x="231"/>
        <item n="Kelsey McCannon 2" x="89"/>
        <item m="1" x="252"/>
        <item n="Kenneth Choi " m="1" x="308"/>
        <item n="Kenneth Choi 2" x="90"/>
        <item n="Kenzo Fisher " m="1" x="339"/>
        <item n="Kenzo Fisher 2" x="91"/>
        <item m="1" x="321"/>
        <item x="92"/>
        <item n="Kris Olber " m="1" x="197"/>
        <item n="Kris Olber 2" x="93"/>
        <item n="Kristy Creg " m="1" x="172"/>
        <item n="Kristy Creg 2" x="94"/>
        <item n="Kyla Dudley " m="1" x="357"/>
        <item n="Kyla Dudley 2" x="95"/>
        <item m="1" x="203"/>
        <item n="Larry Lopez " m="1" x="326"/>
        <item n="Larry Lopez 2" x="96"/>
        <item m="1" x="225"/>
        <item n="Lauren Hewitt " m="1" x="300"/>
        <item n="Lauren Hewitt 2" x="97"/>
        <item x="98"/>
        <item n="Lee Waller " m="1" x="349"/>
        <item n="Lee Waller 2" x="99"/>
        <item x="100"/>
        <item n="Leile Contrea " m="1" x="311"/>
        <item n="Leile Contrea 2" x="101"/>
        <item n="Leslie Query " m="1" x="277"/>
        <item n="Leslie Query 2" x="102"/>
        <item m="1" x="232"/>
        <item m="1" x="217"/>
        <item m="1" x="364"/>
        <item x="103"/>
        <item x="104"/>
        <item n="Lucas Ness " m="1" x="216"/>
        <item n="Lucas Ness 2" x="105"/>
        <item x="106"/>
        <item n="Mack Gold " m="1" x="253"/>
        <item n="Mack Gold 2" x="107"/>
        <item n="Madeline Finley " m="1" x="363"/>
        <item n="Madeline Finley 2" x="108"/>
        <item m="1" x="175"/>
        <item n="Madison Herp " m="1" x="233"/>
        <item n="Madison Herp 2" x="109"/>
        <item x="110"/>
        <item m="1" x="234"/>
        <item x="111"/>
        <item x="112"/>
        <item n="Mason Mueller " m="1" x="347"/>
        <item n="Mason Mueller 2" x="113"/>
        <item m="1" x="178"/>
        <item n="Maud Diaz " m="1" x="271"/>
        <item n="Maud Diaz 2" x="114"/>
        <item x="115"/>
        <item m="1" x="334"/>
        <item m="1" x="218"/>
        <item m="1" x="258"/>
        <item m="1" x="254"/>
        <item x="116"/>
        <item m="1" x="222"/>
        <item n="Melinda Ferguson " m="1" x="237"/>
        <item n="Melinda Ferguson 2" x="117"/>
        <item m="1" x="331"/>
        <item x="118"/>
        <item n="Misty Olson " m="1" x="350"/>
        <item n="Misty Olson 2" x="119"/>
        <item x="120"/>
        <item m="1" x="194"/>
        <item n="Nancy Tervino " m="1" x="268"/>
        <item n="Nancy Tervino 2" x="121"/>
        <item m="1" x="204"/>
        <item m="1" x="202"/>
        <item n="Nellie Allred " m="1" x="248"/>
        <item n="Nellie Allred 2" x="122"/>
        <item n="Neriah Mueller " m="1" x="304"/>
        <item n="Neriah Mueller 2" x="123"/>
        <item n="Nettie Higgins " m="1" x="229"/>
        <item n="Nettie Higgins 2" x="124"/>
        <item x="125"/>
        <item n="Nicholaa Ward " m="1" x="322"/>
        <item n="Nicholaa Ward 2" x="126"/>
        <item x="127"/>
        <item m="1" x="189"/>
        <item x="128"/>
        <item n="Olga Kuat " m="1" x="345"/>
        <item n="Olga Kuat 2" x="129"/>
        <item m="1" x="290"/>
        <item x="130"/>
        <item m="1" x="182"/>
        <item n="Paul Long " m="1" x="344"/>
        <item n="Paul Long 2" x="131"/>
        <item x="132"/>
        <item x="133"/>
        <item x="134"/>
        <item x="135"/>
        <item x="136"/>
        <item n="Peyton Rangel " m="1" x="288"/>
        <item n="Peyton Rangel 2" x="137"/>
        <item x="138"/>
        <item m="1" x="269"/>
        <item m="1" x="295"/>
        <item n="Rachelle Kuat " m="1" x="205"/>
        <item n="Rachelle Kuat 2" x="139"/>
        <item n="Rea French " m="1" x="289"/>
        <item n="Rea French 2" x="140"/>
        <item m="1" x="261"/>
        <item n="Rhodri Andrews " m="1" x="223"/>
        <item n="Rhodri Andrews 2" x="141"/>
        <item n="Ricardo Fitz " m="1" x="279"/>
        <item n="Ricardo Fitz 2" x="142"/>
        <item n="Riley McNeil " m="1" x="188"/>
        <item n="Riley McNeil 2" x="143"/>
        <item m="1" x="342"/>
        <item n="Rogan Brooks " m="1" x="221"/>
        <item n="Rogan Brooks 2" x="144"/>
        <item x="145"/>
        <item n="Roland Berg " m="1" x="193"/>
        <item n="Roland Berg 2" x="146"/>
        <item m="1" x="278"/>
        <item n="Sam Pong " m="1" x="170"/>
        <item n="Sam Pong 2" x="147"/>
        <item x="148"/>
        <item n="Samuel Dayo " m="1" x="244"/>
        <item n="Samuel Dayo 2" x="149"/>
        <item m="1" x="207"/>
        <item m="1" x="324"/>
        <item m="1" x="275"/>
        <item m="1" x="276"/>
        <item m="1" x="201"/>
        <item m="1" x="303"/>
        <item n="Shyam Boyd " m="1" x="298"/>
        <item n="Shyam Boyd 2" x="150"/>
        <item m="1" x="245"/>
        <item m="1" x="247"/>
        <item m="1" x="228"/>
        <item m="1" x="285"/>
        <item m="1" x="215"/>
        <item m="1" x="260"/>
        <item n="Stephanie Parti " m="1" x="173"/>
        <item n="Stephanie Parti 2" x="151"/>
        <item x="152"/>
        <item m="1" x="187"/>
        <item m="1" x="183"/>
        <item n="Tabatha Fray " m="1" x="241"/>
        <item n="Tabatha Fray 2" x="153"/>
        <item m="1" x="240"/>
        <item m="1" x="332"/>
        <item m="1" x="235"/>
        <item m="1" x="238"/>
        <item m="1" x="171"/>
        <item n="Tehya Macfarland " m="1" x="273"/>
        <item n="Tehya Macfarland 2" x="154"/>
        <item n="Teyson Jol " m="1" x="196"/>
        <item n="Teyson Jol 2" x="155"/>
        <item x="156"/>
        <item m="1" x="335"/>
        <item n="Tim Lonser " m="1" x="314"/>
        <item n="Tim Lonser 2" x="157"/>
        <item n="Tomi Wiggins " m="1" x="191"/>
        <item n="Tomi Wiggins 2" x="158"/>
        <item x="159"/>
        <item n="Umaia Colley " m="1" x="192"/>
        <item n="Umaia Colley 2" x="160"/>
        <item n="Usman Fellow " m="1" x="299"/>
        <item n="Usman Fellow 2" x="161"/>
        <item x="162"/>
        <item n="Vlad Frasier " m="1" x="255"/>
        <item n="Vlad Frasier 2" x="163"/>
        <item m="1" x="181"/>
        <item x="164"/>
        <item x="165"/>
        <item n="Yuvraj Dens " m="1" x="319"/>
        <item n="Yuvraj Dens 2" x="166"/>
        <item x="167"/>
        <item x="168"/>
        <item t="default"/>
      </items>
    </pivotField>
  </pivotFields>
  <rowFields count="1">
    <field x="0"/>
  </rowFields>
  <rowItems count="16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rowItems>
  <colItems count="1">
    <i/>
  </colItems>
  <formats count="3">
    <format dxfId="41">
      <pivotArea field="25" type="button" dataOnly="0" labelOnly="1" outline="0"/>
    </format>
    <format dxfId="40">
      <pivotArea field="25" type="button" dataOnly="0" labelOnly="1" outline="0"/>
    </format>
    <format dxfId="39">
      <pivotArea field="25" type="button" dataOnly="0" labelOnly="1" outline="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OverallTable" displayName="OverallTable" ref="A1:Z170" totalsRowShown="0" headerRowDxfId="38" dataDxfId="36" headerRowBorderDxfId="37" tableBorderDxfId="35">
  <autoFilter ref="A1:Z170"/>
  <sortState ref="A2:Z170">
    <sortCondition ref="A1:A170"/>
  </sortState>
  <tableColumns count="26">
    <tableColumn id="1" name="Name" dataDxfId="34"/>
    <tableColumn id="25" name="Active" dataDxfId="33"/>
    <tableColumn id="2" name="System Time" dataDxfId="32">
      <calculatedColumnFormula>SUMPRODUCT(SUMIF(INDIRECT("'"&amp;SheetList&amp;"'!B4:B150"),$A2,INDIRECT("'"&amp;SheetList&amp;"'!C4:C150")))</calculatedColumnFormula>
    </tableColumn>
    <tableColumn id="3" name="Total Gifts" dataDxfId="31">
      <calculatedColumnFormula>SUMPRODUCT(SUMIF(INDIRECT("'"&amp;SheetList&amp;"'!B4:B150"),$A2,INDIRECT("'"&amp;SheetList&amp;"'!D4:D150")))</calculatedColumnFormula>
    </tableColumn>
    <tableColumn id="4" name="One-Time Gifts" dataDxfId="30">
      <calculatedColumnFormula>SUMPRODUCT(SUMIF(INDIRECT("'"&amp;SheetList&amp;"'!B4:B150"),$A2,INDIRECT("'"&amp;SheetList&amp;"'!E4:E150")))</calculatedColumnFormula>
    </tableColumn>
    <tableColumn id="5" name="Recurring Gifts" dataDxfId="29">
      <calculatedColumnFormula>SUMPRODUCT(SUMIF(INDIRECT("'"&amp;SheetList&amp;"'!B4:B150"),$A2,INDIRECT("'"&amp;SheetList&amp;"'!F4:F150")))</calculatedColumnFormula>
    </tableColumn>
    <tableColumn id="6" name="Contacts" dataDxfId="28">
      <calculatedColumnFormula>SUMPRODUCT(SUMIF(INDIRECT("'"&amp;SheetList&amp;"'!B4:B150"),$A2,INDIRECT("'"&amp;SheetList&amp;"'!G4:G150")))</calculatedColumnFormula>
    </tableColumn>
    <tableColumn id="16" name="One-Time Amount" dataDxfId="27">
      <calculatedColumnFormula>SUMPRODUCT(SUMIF(INDIRECT("'"&amp;SheetList&amp;"'!B4:B150"),$A2,INDIRECT("'"&amp;SheetList&amp;"'!h4:h150")))</calculatedColumnFormula>
    </tableColumn>
    <tableColumn id="18" name="Recurring Amount" dataDxfId="26">
      <calculatedColumnFormula>SUMPRODUCT(SUMIF(INDIRECT("'"&amp;SheetList&amp;"'!B4:B150"),$A2,INDIRECT("'"&amp;SheetList&amp;"'!i4:i150")))</calculatedColumnFormula>
    </tableColumn>
    <tableColumn id="7" name="Total Amount" dataDxfId="25">
      <calculatedColumnFormula>SUMPRODUCT(SUMIF(INDIRECT("'"&amp;SheetList&amp;"'!B4:B150"),$A2,INDIRECT("'"&amp;SheetList&amp;"'!j4:j150")))</calculatedColumnFormula>
    </tableColumn>
    <tableColumn id="8" name="Participation Rate" dataDxfId="24" dataCellStyle="Percent">
      <calculatedColumnFormula>IFERROR(IF(AND('CALLER Portal'!$Y$1 = "False", OverallTable[[#This Row],[Active]] = FALSE), "",OverallTable[[#This Row],[Total Gifts]]/OverallTable[[#This Row],[Contacts]]),"")</calculatedColumnFormula>
    </tableColumn>
    <tableColumn id="9" name="Immediate Gift Rate" dataDxfId="23" dataCellStyle="Percent">
      <calculatedColumnFormula>IF(AND('CALLER Portal'!$Y$1 = "False", OverallTable[[#This Row],[Active]] = FALSE), "", IF(C2 = 0,"",IFERROR((E2+F2)/D2,0)))</calculatedColumnFormula>
    </tableColumn>
    <tableColumn id="10" name="Recurring Gift Rate" dataDxfId="22" dataCellStyle="Percent">
      <calculatedColumnFormula>IF(AND('CALLER Portal'!$Y$1 = "False", OverallTable[[#This Row],[Active]] = FALSE), "",IF(C2 = 0,"",IFERROR(F2/D2,0)))</calculatedColumnFormula>
    </tableColumn>
    <tableColumn id="11" name="Immediate Amt / Hour" dataDxfId="21">
      <calculatedColumnFormula>IF(AND('CALLER Portal'!$Y$1 = "False", OverallTable[[#This Row],[Active]] = FALSE), "", IFERROR((H2+I2)/C2,""))</calculatedColumnFormula>
    </tableColumn>
    <tableColumn id="12" name="Immediate Gifts / Hour" dataDxfId="20" dataCellStyle="Percent">
      <calculatedColumnFormula>IF(AND('CALLER Portal'!$Y$1 = "False", OverallTable[[#This Row],[Active]] = FALSE),"",IF(C2 = 0,"",IFERROR((E2+F2)/C2,0)))</calculatedColumnFormula>
    </tableColumn>
    <tableColumn id="13" name="Recurring Gifts  / Hour" dataDxfId="19" dataCellStyle="Percent">
      <calculatedColumnFormula>IF(AND('CALLER Portal'!$Y$1 = "False", OverallTable[[#This Row],[Active]] = FALSE), "", IF(C2 = 0,"",IFERROR((F2)/C2,0)))</calculatedColumnFormula>
    </tableColumn>
    <tableColumn id="14" name="ContactHr" dataDxfId="18">
      <calculatedColumnFormula>IFERROR(G2/C2,"")</calculatedColumnFormula>
    </tableColumn>
    <tableColumn id="24" name="Calling Percentile" dataDxfId="17">
      <calculatedColumnFormula>IFERROR(_xlfn.PERCENTRANK.INC(OverallTable[F-Score], OverallTable[[#This Row],[F-Score]]),"")</calculatedColumnFormula>
    </tableColumn>
    <tableColumn id="17" name="F-Score" dataDxfId="16">
      <calculatedColumnFormula>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calculatedColumnFormula>
    </tableColumn>
    <tableColumn id="15" name="Percent Rank PR" dataDxfId="15">
      <calculatedColumnFormula>IFERROR(_xlfn.PERCENTRANK.EXC(K:K, K2), "")</calculatedColumnFormula>
    </tableColumn>
    <tableColumn id="19" name="Percent Rank IGR" dataDxfId="14">
      <calculatedColumnFormula>IFERROR(_xlfn.PERCENTRANK.EXC(L:L, L2), "")</calculatedColumnFormula>
    </tableColumn>
    <tableColumn id="20" name="Percent Rank RGR" dataDxfId="13">
      <calculatedColumnFormula>IFERROR(_xlfn.PERCENTRANK.EXC(M:M, M2), "")</calculatedColumnFormula>
    </tableColumn>
    <tableColumn id="21" name="Percent Rank IAH" dataDxfId="12">
      <calculatedColumnFormula>IFERROR(_xlfn.PERCENTRANK.EXC(N:N, N2), "")</calculatedColumnFormula>
    </tableColumn>
    <tableColumn id="22" name="Percent Rank IGH" dataDxfId="11">
      <calculatedColumnFormula>IFERROR(_xlfn.PERCENTRANK.EXC(O:O, O2), "")</calculatedColumnFormula>
    </tableColumn>
    <tableColumn id="23" name="Percent Rank RGH" dataDxfId="10">
      <calculatedColumnFormula>IFERROR(_xlfn.PERCENTRANK.EXC(P:P, P2), "")</calculatedColumnFormula>
    </tableColumn>
    <tableColumn id="26" name="Blanked out Reference Name" dataDxfId="9">
      <calculatedColumnFormula>IFERROR(IF('CALLER Portal'!$Y$1 = "TRUE", OverallTable[[#This Row],[Name]],IF(AND('CALLER Portal'!$Y$1 = "FALSE", OverallTable[[#This Row],[Active]] = TRUE),OverallTable[[#This Row],[Name]],"(Blank)")),"")</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1.emf"/><Relationship Id="rId4" Type="http://schemas.openxmlformats.org/officeDocument/2006/relationships/control" Target="../activeX/activeX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tabColor theme="7" tint="-0.499984740745262"/>
    <pageSetUpPr fitToPage="1"/>
  </sheetPr>
  <dimension ref="A1:XFD47"/>
  <sheetViews>
    <sheetView tabSelected="1" topLeftCell="B1" zoomScale="87" zoomScaleNormal="87" workbookViewId="0">
      <selection activeCell="G1" sqref="G1:J1"/>
    </sheetView>
  </sheetViews>
  <sheetFormatPr defaultRowHeight="15" x14ac:dyDescent="0.25"/>
  <cols>
    <col min="1" max="1" width="4.28515625" style="22" hidden="1" customWidth="1"/>
    <col min="2" max="2" width="26.85546875" customWidth="1"/>
    <col min="3" max="52" width="9.140625" customWidth="1"/>
  </cols>
  <sheetData>
    <row r="1" spans="1:154 14670:16384" ht="24" thickBot="1" x14ac:dyDescent="0.4">
      <c r="A1" s="22" t="e">
        <f>IF(#REF!=2018,18,IF(#REF!=2019,19))</f>
        <v>#REF!</v>
      </c>
      <c r="F1" s="142" t="s">
        <v>4</v>
      </c>
      <c r="G1" s="600" t="s">
        <v>259</v>
      </c>
      <c r="H1" s="601"/>
      <c r="I1" s="601"/>
      <c r="J1" s="602"/>
      <c r="L1" s="576" t="s">
        <v>253</v>
      </c>
      <c r="M1" s="577"/>
      <c r="N1" s="582">
        <f>COUNTIFS(Overall!B:B,TRUE)</f>
        <v>169</v>
      </c>
      <c r="O1" s="583"/>
      <c r="Q1" s="70" t="s">
        <v>5</v>
      </c>
      <c r="R1" s="71"/>
      <c r="S1" s="576">
        <f ca="1">COUNT(C14:AZ14)</f>
        <v>0</v>
      </c>
      <c r="T1" s="577"/>
      <c r="V1" s="591" t="s">
        <v>254</v>
      </c>
      <c r="W1" s="592"/>
      <c r="X1" s="593"/>
      <c r="Y1" s="149" t="s">
        <v>257</v>
      </c>
    </row>
    <row r="2" spans="1:154 14670:16384" ht="15.75" thickBot="1" x14ac:dyDescent="0.3">
      <c r="A2"/>
      <c r="AB2" s="75">
        <v>0</v>
      </c>
    </row>
    <row r="3" spans="1:154 14670:16384" s="22" customFormat="1" ht="15.75" thickBot="1" x14ac:dyDescent="0.3">
      <c r="B3" s="1" t="s">
        <v>0</v>
      </c>
      <c r="C3" s="118">
        <f ca="1">OFFSET(C13,0,$AB$2)</f>
        <v>43470</v>
      </c>
      <c r="D3" s="118">
        <f t="shared" ref="D3:AB3" ca="1" si="0">OFFSET(D13,0,$AB$2)</f>
        <v>43477</v>
      </c>
      <c r="E3" s="118">
        <f t="shared" ca="1" si="0"/>
        <v>43484</v>
      </c>
      <c r="F3" s="118">
        <f t="shared" ca="1" si="0"/>
        <v>43491</v>
      </c>
      <c r="G3" s="118">
        <f t="shared" ca="1" si="0"/>
        <v>43498</v>
      </c>
      <c r="H3" s="118">
        <f t="shared" ca="1" si="0"/>
        <v>43505</v>
      </c>
      <c r="I3" s="118">
        <f t="shared" ca="1" si="0"/>
        <v>43512</v>
      </c>
      <c r="J3" s="118">
        <f t="shared" ca="1" si="0"/>
        <v>43519</v>
      </c>
      <c r="K3" s="118">
        <f t="shared" ca="1" si="0"/>
        <v>43526</v>
      </c>
      <c r="L3" s="118">
        <f t="shared" ca="1" si="0"/>
        <v>43533</v>
      </c>
      <c r="M3" s="118">
        <f t="shared" ca="1" si="0"/>
        <v>43540</v>
      </c>
      <c r="N3" s="118">
        <f t="shared" ca="1" si="0"/>
        <v>43547</v>
      </c>
      <c r="O3" s="118">
        <f t="shared" ca="1" si="0"/>
        <v>43554</v>
      </c>
      <c r="P3" s="118">
        <f t="shared" ca="1" si="0"/>
        <v>43561</v>
      </c>
      <c r="Q3" s="118">
        <f t="shared" ca="1" si="0"/>
        <v>43568</v>
      </c>
      <c r="R3" s="118">
        <f t="shared" ca="1" si="0"/>
        <v>43575</v>
      </c>
      <c r="S3" s="118">
        <f t="shared" ca="1" si="0"/>
        <v>43582</v>
      </c>
      <c r="T3" s="118">
        <f t="shared" ca="1" si="0"/>
        <v>43589</v>
      </c>
      <c r="U3" s="118">
        <f t="shared" ca="1" si="0"/>
        <v>43596</v>
      </c>
      <c r="V3" s="118">
        <f t="shared" ca="1" si="0"/>
        <v>43603</v>
      </c>
      <c r="W3" s="118">
        <f t="shared" ca="1" si="0"/>
        <v>43610</v>
      </c>
      <c r="X3" s="118">
        <f t="shared" ca="1" si="0"/>
        <v>43617</v>
      </c>
      <c r="Y3" s="118">
        <f t="shared" ca="1" si="0"/>
        <v>43624</v>
      </c>
      <c r="Z3" s="118">
        <f t="shared" ca="1" si="0"/>
        <v>43631</v>
      </c>
      <c r="AA3" s="118">
        <f t="shared" ca="1" si="0"/>
        <v>43638</v>
      </c>
      <c r="AB3" s="118">
        <f t="shared" ca="1" si="0"/>
        <v>43645</v>
      </c>
    </row>
    <row r="4" spans="1:154 14670:16384" s="22" customFormat="1" ht="15.75" thickBot="1" x14ac:dyDescent="0.3">
      <c r="B4" s="32" t="s">
        <v>1</v>
      </c>
      <c r="C4" s="26" t="str">
        <f t="shared" ref="C4:AB4" ca="1" si="1">OFFSET(C14,0,$AB$2)</f>
        <v/>
      </c>
      <c r="D4" s="26" t="str">
        <f t="shared" ca="1" si="1"/>
        <v/>
      </c>
      <c r="E4" s="26" t="str">
        <f t="shared" ca="1" si="1"/>
        <v/>
      </c>
      <c r="F4" s="26" t="str">
        <f t="shared" ca="1" si="1"/>
        <v/>
      </c>
      <c r="G4" s="26" t="str">
        <f t="shared" ca="1" si="1"/>
        <v/>
      </c>
      <c r="H4" s="26" t="str">
        <f t="shared" ca="1" si="1"/>
        <v/>
      </c>
      <c r="I4" s="26" t="str">
        <f t="shared" ca="1" si="1"/>
        <v/>
      </c>
      <c r="J4" s="26" t="str">
        <f t="shared" ca="1" si="1"/>
        <v/>
      </c>
      <c r="K4" s="26" t="str">
        <f t="shared" ca="1" si="1"/>
        <v/>
      </c>
      <c r="L4" s="26" t="str">
        <f t="shared" ca="1" si="1"/>
        <v/>
      </c>
      <c r="M4" s="26" t="str">
        <f t="shared" ca="1" si="1"/>
        <v/>
      </c>
      <c r="N4" s="26" t="str">
        <f t="shared" ca="1" si="1"/>
        <v/>
      </c>
      <c r="O4" s="26" t="str">
        <f t="shared" ca="1" si="1"/>
        <v/>
      </c>
      <c r="P4" s="26" t="str">
        <f t="shared" ca="1" si="1"/>
        <v/>
      </c>
      <c r="Q4" s="26" t="str">
        <f t="shared" ca="1" si="1"/>
        <v/>
      </c>
      <c r="R4" s="26" t="str">
        <f t="shared" ca="1" si="1"/>
        <v/>
      </c>
      <c r="S4" s="26" t="str">
        <f t="shared" ca="1" si="1"/>
        <v/>
      </c>
      <c r="T4" s="26" t="str">
        <f t="shared" ca="1" si="1"/>
        <v/>
      </c>
      <c r="U4" s="26" t="str">
        <f t="shared" ca="1" si="1"/>
        <v/>
      </c>
      <c r="V4" s="26" t="str">
        <f t="shared" ca="1" si="1"/>
        <v/>
      </c>
      <c r="W4" s="26" t="str">
        <f t="shared" ca="1" si="1"/>
        <v/>
      </c>
      <c r="X4" s="26" t="str">
        <f t="shared" ca="1" si="1"/>
        <v/>
      </c>
      <c r="Y4" s="26" t="str">
        <f t="shared" ca="1" si="1"/>
        <v/>
      </c>
      <c r="Z4" s="26" t="str">
        <f t="shared" ca="1" si="1"/>
        <v/>
      </c>
      <c r="AA4" s="26" t="str">
        <f t="shared" ca="1" si="1"/>
        <v/>
      </c>
      <c r="AB4" s="26" t="str">
        <f t="shared" ca="1" si="1"/>
        <v/>
      </c>
    </row>
    <row r="5" spans="1:154 14670:16384" s="22" customFormat="1" ht="15.75" thickBot="1" x14ac:dyDescent="0.3">
      <c r="B5" s="30" t="s">
        <v>108</v>
      </c>
      <c r="C5" s="23" t="str">
        <f t="shared" ref="C5:AB5" ca="1" si="2">OFFSET(C15,0,$AB$2)</f>
        <v/>
      </c>
      <c r="D5" s="23" t="str">
        <f t="shared" ca="1" si="2"/>
        <v/>
      </c>
      <c r="E5" s="23" t="str">
        <f t="shared" ca="1" si="2"/>
        <v/>
      </c>
      <c r="F5" s="23" t="str">
        <f t="shared" ca="1" si="2"/>
        <v/>
      </c>
      <c r="G5" s="23" t="str">
        <f t="shared" ca="1" si="2"/>
        <v/>
      </c>
      <c r="H5" s="23" t="str">
        <f t="shared" ca="1" si="2"/>
        <v/>
      </c>
      <c r="I5" s="23" t="str">
        <f t="shared" ca="1" si="2"/>
        <v/>
      </c>
      <c r="J5" s="23" t="str">
        <f t="shared" ca="1" si="2"/>
        <v/>
      </c>
      <c r="K5" s="23" t="str">
        <f t="shared" ca="1" si="2"/>
        <v/>
      </c>
      <c r="L5" s="23" t="str">
        <f t="shared" ca="1" si="2"/>
        <v/>
      </c>
      <c r="M5" s="23" t="str">
        <f t="shared" ca="1" si="2"/>
        <v/>
      </c>
      <c r="N5" s="23" t="str">
        <f t="shared" ca="1" si="2"/>
        <v/>
      </c>
      <c r="O5" s="23" t="str">
        <f t="shared" ca="1" si="2"/>
        <v/>
      </c>
      <c r="P5" s="23" t="str">
        <f t="shared" ca="1" si="2"/>
        <v/>
      </c>
      <c r="Q5" s="23" t="str">
        <f t="shared" ca="1" si="2"/>
        <v/>
      </c>
      <c r="R5" s="23" t="str">
        <f t="shared" ca="1" si="2"/>
        <v/>
      </c>
      <c r="S5" s="23" t="str">
        <f t="shared" ca="1" si="2"/>
        <v/>
      </c>
      <c r="T5" s="23" t="str">
        <f t="shared" ca="1" si="2"/>
        <v/>
      </c>
      <c r="U5" s="23" t="str">
        <f t="shared" ca="1" si="2"/>
        <v/>
      </c>
      <c r="V5" s="23" t="str">
        <f t="shared" ca="1" si="2"/>
        <v/>
      </c>
      <c r="W5" s="23" t="str">
        <f t="shared" ca="1" si="2"/>
        <v/>
      </c>
      <c r="X5" s="23" t="str">
        <f t="shared" ca="1" si="2"/>
        <v/>
      </c>
      <c r="Y5" s="23" t="str">
        <f t="shared" ca="1" si="2"/>
        <v/>
      </c>
      <c r="Z5" s="23" t="str">
        <f t="shared" ca="1" si="2"/>
        <v/>
      </c>
      <c r="AA5" s="23" t="str">
        <f t="shared" ca="1" si="2"/>
        <v/>
      </c>
      <c r="AB5" s="23" t="str">
        <f t="shared" ca="1" si="2"/>
        <v/>
      </c>
    </row>
    <row r="6" spans="1:154 14670:16384" s="22" customFormat="1" ht="15.75" thickBot="1" x14ac:dyDescent="0.3">
      <c r="B6" s="33" t="s">
        <v>109</v>
      </c>
      <c r="C6" s="23" t="str">
        <f t="shared" ref="C6:AB6" ca="1" si="3">OFFSET(C16,0,$AB$2)</f>
        <v/>
      </c>
      <c r="D6" s="23" t="str">
        <f t="shared" ca="1" si="3"/>
        <v/>
      </c>
      <c r="E6" s="23" t="str">
        <f t="shared" ca="1" si="3"/>
        <v/>
      </c>
      <c r="F6" s="23" t="str">
        <f t="shared" ca="1" si="3"/>
        <v/>
      </c>
      <c r="G6" s="23" t="str">
        <f t="shared" ca="1" si="3"/>
        <v/>
      </c>
      <c r="H6" s="23" t="str">
        <f t="shared" ca="1" si="3"/>
        <v/>
      </c>
      <c r="I6" s="23" t="str">
        <f t="shared" ca="1" si="3"/>
        <v/>
      </c>
      <c r="J6" s="23" t="str">
        <f t="shared" ca="1" si="3"/>
        <v/>
      </c>
      <c r="K6" s="23" t="str">
        <f t="shared" ca="1" si="3"/>
        <v/>
      </c>
      <c r="L6" s="23" t="str">
        <f t="shared" ca="1" si="3"/>
        <v/>
      </c>
      <c r="M6" s="23" t="str">
        <f t="shared" ca="1" si="3"/>
        <v/>
      </c>
      <c r="N6" s="23" t="str">
        <f t="shared" ca="1" si="3"/>
        <v/>
      </c>
      <c r="O6" s="23" t="str">
        <f t="shared" ca="1" si="3"/>
        <v/>
      </c>
      <c r="P6" s="23" t="str">
        <f t="shared" ca="1" si="3"/>
        <v/>
      </c>
      <c r="Q6" s="23" t="str">
        <f t="shared" ca="1" si="3"/>
        <v/>
      </c>
      <c r="R6" s="23" t="str">
        <f t="shared" ca="1" si="3"/>
        <v/>
      </c>
      <c r="S6" s="23" t="str">
        <f t="shared" ca="1" si="3"/>
        <v/>
      </c>
      <c r="T6" s="23" t="str">
        <f t="shared" ca="1" si="3"/>
        <v/>
      </c>
      <c r="U6" s="23" t="str">
        <f t="shared" ca="1" si="3"/>
        <v/>
      </c>
      <c r="V6" s="23" t="str">
        <f t="shared" ca="1" si="3"/>
        <v/>
      </c>
      <c r="W6" s="23" t="str">
        <f t="shared" ca="1" si="3"/>
        <v/>
      </c>
      <c r="X6" s="23" t="str">
        <f t="shared" ca="1" si="3"/>
        <v/>
      </c>
      <c r="Y6" s="23" t="str">
        <f t="shared" ca="1" si="3"/>
        <v/>
      </c>
      <c r="Z6" s="23" t="str">
        <f t="shared" ca="1" si="3"/>
        <v/>
      </c>
      <c r="AA6" s="23" t="str">
        <f t="shared" ca="1" si="3"/>
        <v/>
      </c>
      <c r="AB6" s="23" t="str">
        <f t="shared" ca="1" si="3"/>
        <v/>
      </c>
    </row>
    <row r="7" spans="1:154 14670:16384" s="22" customFormat="1" ht="15.75" thickBot="1" x14ac:dyDescent="0.3">
      <c r="B7" s="30" t="s">
        <v>110</v>
      </c>
      <c r="C7" s="23" t="str">
        <f t="shared" ref="C7:AB7" ca="1" si="4">OFFSET(C17,0,$AB$2)</f>
        <v/>
      </c>
      <c r="D7" s="23" t="str">
        <f t="shared" ca="1" si="4"/>
        <v/>
      </c>
      <c r="E7" s="23" t="str">
        <f t="shared" ca="1" si="4"/>
        <v/>
      </c>
      <c r="F7" s="23" t="str">
        <f t="shared" ca="1" si="4"/>
        <v/>
      </c>
      <c r="G7" s="23" t="str">
        <f t="shared" ca="1" si="4"/>
        <v/>
      </c>
      <c r="H7" s="23" t="str">
        <f t="shared" ca="1" si="4"/>
        <v/>
      </c>
      <c r="I7" s="23" t="str">
        <f t="shared" ca="1" si="4"/>
        <v/>
      </c>
      <c r="J7" s="23" t="str">
        <f t="shared" ca="1" si="4"/>
        <v/>
      </c>
      <c r="K7" s="23" t="str">
        <f t="shared" ca="1" si="4"/>
        <v/>
      </c>
      <c r="L7" s="23" t="str">
        <f t="shared" ca="1" si="4"/>
        <v/>
      </c>
      <c r="M7" s="23" t="str">
        <f t="shared" ca="1" si="4"/>
        <v/>
      </c>
      <c r="N7" s="23" t="str">
        <f t="shared" ca="1" si="4"/>
        <v/>
      </c>
      <c r="O7" s="23" t="str">
        <f t="shared" ca="1" si="4"/>
        <v/>
      </c>
      <c r="P7" s="23" t="str">
        <f t="shared" ca="1" si="4"/>
        <v/>
      </c>
      <c r="Q7" s="23" t="str">
        <f t="shared" ca="1" si="4"/>
        <v/>
      </c>
      <c r="R7" s="23" t="str">
        <f t="shared" ca="1" si="4"/>
        <v/>
      </c>
      <c r="S7" s="23" t="str">
        <f t="shared" ca="1" si="4"/>
        <v/>
      </c>
      <c r="T7" s="23" t="str">
        <f t="shared" ca="1" si="4"/>
        <v/>
      </c>
      <c r="U7" s="23" t="str">
        <f t="shared" ca="1" si="4"/>
        <v/>
      </c>
      <c r="V7" s="23" t="str">
        <f t="shared" ca="1" si="4"/>
        <v/>
      </c>
      <c r="W7" s="23" t="str">
        <f t="shared" ca="1" si="4"/>
        <v/>
      </c>
      <c r="X7" s="23" t="str">
        <f t="shared" ca="1" si="4"/>
        <v/>
      </c>
      <c r="Y7" s="23" t="str">
        <f t="shared" ca="1" si="4"/>
        <v/>
      </c>
      <c r="Z7" s="23" t="str">
        <f t="shared" ca="1" si="4"/>
        <v/>
      </c>
      <c r="AA7" s="23" t="str">
        <f t="shared" ca="1" si="4"/>
        <v/>
      </c>
      <c r="AB7" s="23" t="str">
        <f t="shared" ca="1" si="4"/>
        <v/>
      </c>
    </row>
    <row r="8" spans="1:154 14670:16384" s="22" customFormat="1" ht="15.75" thickBot="1" x14ac:dyDescent="0.3">
      <c r="B8" s="33" t="s">
        <v>113</v>
      </c>
      <c r="C8" s="27" t="str">
        <f t="shared" ref="C8:AB8" ca="1" si="5">OFFSET(C18,0,$AB$2)</f>
        <v/>
      </c>
      <c r="D8" s="27" t="str">
        <f t="shared" ca="1" si="5"/>
        <v/>
      </c>
      <c r="E8" s="27" t="str">
        <f t="shared" ca="1" si="5"/>
        <v/>
      </c>
      <c r="F8" s="27" t="str">
        <f t="shared" ca="1" si="5"/>
        <v/>
      </c>
      <c r="G8" s="27" t="str">
        <f t="shared" ca="1" si="5"/>
        <v/>
      </c>
      <c r="H8" s="27" t="str">
        <f t="shared" ca="1" si="5"/>
        <v/>
      </c>
      <c r="I8" s="27" t="str">
        <f t="shared" ca="1" si="5"/>
        <v/>
      </c>
      <c r="J8" s="27" t="str">
        <f t="shared" ca="1" si="5"/>
        <v/>
      </c>
      <c r="K8" s="27" t="str">
        <f t="shared" ca="1" si="5"/>
        <v/>
      </c>
      <c r="L8" s="27" t="str">
        <f t="shared" ca="1" si="5"/>
        <v/>
      </c>
      <c r="M8" s="27" t="str">
        <f t="shared" ca="1" si="5"/>
        <v/>
      </c>
      <c r="N8" s="27" t="str">
        <f t="shared" ca="1" si="5"/>
        <v/>
      </c>
      <c r="O8" s="27" t="str">
        <f t="shared" ca="1" si="5"/>
        <v/>
      </c>
      <c r="P8" s="27" t="str">
        <f t="shared" ca="1" si="5"/>
        <v/>
      </c>
      <c r="Q8" s="27" t="str">
        <f t="shared" ca="1" si="5"/>
        <v/>
      </c>
      <c r="R8" s="27" t="str">
        <f t="shared" ca="1" si="5"/>
        <v/>
      </c>
      <c r="S8" s="27" t="str">
        <f t="shared" ca="1" si="5"/>
        <v/>
      </c>
      <c r="T8" s="27" t="str">
        <f t="shared" ca="1" si="5"/>
        <v/>
      </c>
      <c r="U8" s="27" t="str">
        <f t="shared" ca="1" si="5"/>
        <v/>
      </c>
      <c r="V8" s="27" t="str">
        <f t="shared" ca="1" si="5"/>
        <v/>
      </c>
      <c r="W8" s="27" t="str">
        <f t="shared" ca="1" si="5"/>
        <v/>
      </c>
      <c r="X8" s="27" t="str">
        <f t="shared" ca="1" si="5"/>
        <v/>
      </c>
      <c r="Y8" s="27" t="str">
        <f t="shared" ca="1" si="5"/>
        <v/>
      </c>
      <c r="Z8" s="27" t="str">
        <f t="shared" ca="1" si="5"/>
        <v/>
      </c>
      <c r="AA8" s="27" t="str">
        <f t="shared" ca="1" si="5"/>
        <v/>
      </c>
      <c r="AB8" s="27" t="str">
        <f t="shared" ca="1" si="5"/>
        <v/>
      </c>
    </row>
    <row r="9" spans="1:154 14670:16384" s="22" customFormat="1" ht="15.75" thickBot="1" x14ac:dyDescent="0.3">
      <c r="B9" s="31" t="s">
        <v>112</v>
      </c>
      <c r="C9" s="28" t="str">
        <f t="shared" ref="C9:AB9" ca="1" si="6">OFFSET(C19,0,$AB$2)</f>
        <v/>
      </c>
      <c r="D9" s="28" t="str">
        <f t="shared" ca="1" si="6"/>
        <v/>
      </c>
      <c r="E9" s="28" t="str">
        <f t="shared" ca="1" si="6"/>
        <v/>
      </c>
      <c r="F9" s="28" t="str">
        <f t="shared" ca="1" si="6"/>
        <v/>
      </c>
      <c r="G9" s="28" t="str">
        <f t="shared" ca="1" si="6"/>
        <v/>
      </c>
      <c r="H9" s="28" t="str">
        <f t="shared" ca="1" si="6"/>
        <v/>
      </c>
      <c r="I9" s="28" t="str">
        <f t="shared" ca="1" si="6"/>
        <v/>
      </c>
      <c r="J9" s="28" t="str">
        <f t="shared" ca="1" si="6"/>
        <v/>
      </c>
      <c r="K9" s="28" t="str">
        <f t="shared" ca="1" si="6"/>
        <v/>
      </c>
      <c r="L9" s="28" t="str">
        <f t="shared" ca="1" si="6"/>
        <v/>
      </c>
      <c r="M9" s="28" t="str">
        <f t="shared" ca="1" si="6"/>
        <v/>
      </c>
      <c r="N9" s="28" t="str">
        <f t="shared" ca="1" si="6"/>
        <v/>
      </c>
      <c r="O9" s="28" t="str">
        <f t="shared" ca="1" si="6"/>
        <v/>
      </c>
      <c r="P9" s="28" t="str">
        <f t="shared" ca="1" si="6"/>
        <v/>
      </c>
      <c r="Q9" s="28" t="str">
        <f t="shared" ca="1" si="6"/>
        <v/>
      </c>
      <c r="R9" s="28" t="str">
        <f t="shared" ca="1" si="6"/>
        <v/>
      </c>
      <c r="S9" s="28" t="str">
        <f t="shared" ca="1" si="6"/>
        <v/>
      </c>
      <c r="T9" s="28" t="str">
        <f t="shared" ca="1" si="6"/>
        <v/>
      </c>
      <c r="U9" s="28" t="str">
        <f t="shared" ca="1" si="6"/>
        <v/>
      </c>
      <c r="V9" s="28" t="str">
        <f t="shared" ca="1" si="6"/>
        <v/>
      </c>
      <c r="W9" s="28" t="str">
        <f t="shared" ca="1" si="6"/>
        <v/>
      </c>
      <c r="X9" s="28" t="str">
        <f t="shared" ca="1" si="6"/>
        <v/>
      </c>
      <c r="Y9" s="28" t="str">
        <f t="shared" ca="1" si="6"/>
        <v/>
      </c>
      <c r="Z9" s="28" t="str">
        <f t="shared" ca="1" si="6"/>
        <v/>
      </c>
      <c r="AA9" s="28" t="str">
        <f t="shared" ca="1" si="6"/>
        <v/>
      </c>
      <c r="AB9" s="28" t="str">
        <f t="shared" ca="1" si="6"/>
        <v/>
      </c>
    </row>
    <row r="10" spans="1:154 14670:16384" s="22" customFormat="1" ht="15.75" thickBot="1" x14ac:dyDescent="0.3">
      <c r="B10" s="33" t="s">
        <v>111</v>
      </c>
      <c r="C10" s="29" t="str">
        <f t="shared" ref="C10:AB10" ca="1" si="7">OFFSET(C20,0,$AB$2)</f>
        <v/>
      </c>
      <c r="D10" s="29" t="str">
        <f t="shared" ca="1" si="7"/>
        <v/>
      </c>
      <c r="E10" s="29" t="str">
        <f t="shared" ca="1" si="7"/>
        <v/>
      </c>
      <c r="F10" s="29" t="str">
        <f t="shared" ca="1" si="7"/>
        <v/>
      </c>
      <c r="G10" s="29" t="str">
        <f t="shared" ca="1" si="7"/>
        <v/>
      </c>
      <c r="H10" s="29" t="str">
        <f t="shared" ca="1" si="7"/>
        <v/>
      </c>
      <c r="I10" s="29" t="str">
        <f t="shared" ca="1" si="7"/>
        <v/>
      </c>
      <c r="J10" s="29" t="str">
        <f t="shared" ca="1" si="7"/>
        <v/>
      </c>
      <c r="K10" s="29" t="str">
        <f t="shared" ca="1" si="7"/>
        <v/>
      </c>
      <c r="L10" s="29" t="str">
        <f t="shared" ca="1" si="7"/>
        <v/>
      </c>
      <c r="M10" s="29" t="str">
        <f t="shared" ca="1" si="7"/>
        <v/>
      </c>
      <c r="N10" s="29" t="str">
        <f t="shared" ca="1" si="7"/>
        <v/>
      </c>
      <c r="O10" s="29" t="str">
        <f t="shared" ca="1" si="7"/>
        <v/>
      </c>
      <c r="P10" s="29" t="str">
        <f t="shared" ca="1" si="7"/>
        <v/>
      </c>
      <c r="Q10" s="29" t="str">
        <f t="shared" ca="1" si="7"/>
        <v/>
      </c>
      <c r="R10" s="29" t="str">
        <f t="shared" ca="1" si="7"/>
        <v/>
      </c>
      <c r="S10" s="29" t="str">
        <f t="shared" ca="1" si="7"/>
        <v/>
      </c>
      <c r="T10" s="29" t="str">
        <f t="shared" ca="1" si="7"/>
        <v/>
      </c>
      <c r="U10" s="29" t="str">
        <f t="shared" ca="1" si="7"/>
        <v/>
      </c>
      <c r="V10" s="29" t="str">
        <f t="shared" ca="1" si="7"/>
        <v/>
      </c>
      <c r="W10" s="29" t="str">
        <f t="shared" ca="1" si="7"/>
        <v/>
      </c>
      <c r="X10" s="29" t="str">
        <f t="shared" ca="1" si="7"/>
        <v/>
      </c>
      <c r="Y10" s="29" t="str">
        <f t="shared" ca="1" si="7"/>
        <v/>
      </c>
      <c r="Z10" s="29" t="str">
        <f t="shared" ca="1" si="7"/>
        <v/>
      </c>
      <c r="AA10" s="29" t="str">
        <f t="shared" ca="1" si="7"/>
        <v/>
      </c>
      <c r="AB10" s="29" t="str">
        <f t="shared" ca="1" si="7"/>
        <v/>
      </c>
    </row>
    <row r="11" spans="1:154 14670:16384" s="22" customFormat="1" ht="15.75" thickBot="1" x14ac:dyDescent="0.3">
      <c r="B11" s="60" t="s">
        <v>107</v>
      </c>
      <c r="C11" s="29" t="str">
        <f t="shared" ref="C11:AB11" ca="1" si="8">OFFSET(C21,0,$AB$2)</f>
        <v/>
      </c>
      <c r="D11" s="29" t="str">
        <f t="shared" ca="1" si="8"/>
        <v/>
      </c>
      <c r="E11" s="29" t="str">
        <f t="shared" ca="1" si="8"/>
        <v/>
      </c>
      <c r="F11" s="29" t="str">
        <f t="shared" ca="1" si="8"/>
        <v/>
      </c>
      <c r="G11" s="29" t="str">
        <f t="shared" ca="1" si="8"/>
        <v/>
      </c>
      <c r="H11" s="29" t="str">
        <f t="shared" ca="1" si="8"/>
        <v/>
      </c>
      <c r="I11" s="29" t="str">
        <f t="shared" ca="1" si="8"/>
        <v/>
      </c>
      <c r="J11" s="29" t="str">
        <f t="shared" ca="1" si="8"/>
        <v/>
      </c>
      <c r="K11" s="29" t="str">
        <f t="shared" ca="1" si="8"/>
        <v/>
      </c>
      <c r="L11" s="29" t="str">
        <f t="shared" ca="1" si="8"/>
        <v/>
      </c>
      <c r="M11" s="29" t="str">
        <f t="shared" ca="1" si="8"/>
        <v/>
      </c>
      <c r="N11" s="29" t="str">
        <f t="shared" ca="1" si="8"/>
        <v/>
      </c>
      <c r="O11" s="29" t="str">
        <f t="shared" ca="1" si="8"/>
        <v/>
      </c>
      <c r="P11" s="29" t="str">
        <f t="shared" ca="1" si="8"/>
        <v/>
      </c>
      <c r="Q11" s="29" t="str">
        <f t="shared" ca="1" si="8"/>
        <v/>
      </c>
      <c r="R11" s="29" t="str">
        <f t="shared" ca="1" si="8"/>
        <v/>
      </c>
      <c r="S11" s="29" t="str">
        <f t="shared" ca="1" si="8"/>
        <v/>
      </c>
      <c r="T11" s="29" t="str">
        <f t="shared" ca="1" si="8"/>
        <v/>
      </c>
      <c r="U11" s="29" t="str">
        <f t="shared" ca="1" si="8"/>
        <v/>
      </c>
      <c r="V11" s="29" t="str">
        <f t="shared" ca="1" si="8"/>
        <v/>
      </c>
      <c r="W11" s="29" t="str">
        <f t="shared" ca="1" si="8"/>
        <v/>
      </c>
      <c r="X11" s="29" t="str">
        <f t="shared" ca="1" si="8"/>
        <v/>
      </c>
      <c r="Y11" s="29" t="str">
        <f t="shared" ca="1" si="8"/>
        <v/>
      </c>
      <c r="Z11" s="29" t="str">
        <f t="shared" ca="1" si="8"/>
        <v/>
      </c>
      <c r="AA11" s="29" t="str">
        <f t="shared" ca="1" si="8"/>
        <v/>
      </c>
      <c r="AB11" s="29" t="str">
        <f t="shared" ca="1" si="8"/>
        <v/>
      </c>
    </row>
    <row r="12" spans="1:154 14670:16384" ht="15.75" x14ac:dyDescent="0.25">
      <c r="C12" s="6"/>
      <c r="D12" s="7"/>
      <c r="E12" s="6"/>
      <c r="F12" s="7"/>
      <c r="G12" s="6"/>
      <c r="H12" s="7"/>
      <c r="I12" s="6"/>
      <c r="J12" s="7"/>
      <c r="K12" s="6"/>
      <c r="L12" s="7"/>
      <c r="M12" s="6"/>
      <c r="N12" s="7"/>
      <c r="O12" s="6"/>
      <c r="P12" s="7"/>
      <c r="Q12" s="6"/>
      <c r="R12" s="7"/>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row>
    <row r="13" spans="1:154 14670:16384" s="8" customFormat="1" ht="15.75" hidden="1" thickBot="1" x14ac:dyDescent="0.3">
      <c r="B13" s="1" t="s">
        <v>0</v>
      </c>
      <c r="C13" s="119">
        <f>IF(YEAR($AB$33)=2018,'Caller Portal Instructions'!D23,IF(YEAR($AB$33)=2019,'Caller Portal Instructions'!D24,"-"))</f>
        <v>43470</v>
      </c>
      <c r="D13" s="119">
        <f>IF(YEAR($AB$33)=2018,'Caller Portal Instructions'!E23,IF(YEAR($AB$33)=2019,'Caller Portal Instructions'!E24,"-"))</f>
        <v>43477</v>
      </c>
      <c r="E13" s="119">
        <f>IF(YEAR($AB$33)=2018,'Caller Portal Instructions'!F23,IF(YEAR($AB$33)=2019,'Caller Portal Instructions'!F24,"-"))</f>
        <v>43484</v>
      </c>
      <c r="F13" s="119">
        <f>IF(YEAR($AB$33)=2018,'Caller Portal Instructions'!G23,IF(YEAR($AB$33)=2019,'Caller Portal Instructions'!G24,"-"))</f>
        <v>43491</v>
      </c>
      <c r="G13" s="119">
        <f>IF(YEAR($AB$33)=2018,'Caller Portal Instructions'!H23,IF(YEAR($AB$33)=2019,'Caller Portal Instructions'!H24,"-"))</f>
        <v>43498</v>
      </c>
      <c r="H13" s="119">
        <f>IF(YEAR($AB$33)=2018,'Caller Portal Instructions'!I23,IF(YEAR($AB$33)=2019,'Caller Portal Instructions'!I24,"-"))</f>
        <v>43505</v>
      </c>
      <c r="I13" s="119">
        <f>IF(YEAR($AB$33)=2018,'Caller Portal Instructions'!J23,IF(YEAR($AB$33)=2019,'Caller Portal Instructions'!J24,"-"))</f>
        <v>43512</v>
      </c>
      <c r="J13" s="119">
        <f>IF(YEAR($AB$33)=2018,'Caller Portal Instructions'!K23,IF(YEAR($AB$33)=2019,'Caller Portal Instructions'!K24,"-"))</f>
        <v>43519</v>
      </c>
      <c r="K13" s="119">
        <f>IF(YEAR($AB$33)=2018,'Caller Portal Instructions'!L23,IF(YEAR($AB$33)=2019,'Caller Portal Instructions'!L24,"-"))</f>
        <v>43526</v>
      </c>
      <c r="L13" s="119">
        <f>IF(YEAR($AB$33)=2018,'Caller Portal Instructions'!M23,IF(YEAR($AB$33)=2019,'Caller Portal Instructions'!M24,"-"))</f>
        <v>43533</v>
      </c>
      <c r="M13" s="119">
        <f>IF(YEAR($AB$33)=2018,'Caller Portal Instructions'!N23,IF(YEAR($AB$33)=2019,'Caller Portal Instructions'!N24,"-"))</f>
        <v>43540</v>
      </c>
      <c r="N13" s="119">
        <f>IF(YEAR($AB$33)=2018,'Caller Portal Instructions'!O23,IF(YEAR($AB$33)=2019,'Caller Portal Instructions'!O24,"-"))</f>
        <v>43547</v>
      </c>
      <c r="O13" s="119">
        <f>IF(YEAR($AB$33)=2018,'Caller Portal Instructions'!P23,IF(YEAR($AB$33)=2019,'Caller Portal Instructions'!P24,"-"))</f>
        <v>43554</v>
      </c>
      <c r="P13" s="119">
        <f>IF(YEAR($AB$33)=2018,'Caller Portal Instructions'!Q23,IF(YEAR($AB$33)=2019,'Caller Portal Instructions'!Q24,"-"))</f>
        <v>43561</v>
      </c>
      <c r="Q13" s="119">
        <f>IF(YEAR($AB$33)=2018,'Caller Portal Instructions'!R23,IF(YEAR($AB$33)=2019,'Caller Portal Instructions'!R24,"-"))</f>
        <v>43568</v>
      </c>
      <c r="R13" s="119">
        <f>IF(YEAR($AB$33)=2018,'Caller Portal Instructions'!S23,IF(YEAR($AB$33)=2019,'Caller Portal Instructions'!S24,"-"))</f>
        <v>43575</v>
      </c>
      <c r="S13" s="119">
        <f>IF(YEAR($AB$33)=2018,'Caller Portal Instructions'!T23,IF(YEAR($AB$33)=2019,'Caller Portal Instructions'!T24,"-"))</f>
        <v>43582</v>
      </c>
      <c r="T13" s="119">
        <f>IF(YEAR($AB$33)=2018,'Caller Portal Instructions'!U23,IF(YEAR($AB$33)=2019,'Caller Portal Instructions'!U24,"-"))</f>
        <v>43589</v>
      </c>
      <c r="U13" s="119">
        <f>IF(YEAR($AB$33)=2018,'Caller Portal Instructions'!V23,IF(YEAR($AB$33)=2019,'Caller Portal Instructions'!V24,"-"))</f>
        <v>43596</v>
      </c>
      <c r="V13" s="119">
        <f>IF(YEAR($AB$33)=2018,'Caller Portal Instructions'!W23,IF(YEAR($AB$33)=2019,'Caller Portal Instructions'!W24,"-"))</f>
        <v>43603</v>
      </c>
      <c r="W13" s="119">
        <f>IF(YEAR($AB$33)=2018,'Caller Portal Instructions'!X23,IF(YEAR($AB$33)=2019,'Caller Portal Instructions'!X24,"-"))</f>
        <v>43610</v>
      </c>
      <c r="X13" s="119">
        <f>IF(YEAR($AB$33)=2018,'Caller Portal Instructions'!Y23,IF(YEAR($AB$33)=2019,'Caller Portal Instructions'!Y24,"-"))</f>
        <v>43617</v>
      </c>
      <c r="Y13" s="119">
        <f>IF(YEAR($AB$33)=2018,'Caller Portal Instructions'!Z23,IF(YEAR($AB$33)=2019,'Caller Portal Instructions'!Z24,"-"))</f>
        <v>43624</v>
      </c>
      <c r="Z13" s="119">
        <f>IF(YEAR($AB$33)=2018,'Caller Portal Instructions'!AA23,IF(YEAR($AB$33)=2019,'Caller Portal Instructions'!AA24,"-"))</f>
        <v>43631</v>
      </c>
      <c r="AA13" s="119">
        <f>IF(YEAR($AB$33)=2018,'Caller Portal Instructions'!AB23,IF(YEAR($AB$33)=2019,'Caller Portal Instructions'!AB24,"-"))</f>
        <v>43638</v>
      </c>
      <c r="AB13" s="119">
        <f>IF(YEAR($AB$33)=2018,'Caller Portal Instructions'!AC23,IF(YEAR($AB$33)=2019,'Caller Portal Instructions'!AC24,"-"))</f>
        <v>43645</v>
      </c>
      <c r="AC13" s="119">
        <f>IF(YEAR($AB$33)=2018,'Caller Portal Instructions'!AD23,IF(YEAR($AB$33)=2019,'Caller Portal Instructions'!AD24,"-"))</f>
        <v>43652</v>
      </c>
      <c r="AD13" s="119">
        <f>IF(YEAR($AB$33)=2018,'Caller Portal Instructions'!AE23,IF(YEAR($AB$33)=2019,'Caller Portal Instructions'!AE24,"-"))</f>
        <v>43659</v>
      </c>
      <c r="AE13" s="119">
        <f>IF(YEAR($AB$33)=2018,'Caller Portal Instructions'!AF23,IF(YEAR($AB$33)=2019,'Caller Portal Instructions'!AF24,"-"))</f>
        <v>43666</v>
      </c>
      <c r="AF13" s="119">
        <f>IF(YEAR($AB$33)=2018,'Caller Portal Instructions'!AG23,IF(YEAR($AB$33)=2019,'Caller Portal Instructions'!AG24,"-"))</f>
        <v>43673</v>
      </c>
      <c r="AG13" s="119">
        <f>IF(YEAR($AB$33)=2018,'Caller Portal Instructions'!AH23,IF(YEAR($AB$33)=2019,'Caller Portal Instructions'!AH24,"-"))</f>
        <v>43680</v>
      </c>
      <c r="AH13" s="119">
        <f>IF(YEAR($AB$33)=2018,'Caller Portal Instructions'!AI23,IF(YEAR($AB$33)=2019,'Caller Portal Instructions'!AI24,"-"))</f>
        <v>43687</v>
      </c>
      <c r="AI13" s="119">
        <f>IF(YEAR($AB$33)=2018,'Caller Portal Instructions'!AJ23,IF(YEAR($AB$33)=2019,'Caller Portal Instructions'!AJ24,"-"))</f>
        <v>43694</v>
      </c>
      <c r="AJ13" s="119">
        <f>IF(YEAR($AB$33)=2018,'Caller Portal Instructions'!AK23,IF(YEAR($AB$33)=2019,'Caller Portal Instructions'!AK24,"-"))</f>
        <v>43701</v>
      </c>
      <c r="AK13" s="119">
        <f>IF(YEAR($AB$33)=2018,'Caller Portal Instructions'!AL23,IF(YEAR($AB$33)=2019,'Caller Portal Instructions'!AL24,"-"))</f>
        <v>43708</v>
      </c>
      <c r="AL13" s="119">
        <f>IF(YEAR($AB$33)=2018,'Caller Portal Instructions'!AM23,IF(YEAR($AB$33)=2019,'Caller Portal Instructions'!AM24,"-"))</f>
        <v>43715</v>
      </c>
      <c r="AM13" s="119">
        <f>IF(YEAR($AB$33)=2018,'Caller Portal Instructions'!AN23,IF(YEAR($AB$33)=2019,'Caller Portal Instructions'!AN24,"-"))</f>
        <v>43722</v>
      </c>
      <c r="AN13" s="119">
        <f>IF(YEAR($AB$33)=2018,'Caller Portal Instructions'!AO23,IF(YEAR($AB$33)=2019,'Caller Portal Instructions'!AO24,"-"))</f>
        <v>43729</v>
      </c>
      <c r="AO13" s="119">
        <f>IF(YEAR($AB$33)=2018,'Caller Portal Instructions'!AP23,IF(YEAR($AB$33)=2019,'Caller Portal Instructions'!AP24,"-"))</f>
        <v>43736</v>
      </c>
      <c r="AP13" s="119">
        <f>IF(YEAR($AB$33)=2018,'Caller Portal Instructions'!AQ23,IF(YEAR($AB$33)=2019,'Caller Portal Instructions'!AQ24,"-"))</f>
        <v>43743</v>
      </c>
      <c r="AQ13" s="119">
        <f>IF(YEAR($AB$33)=2018,'Caller Portal Instructions'!AR23,IF(YEAR($AB$33)=2019,'Caller Portal Instructions'!AR24,"-"))</f>
        <v>43750</v>
      </c>
      <c r="AR13" s="119">
        <f>IF(YEAR($AB$33)=2018,'Caller Portal Instructions'!AS23,IF(YEAR($AB$33)=2019,'Caller Portal Instructions'!AS24,"-"))</f>
        <v>43757</v>
      </c>
      <c r="AS13" s="119">
        <f>IF(YEAR($AB$33)=2018,'Caller Portal Instructions'!AT23,IF(YEAR($AB$33)=2019,'Caller Portal Instructions'!AT24,"-"))</f>
        <v>43764</v>
      </c>
      <c r="AT13" s="119">
        <f>IF(YEAR($AB$33)=2018,'Caller Portal Instructions'!AU23,IF(YEAR($AB$33)=2019,'Caller Portal Instructions'!AU24,"-"))</f>
        <v>43771</v>
      </c>
      <c r="AU13" s="119">
        <f>IF(YEAR($AB$33)=2018,'Caller Portal Instructions'!AV23,IF(YEAR($AB$33)=2019,'Caller Portal Instructions'!AV24,"-"))</f>
        <v>43778</v>
      </c>
      <c r="AV13" s="119">
        <f>IF(YEAR($AB$33)=2018,'Caller Portal Instructions'!AW23,IF(YEAR($AB$33)=2019,'Caller Portal Instructions'!AW24,"-"))</f>
        <v>43785</v>
      </c>
      <c r="AW13" s="119">
        <f>IF(YEAR($AB$33)=2018,'Caller Portal Instructions'!AX23,IF(YEAR($AB$33)=2019,'Caller Portal Instructions'!AX24,"-"))</f>
        <v>43792</v>
      </c>
      <c r="AX13" s="119">
        <f>IF(YEAR($AB$33)=2018,'Caller Portal Instructions'!AY23,IF(YEAR($AB$33)=2019,'Caller Portal Instructions'!AY24,"-"))</f>
        <v>43799</v>
      </c>
      <c r="AY13" s="119">
        <f>IF(YEAR($AB$33)=2018,'Caller Portal Instructions'!AZ23,IF(YEAR($AB$33)=2019,'Caller Portal Instructions'!AZ24,"-"))</f>
        <v>43806</v>
      </c>
      <c r="AZ13" s="119">
        <f>IF(YEAR($AB$33)=2018,'Caller Portal Instructions'!BA23,IF(YEAR($AB$33)=2019,'Caller Portal Instructions'!BA24,"-"))</f>
        <v>43813</v>
      </c>
      <c r="BA13" s="18"/>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URF13"/>
      <c r="URG13"/>
      <c r="URH13"/>
      <c r="URI13"/>
      <c r="URJ13"/>
      <c r="URK13"/>
      <c r="URL13"/>
      <c r="URM13"/>
      <c r="URN13"/>
      <c r="URO13"/>
      <c r="URP13"/>
      <c r="URQ13"/>
      <c r="URR13"/>
      <c r="URS13"/>
      <c r="URT13"/>
      <c r="URU13"/>
      <c r="URV13"/>
      <c r="URW13"/>
      <c r="URX13"/>
      <c r="URY13"/>
      <c r="URZ13"/>
      <c r="USA13"/>
      <c r="USB13"/>
      <c r="USC13"/>
      <c r="USD13"/>
      <c r="USE13"/>
      <c r="USF13"/>
      <c r="USG13"/>
      <c r="USH13"/>
      <c r="USI13"/>
      <c r="USJ13"/>
      <c r="USK13"/>
      <c r="USL13"/>
      <c r="USM13"/>
      <c r="USN13"/>
      <c r="USO13"/>
      <c r="USP13"/>
      <c r="USQ13"/>
      <c r="USR13"/>
      <c r="USS13"/>
      <c r="UST13"/>
      <c r="USU13"/>
      <c r="USV13"/>
      <c r="USW13"/>
      <c r="USX13"/>
      <c r="USY13"/>
      <c r="USZ13"/>
      <c r="UTA13"/>
      <c r="UTB13"/>
      <c r="UTC13"/>
      <c r="UTD13"/>
      <c r="UTE13"/>
      <c r="UTF13"/>
      <c r="UTG13"/>
      <c r="UTH13"/>
      <c r="UTI13"/>
      <c r="UTJ13"/>
      <c r="UTK13"/>
      <c r="UTL13"/>
      <c r="UTM13"/>
      <c r="UTN13"/>
      <c r="UTO13"/>
      <c r="UTP13"/>
      <c r="UTQ13"/>
      <c r="UTR13"/>
      <c r="UTS13"/>
      <c r="UTT13"/>
      <c r="UTU13"/>
      <c r="UTV13"/>
      <c r="UTW13"/>
      <c r="UTX13"/>
      <c r="UTY13"/>
      <c r="UTZ13"/>
      <c r="UUA13"/>
      <c r="UUB13"/>
      <c r="UUC13"/>
      <c r="UUD13"/>
      <c r="UUE13"/>
      <c r="UUF13"/>
      <c r="UUG13"/>
      <c r="UUH13"/>
      <c r="UUI13"/>
      <c r="UUJ13"/>
      <c r="UUK13"/>
      <c r="UUL13"/>
      <c r="UUM13"/>
      <c r="UUN13"/>
      <c r="UUO13"/>
      <c r="UUP13"/>
      <c r="UUQ13"/>
      <c r="UUR13"/>
      <c r="UUS13"/>
      <c r="UUT13"/>
      <c r="UUU13"/>
      <c r="UUV13"/>
      <c r="UUW13"/>
      <c r="UUX13"/>
      <c r="UUY13"/>
      <c r="UUZ13"/>
      <c r="UVA13"/>
      <c r="UVB13"/>
      <c r="UVC13"/>
      <c r="UVD13"/>
      <c r="UVE13"/>
      <c r="UVF13"/>
      <c r="UVG13"/>
      <c r="UVH13"/>
      <c r="UVI13"/>
      <c r="UVJ13"/>
      <c r="UVK13"/>
      <c r="UVL13"/>
      <c r="UVM13"/>
      <c r="UVN13"/>
      <c r="UVO13"/>
      <c r="UVP13"/>
      <c r="UVQ13"/>
      <c r="UVR13"/>
      <c r="UVS13"/>
      <c r="UVT13"/>
      <c r="UVU13"/>
      <c r="UVV13"/>
      <c r="UVW13"/>
      <c r="UVX13"/>
      <c r="UVY13"/>
      <c r="UVZ13"/>
      <c r="UWA13"/>
      <c r="UWB13"/>
      <c r="UWC13"/>
      <c r="UWD13"/>
      <c r="UWE13"/>
      <c r="UWF13"/>
      <c r="UWG13"/>
      <c r="UWH13"/>
      <c r="UWI13"/>
      <c r="UWJ13"/>
      <c r="UWK13"/>
      <c r="UWL13"/>
      <c r="UWM13"/>
      <c r="UWN13"/>
      <c r="UWO13"/>
      <c r="UWP13"/>
      <c r="UWQ13"/>
      <c r="UWR13"/>
      <c r="UWS13"/>
      <c r="UWT13"/>
      <c r="UWU13"/>
      <c r="UWV13"/>
      <c r="UWW13"/>
      <c r="UWX13"/>
      <c r="UWY13"/>
      <c r="UWZ13"/>
      <c r="UXA13"/>
      <c r="UXB13"/>
      <c r="UXC13"/>
      <c r="UXD13"/>
      <c r="UXE13"/>
      <c r="UXF13"/>
      <c r="UXG13"/>
      <c r="UXH13"/>
      <c r="UXI13"/>
      <c r="UXJ13"/>
      <c r="UXK13"/>
      <c r="UXL13"/>
      <c r="UXM13"/>
      <c r="UXN13"/>
      <c r="UXO13"/>
      <c r="UXP13"/>
      <c r="UXQ13"/>
      <c r="UXR13"/>
      <c r="UXS13"/>
      <c r="UXT13"/>
      <c r="UXU13"/>
      <c r="UXV13"/>
      <c r="UXW13"/>
      <c r="UXX13"/>
      <c r="UXY13"/>
      <c r="UXZ13"/>
      <c r="UYA13"/>
      <c r="UYB13"/>
      <c r="UYC13"/>
      <c r="UYD13"/>
      <c r="UYE13"/>
      <c r="UYF13"/>
      <c r="UYG13"/>
      <c r="UYH13"/>
      <c r="UYI13"/>
      <c r="UYJ13"/>
      <c r="UYK13"/>
      <c r="UYL13"/>
      <c r="UYM13"/>
      <c r="UYN13"/>
      <c r="UYO13"/>
      <c r="UYP13"/>
      <c r="UYQ13"/>
      <c r="UYR13"/>
      <c r="UYS13"/>
      <c r="UYT13"/>
      <c r="UYU13"/>
      <c r="UYV13"/>
      <c r="UYW13"/>
      <c r="UYX13"/>
      <c r="UYY13"/>
      <c r="UYZ13"/>
      <c r="UZA13"/>
      <c r="UZB13"/>
      <c r="UZC13"/>
      <c r="UZD13"/>
      <c r="UZE13"/>
      <c r="UZF13"/>
      <c r="UZG13"/>
      <c r="UZH13"/>
      <c r="UZI13"/>
      <c r="UZJ13"/>
      <c r="UZK13"/>
      <c r="UZL13"/>
      <c r="UZM13"/>
      <c r="UZN13"/>
      <c r="UZO13"/>
      <c r="UZP13"/>
      <c r="UZQ13"/>
      <c r="UZR13"/>
      <c r="UZS13"/>
      <c r="UZT13"/>
      <c r="UZU13"/>
      <c r="UZV13"/>
      <c r="UZW13"/>
      <c r="UZX13"/>
      <c r="UZY13"/>
      <c r="UZZ13"/>
      <c r="VAA13"/>
      <c r="VAB13"/>
      <c r="VAC13"/>
      <c r="VAD13"/>
      <c r="VAE13"/>
      <c r="VAF13"/>
      <c r="VAG13"/>
      <c r="VAH13"/>
      <c r="VAI13"/>
      <c r="VAJ13"/>
      <c r="VAK13"/>
      <c r="VAL13"/>
      <c r="VAM13"/>
      <c r="VAN13"/>
      <c r="VAO13"/>
      <c r="VAP13"/>
      <c r="VAQ13"/>
      <c r="VAR13"/>
      <c r="VAS13"/>
      <c r="VAT13"/>
      <c r="VAU13"/>
      <c r="VAV13"/>
      <c r="VAW13"/>
      <c r="VAX13"/>
      <c r="VAY13"/>
      <c r="VAZ13"/>
      <c r="VBA13"/>
      <c r="VBB13"/>
      <c r="VBC13"/>
      <c r="VBD13"/>
      <c r="VBE13"/>
      <c r="VBF13"/>
      <c r="VBG13"/>
      <c r="VBH13"/>
      <c r="VBI13"/>
      <c r="VBJ13"/>
      <c r="VBK13"/>
      <c r="VBL13"/>
      <c r="VBM13"/>
      <c r="VBN13"/>
      <c r="VBO13"/>
      <c r="VBP13"/>
      <c r="VBQ13"/>
      <c r="VBR13"/>
      <c r="VBS13"/>
      <c r="VBT13"/>
      <c r="VBU13"/>
      <c r="VBV13"/>
      <c r="VBW13"/>
      <c r="VBX13"/>
      <c r="VBY13"/>
      <c r="VBZ13"/>
      <c r="VCA13"/>
      <c r="VCB13"/>
      <c r="VCC13"/>
      <c r="VCD13"/>
      <c r="VCE13"/>
      <c r="VCF13"/>
      <c r="VCG13"/>
      <c r="VCH13"/>
      <c r="VCI13"/>
      <c r="VCJ13"/>
      <c r="VCK13"/>
      <c r="VCL13"/>
      <c r="VCM13"/>
      <c r="VCN13"/>
      <c r="VCO13"/>
      <c r="VCP13"/>
      <c r="VCQ13"/>
      <c r="VCR13"/>
      <c r="VCS13"/>
      <c r="VCT13"/>
      <c r="VCU13"/>
      <c r="VCV13"/>
      <c r="VCW13"/>
      <c r="VCX13"/>
      <c r="VCY13"/>
      <c r="VCZ13"/>
      <c r="VDA13"/>
      <c r="VDB13"/>
      <c r="VDC13"/>
      <c r="VDD13"/>
      <c r="VDE13"/>
      <c r="VDF13"/>
      <c r="VDG13"/>
      <c r="VDH13"/>
      <c r="VDI13"/>
      <c r="VDJ13"/>
      <c r="VDK13"/>
      <c r="VDL13"/>
      <c r="VDM13"/>
      <c r="VDN13"/>
      <c r="VDO13"/>
      <c r="VDP13"/>
      <c r="VDQ13"/>
      <c r="VDR13"/>
      <c r="VDS13"/>
      <c r="VDT13"/>
      <c r="VDU13"/>
      <c r="VDV13"/>
      <c r="VDW13"/>
      <c r="VDX13"/>
      <c r="VDY13"/>
      <c r="VDZ13"/>
      <c r="VEA13"/>
      <c r="VEB13"/>
      <c r="VEC13"/>
      <c r="VED13"/>
      <c r="VEE13"/>
      <c r="VEF13"/>
      <c r="VEG13"/>
      <c r="VEH13"/>
      <c r="VEI13"/>
      <c r="VEJ13"/>
      <c r="VEK13"/>
      <c r="VEL13"/>
      <c r="VEM13"/>
      <c r="VEN13"/>
      <c r="VEO13"/>
      <c r="VEP13"/>
      <c r="VEQ13"/>
      <c r="VER13"/>
      <c r="VES13"/>
      <c r="VET13"/>
      <c r="VEU13"/>
      <c r="VEV13"/>
      <c r="VEW13"/>
      <c r="VEX13"/>
      <c r="VEY13"/>
      <c r="VEZ13"/>
      <c r="VFA13"/>
      <c r="VFB13"/>
      <c r="VFC13"/>
      <c r="VFD13"/>
      <c r="VFE13"/>
      <c r="VFF13"/>
      <c r="VFG13"/>
      <c r="VFH13"/>
      <c r="VFI13"/>
      <c r="VFJ13"/>
      <c r="VFK13"/>
      <c r="VFL13"/>
      <c r="VFM13"/>
      <c r="VFN13"/>
      <c r="VFO13"/>
      <c r="VFP13"/>
      <c r="VFQ13"/>
      <c r="VFR13"/>
      <c r="VFS13"/>
      <c r="VFT13"/>
      <c r="VFU13"/>
      <c r="VFV13"/>
      <c r="VFW13"/>
      <c r="VFX13"/>
      <c r="VFY13"/>
      <c r="VFZ13"/>
      <c r="VGA13"/>
      <c r="VGB13"/>
      <c r="VGC13"/>
      <c r="VGD13"/>
      <c r="VGE13"/>
      <c r="VGF13"/>
      <c r="VGG13"/>
      <c r="VGH13"/>
      <c r="VGI13"/>
      <c r="VGJ13"/>
      <c r="VGK13"/>
      <c r="VGL13"/>
      <c r="VGM13"/>
      <c r="VGN13"/>
      <c r="VGO13"/>
      <c r="VGP13"/>
      <c r="VGQ13"/>
      <c r="VGR13"/>
      <c r="VGS13"/>
      <c r="VGT13"/>
      <c r="VGU13"/>
      <c r="VGV13"/>
      <c r="VGW13"/>
      <c r="VGX13"/>
      <c r="VGY13"/>
      <c r="VGZ13"/>
      <c r="VHA13"/>
      <c r="VHB13"/>
      <c r="VHC13"/>
      <c r="VHD13"/>
      <c r="VHE13"/>
      <c r="VHF13"/>
      <c r="VHG13"/>
      <c r="VHH13"/>
      <c r="VHI13"/>
      <c r="VHJ13"/>
      <c r="VHK13"/>
      <c r="VHL13"/>
      <c r="VHM13"/>
      <c r="VHN13"/>
      <c r="VHO13"/>
      <c r="VHP13"/>
      <c r="VHQ13"/>
      <c r="VHR13"/>
      <c r="VHS13"/>
      <c r="VHT13"/>
      <c r="VHU13"/>
      <c r="VHV13"/>
      <c r="VHW13"/>
      <c r="VHX13"/>
      <c r="VHY13"/>
      <c r="VHZ13"/>
      <c r="VIA13"/>
      <c r="VIB13"/>
      <c r="VIC13"/>
      <c r="VID13"/>
      <c r="VIE13"/>
      <c r="VIF13"/>
      <c r="VIG13"/>
      <c r="VIH13"/>
      <c r="VII13"/>
      <c r="VIJ13"/>
      <c r="VIK13"/>
      <c r="VIL13"/>
      <c r="VIM13"/>
      <c r="VIN13"/>
      <c r="VIO13"/>
      <c r="VIP13"/>
      <c r="VIQ13"/>
      <c r="VIR13"/>
      <c r="VIS13"/>
      <c r="VIT13"/>
      <c r="VIU13"/>
      <c r="VIV13"/>
      <c r="VIW13"/>
      <c r="VIX13"/>
      <c r="VIY13"/>
      <c r="VIZ13"/>
      <c r="VJA13"/>
      <c r="VJB13"/>
      <c r="VJC13"/>
      <c r="VJD13"/>
      <c r="VJE13"/>
      <c r="VJF13"/>
      <c r="VJG13"/>
      <c r="VJH13"/>
      <c r="VJI13"/>
      <c r="VJJ13"/>
      <c r="VJK13"/>
      <c r="VJL13"/>
      <c r="VJM13"/>
      <c r="VJN13"/>
      <c r="VJO13"/>
      <c r="VJP13"/>
      <c r="VJQ13"/>
      <c r="VJR13"/>
      <c r="VJS13"/>
      <c r="VJT13"/>
      <c r="VJU13"/>
      <c r="VJV13"/>
      <c r="VJW13"/>
      <c r="VJX13"/>
      <c r="VJY13"/>
      <c r="VJZ13"/>
      <c r="VKA13"/>
      <c r="VKB13"/>
      <c r="VKC13"/>
      <c r="VKD13"/>
      <c r="VKE13"/>
      <c r="VKF13"/>
      <c r="VKG13"/>
      <c r="VKH13"/>
      <c r="VKI13"/>
      <c r="VKJ13"/>
      <c r="VKK13"/>
      <c r="VKL13"/>
      <c r="VKM13"/>
      <c r="VKN13"/>
      <c r="VKO13"/>
      <c r="VKP13"/>
      <c r="VKQ13"/>
      <c r="VKR13"/>
      <c r="VKS13"/>
      <c r="VKT13"/>
      <c r="VKU13"/>
      <c r="VKV13"/>
      <c r="VKW13"/>
      <c r="VKX13"/>
      <c r="VKY13"/>
      <c r="VKZ13"/>
      <c r="VLA13"/>
      <c r="VLB13"/>
      <c r="VLC13"/>
      <c r="VLD13"/>
      <c r="VLE13"/>
      <c r="VLF13"/>
      <c r="VLG13"/>
      <c r="VLH13"/>
      <c r="VLI13"/>
      <c r="VLJ13"/>
      <c r="VLK13"/>
      <c r="VLL13"/>
      <c r="VLM13"/>
      <c r="VLN13"/>
      <c r="VLO13"/>
      <c r="VLP13"/>
      <c r="VLQ13"/>
      <c r="VLR13"/>
      <c r="VLS13"/>
      <c r="VLT13"/>
      <c r="VLU13"/>
      <c r="VLV13"/>
      <c r="VLW13"/>
      <c r="VLX13"/>
      <c r="VLY13"/>
      <c r="VLZ13"/>
      <c r="VMA13"/>
      <c r="VMB13"/>
      <c r="VMC13"/>
      <c r="VMD13"/>
      <c r="VME13"/>
      <c r="VMF13"/>
      <c r="VMG13"/>
      <c r="VMH13"/>
      <c r="VMI13"/>
      <c r="VMJ13"/>
      <c r="VMK13"/>
      <c r="VML13"/>
      <c r="VMM13"/>
      <c r="VMN13"/>
      <c r="VMO13"/>
      <c r="VMP13"/>
      <c r="VMQ13"/>
      <c r="VMR13"/>
      <c r="VMS13"/>
      <c r="VMT13"/>
      <c r="VMU13"/>
      <c r="VMV13"/>
      <c r="VMW13"/>
      <c r="VMX13"/>
      <c r="VMY13"/>
      <c r="VMZ13"/>
      <c r="VNA13"/>
      <c r="VNB13"/>
      <c r="VNC13"/>
      <c r="VND13"/>
      <c r="VNE13"/>
      <c r="VNF13"/>
      <c r="VNG13"/>
      <c r="VNH13"/>
      <c r="VNI13"/>
      <c r="VNJ13"/>
      <c r="VNK13"/>
      <c r="VNL13"/>
      <c r="VNM13"/>
      <c r="VNN13"/>
      <c r="VNO13"/>
      <c r="VNP13"/>
      <c r="VNQ13"/>
      <c r="VNR13"/>
      <c r="VNS13"/>
      <c r="VNT13"/>
      <c r="VNU13"/>
      <c r="VNV13"/>
      <c r="VNW13"/>
      <c r="VNX13"/>
      <c r="VNY13"/>
      <c r="VNZ13"/>
      <c r="VOA13"/>
      <c r="VOB13"/>
      <c r="VOC13"/>
      <c r="VOD13"/>
      <c r="VOE13"/>
      <c r="VOF13"/>
      <c r="VOG13"/>
      <c r="VOH13"/>
      <c r="VOI13"/>
      <c r="VOJ13"/>
      <c r="VOK13"/>
      <c r="VOL13"/>
      <c r="VOM13"/>
      <c r="VON13"/>
      <c r="VOO13"/>
      <c r="VOP13"/>
      <c r="VOQ13"/>
      <c r="VOR13"/>
      <c r="VOS13"/>
      <c r="VOT13"/>
      <c r="VOU13"/>
      <c r="VOV13"/>
      <c r="VOW13"/>
      <c r="VOX13"/>
      <c r="VOY13"/>
      <c r="VOZ13"/>
      <c r="VPA13"/>
      <c r="VPB13"/>
      <c r="VPC13"/>
      <c r="VPD13"/>
      <c r="VPE13"/>
      <c r="VPF13"/>
      <c r="VPG13"/>
      <c r="VPH13"/>
      <c r="VPI13"/>
      <c r="VPJ13"/>
      <c r="VPK13"/>
      <c r="VPL13"/>
      <c r="VPM13"/>
      <c r="VPN13"/>
      <c r="VPO13"/>
      <c r="VPP13"/>
      <c r="VPQ13"/>
      <c r="VPR13"/>
      <c r="VPS13"/>
      <c r="VPT13"/>
      <c r="VPU13"/>
      <c r="VPV13"/>
      <c r="VPW13"/>
      <c r="VPX13"/>
      <c r="VPY13"/>
      <c r="VPZ13"/>
      <c r="VQA13"/>
      <c r="VQB13"/>
      <c r="VQC13"/>
      <c r="VQD13"/>
      <c r="VQE13"/>
      <c r="VQF13"/>
      <c r="VQG13"/>
      <c r="VQH13"/>
      <c r="VQI13"/>
      <c r="VQJ13"/>
      <c r="VQK13"/>
      <c r="VQL13"/>
      <c r="VQM13"/>
      <c r="VQN13"/>
      <c r="VQO13"/>
      <c r="VQP13"/>
      <c r="VQQ13"/>
      <c r="VQR13"/>
      <c r="VQS13"/>
      <c r="VQT13"/>
      <c r="VQU13"/>
      <c r="VQV13"/>
      <c r="VQW13"/>
      <c r="VQX13"/>
      <c r="VQY13"/>
      <c r="VQZ13"/>
      <c r="VRA13"/>
      <c r="VRB13"/>
      <c r="VRC13"/>
      <c r="VRD13"/>
      <c r="VRE13"/>
      <c r="VRF13"/>
      <c r="VRG13"/>
      <c r="VRH13"/>
      <c r="VRI13"/>
      <c r="VRJ13"/>
      <c r="VRK13"/>
      <c r="VRL13"/>
      <c r="VRM13"/>
      <c r="VRN13"/>
      <c r="VRO13"/>
      <c r="VRP13"/>
      <c r="VRQ13"/>
      <c r="VRR13"/>
      <c r="VRS13"/>
      <c r="VRT13"/>
      <c r="VRU13"/>
      <c r="VRV13"/>
      <c r="VRW13"/>
      <c r="VRX13"/>
      <c r="VRY13"/>
      <c r="VRZ13"/>
      <c r="VSA13"/>
      <c r="VSB13"/>
      <c r="VSC13"/>
      <c r="VSD13"/>
      <c r="VSE13"/>
      <c r="VSF13"/>
      <c r="VSG13"/>
      <c r="VSH13"/>
      <c r="VSI13"/>
      <c r="VSJ13"/>
      <c r="VSK13"/>
      <c r="VSL13"/>
      <c r="VSM13"/>
      <c r="VSN13"/>
      <c r="VSO13"/>
      <c r="VSP13"/>
      <c r="VSQ13"/>
      <c r="VSR13"/>
      <c r="VSS13"/>
      <c r="VST13"/>
      <c r="VSU13"/>
      <c r="VSV13"/>
      <c r="VSW13"/>
      <c r="VSX13"/>
      <c r="VSY13"/>
      <c r="VSZ13"/>
      <c r="VTA13"/>
      <c r="VTB13"/>
      <c r="VTC13"/>
      <c r="VTD13"/>
      <c r="VTE13"/>
      <c r="VTF13"/>
      <c r="VTG13"/>
      <c r="VTH13"/>
      <c r="VTI13"/>
      <c r="VTJ13"/>
      <c r="VTK13"/>
      <c r="VTL13"/>
      <c r="VTM13"/>
      <c r="VTN13"/>
      <c r="VTO13"/>
      <c r="VTP13"/>
      <c r="VTQ13"/>
      <c r="VTR13"/>
      <c r="VTS13"/>
      <c r="VTT13"/>
      <c r="VTU13"/>
      <c r="VTV13"/>
      <c r="VTW13"/>
      <c r="VTX13"/>
      <c r="VTY13"/>
      <c r="VTZ13"/>
      <c r="VUA13"/>
      <c r="VUB13"/>
      <c r="VUC13"/>
      <c r="VUD13"/>
      <c r="VUE13"/>
      <c r="VUF13"/>
      <c r="VUG13"/>
      <c r="VUH13"/>
      <c r="VUI13"/>
      <c r="VUJ13"/>
      <c r="VUK13"/>
      <c r="VUL13"/>
      <c r="VUM13"/>
      <c r="VUN13"/>
      <c r="VUO13"/>
      <c r="VUP13"/>
      <c r="VUQ13"/>
      <c r="VUR13"/>
      <c r="VUS13"/>
      <c r="VUT13"/>
      <c r="VUU13"/>
      <c r="VUV13"/>
      <c r="VUW13"/>
      <c r="VUX13"/>
      <c r="VUY13"/>
      <c r="VUZ13"/>
      <c r="VVA13"/>
      <c r="VVB13"/>
      <c r="VVC13"/>
      <c r="VVD13"/>
      <c r="VVE13"/>
      <c r="VVF13"/>
      <c r="VVG13"/>
      <c r="VVH13"/>
      <c r="VVI13"/>
      <c r="VVJ13"/>
      <c r="VVK13"/>
      <c r="VVL13"/>
      <c r="VVM13"/>
      <c r="VVN13"/>
      <c r="VVO13"/>
      <c r="VVP13"/>
      <c r="VVQ13"/>
      <c r="VVR13"/>
      <c r="VVS13"/>
      <c r="VVT13"/>
      <c r="VVU13"/>
      <c r="VVV13"/>
      <c r="VVW13"/>
      <c r="VVX13"/>
      <c r="VVY13"/>
      <c r="VVZ13"/>
      <c r="VWA13"/>
      <c r="VWB13"/>
      <c r="VWC13"/>
      <c r="VWD13"/>
      <c r="VWE13"/>
      <c r="VWF13"/>
      <c r="VWG13"/>
      <c r="VWH13"/>
      <c r="VWI13"/>
      <c r="VWJ13"/>
      <c r="VWK13"/>
      <c r="VWL13"/>
      <c r="VWM13"/>
      <c r="VWN13"/>
      <c r="VWO13"/>
      <c r="VWP13"/>
      <c r="VWQ13"/>
      <c r="VWR13"/>
      <c r="VWS13"/>
      <c r="VWT13"/>
      <c r="VWU13"/>
      <c r="VWV13"/>
      <c r="VWW13"/>
      <c r="VWX13"/>
      <c r="VWY13"/>
      <c r="VWZ13"/>
      <c r="VXA13"/>
      <c r="VXB13"/>
      <c r="VXC13"/>
      <c r="VXD13"/>
      <c r="VXE13"/>
      <c r="VXF13"/>
      <c r="VXG13"/>
      <c r="VXH13"/>
      <c r="VXI13"/>
      <c r="VXJ13"/>
      <c r="VXK13"/>
      <c r="VXL13"/>
      <c r="VXM13"/>
      <c r="VXN13"/>
      <c r="VXO13"/>
      <c r="VXP13"/>
      <c r="VXQ13"/>
      <c r="VXR13"/>
      <c r="VXS13"/>
      <c r="VXT13"/>
      <c r="VXU13"/>
      <c r="VXV13"/>
      <c r="VXW13"/>
      <c r="VXX13"/>
      <c r="VXY13"/>
      <c r="VXZ13"/>
      <c r="VYA13"/>
      <c r="VYB13"/>
      <c r="VYC13"/>
      <c r="VYD13"/>
      <c r="VYE13"/>
      <c r="VYF13"/>
      <c r="VYG13"/>
      <c r="VYH13"/>
      <c r="VYI13"/>
      <c r="VYJ13"/>
      <c r="VYK13"/>
      <c r="VYL13"/>
      <c r="VYM13"/>
      <c r="VYN13"/>
      <c r="VYO13"/>
      <c r="VYP13"/>
      <c r="VYQ13"/>
      <c r="VYR13"/>
      <c r="VYS13"/>
      <c r="VYT13"/>
      <c r="VYU13"/>
      <c r="VYV13"/>
      <c r="VYW13"/>
      <c r="VYX13"/>
      <c r="VYY13"/>
      <c r="VYZ13"/>
      <c r="VZA13"/>
      <c r="VZB13"/>
      <c r="VZC13"/>
      <c r="VZD13"/>
      <c r="VZE13"/>
      <c r="VZF13"/>
      <c r="VZG13"/>
      <c r="VZH13"/>
      <c r="VZI13"/>
      <c r="VZJ13"/>
      <c r="VZK13"/>
      <c r="VZL13"/>
      <c r="VZM13"/>
      <c r="VZN13"/>
      <c r="VZO13"/>
      <c r="VZP13"/>
      <c r="VZQ13"/>
      <c r="VZR13"/>
      <c r="VZS13"/>
      <c r="VZT13"/>
      <c r="VZU13"/>
      <c r="VZV13"/>
      <c r="VZW13"/>
      <c r="VZX13"/>
      <c r="VZY13"/>
      <c r="VZZ13"/>
      <c r="WAA13"/>
      <c r="WAB13"/>
      <c r="WAC13"/>
      <c r="WAD13"/>
      <c r="WAE13"/>
      <c r="WAF13"/>
      <c r="WAG13"/>
      <c r="WAH13"/>
      <c r="WAI13"/>
      <c r="WAJ13"/>
      <c r="WAK13"/>
      <c r="WAL13"/>
      <c r="WAM13"/>
      <c r="WAN13"/>
      <c r="WAO13"/>
      <c r="WAP13"/>
      <c r="WAQ13"/>
      <c r="WAR13"/>
      <c r="WAS13"/>
      <c r="WAT13"/>
      <c r="WAU13"/>
      <c r="WAV13"/>
      <c r="WAW13"/>
      <c r="WAX13"/>
      <c r="WAY13"/>
      <c r="WAZ13"/>
      <c r="WBA13"/>
      <c r="WBB13"/>
      <c r="WBC13"/>
      <c r="WBD13"/>
      <c r="WBE13"/>
      <c r="WBF13"/>
      <c r="WBG13"/>
      <c r="WBH13"/>
      <c r="WBI13"/>
      <c r="WBJ13"/>
      <c r="WBK13"/>
      <c r="WBL13"/>
      <c r="WBM13"/>
      <c r="WBN13"/>
      <c r="WBO13"/>
      <c r="WBP13"/>
      <c r="WBQ13"/>
      <c r="WBR13"/>
      <c r="WBS13"/>
      <c r="WBT13"/>
      <c r="WBU13"/>
      <c r="WBV13"/>
      <c r="WBW13"/>
      <c r="WBX13"/>
      <c r="WBY13"/>
      <c r="WBZ13"/>
      <c r="WCA13"/>
      <c r="WCB13"/>
      <c r="WCC13"/>
      <c r="WCD13"/>
      <c r="WCE13"/>
      <c r="WCF13"/>
      <c r="WCG13"/>
      <c r="WCH13"/>
      <c r="WCI13"/>
      <c r="WCJ13"/>
      <c r="WCK13"/>
      <c r="WCL13"/>
      <c r="WCM13"/>
      <c r="WCN13"/>
      <c r="WCO13"/>
      <c r="WCP13"/>
      <c r="WCQ13"/>
      <c r="WCR13"/>
      <c r="WCS13"/>
      <c r="WCT13"/>
      <c r="WCU13"/>
      <c r="WCV13"/>
      <c r="WCW13"/>
      <c r="WCX13"/>
      <c r="WCY13"/>
      <c r="WCZ13"/>
      <c r="WDA13"/>
      <c r="WDB13"/>
      <c r="WDC13"/>
      <c r="WDD13"/>
      <c r="WDE13"/>
      <c r="WDF13"/>
      <c r="WDG13"/>
      <c r="WDH13"/>
      <c r="WDI13"/>
      <c r="WDJ13"/>
      <c r="WDK13"/>
      <c r="WDL13"/>
      <c r="WDM13"/>
      <c r="WDN13"/>
      <c r="WDO13"/>
      <c r="WDP13"/>
      <c r="WDQ13"/>
      <c r="WDR13"/>
      <c r="WDS13"/>
      <c r="WDT13"/>
      <c r="WDU13"/>
      <c r="WDV13"/>
      <c r="WDW13"/>
      <c r="WDX13"/>
      <c r="WDY13"/>
      <c r="WDZ13"/>
      <c r="WEA13"/>
      <c r="WEB13"/>
      <c r="WEC13"/>
      <c r="WED13"/>
      <c r="WEE13"/>
      <c r="WEF13"/>
      <c r="WEG13"/>
      <c r="WEH13"/>
      <c r="WEI13"/>
      <c r="WEJ13"/>
      <c r="WEK13"/>
      <c r="WEL13"/>
      <c r="WEM13"/>
      <c r="WEN13"/>
      <c r="WEO13"/>
      <c r="WEP13"/>
      <c r="WEQ13"/>
      <c r="WER13"/>
      <c r="WES13"/>
      <c r="WET13"/>
      <c r="WEU13"/>
      <c r="WEV13"/>
      <c r="WEW13"/>
      <c r="WEX13"/>
      <c r="WEY13"/>
      <c r="WEZ13"/>
      <c r="WFA13"/>
      <c r="WFB13"/>
      <c r="WFC13"/>
      <c r="WFD13"/>
      <c r="WFE13"/>
      <c r="WFF13"/>
      <c r="WFG13"/>
      <c r="WFH13"/>
      <c r="WFI13"/>
      <c r="WFJ13"/>
      <c r="WFK13"/>
      <c r="WFL13"/>
      <c r="WFM13"/>
      <c r="WFN13"/>
      <c r="WFO13"/>
      <c r="WFP13"/>
      <c r="WFQ13"/>
      <c r="WFR13"/>
      <c r="WFS13"/>
      <c r="WFT13"/>
      <c r="WFU13"/>
      <c r="WFV13"/>
      <c r="WFW13"/>
      <c r="WFX13"/>
      <c r="WFY13"/>
      <c r="WFZ13"/>
      <c r="WGA13"/>
      <c r="WGB13"/>
      <c r="WGC13"/>
      <c r="WGD13"/>
      <c r="WGE13"/>
      <c r="WGF13"/>
      <c r="WGG13"/>
      <c r="WGH13"/>
      <c r="WGI13"/>
      <c r="WGJ13"/>
      <c r="WGK13"/>
      <c r="WGL13"/>
      <c r="WGM13"/>
      <c r="WGN13"/>
      <c r="WGO13"/>
      <c r="WGP13"/>
      <c r="WGQ13"/>
      <c r="WGR13"/>
      <c r="WGS13"/>
      <c r="WGT13"/>
      <c r="WGU13"/>
      <c r="WGV13"/>
      <c r="WGW13"/>
      <c r="WGX13"/>
      <c r="WGY13"/>
      <c r="WGZ13"/>
      <c r="WHA13"/>
      <c r="WHB13"/>
      <c r="WHC13"/>
      <c r="WHD13"/>
      <c r="WHE13"/>
      <c r="WHF13"/>
      <c r="WHG13"/>
      <c r="WHH13"/>
      <c r="WHI13"/>
      <c r="WHJ13"/>
      <c r="WHK13"/>
      <c r="WHL13"/>
      <c r="WHM13"/>
      <c r="WHN13"/>
      <c r="WHO13"/>
      <c r="WHP13"/>
      <c r="WHQ13"/>
      <c r="WHR13"/>
      <c r="WHS13"/>
      <c r="WHT13"/>
      <c r="WHU13"/>
      <c r="WHV13"/>
      <c r="WHW13"/>
      <c r="WHX13"/>
      <c r="WHY13"/>
      <c r="WHZ13"/>
      <c r="WIA13"/>
      <c r="WIB13"/>
      <c r="WIC13"/>
      <c r="WID13"/>
      <c r="WIE13"/>
      <c r="WIF13"/>
      <c r="WIG13"/>
      <c r="WIH13"/>
      <c r="WII13"/>
      <c r="WIJ13"/>
      <c r="WIK13"/>
      <c r="WIL13"/>
      <c r="WIM13"/>
      <c r="WIN13"/>
      <c r="WIO13"/>
      <c r="WIP13"/>
      <c r="WIQ13"/>
      <c r="WIR13"/>
      <c r="WIS13"/>
      <c r="WIT13"/>
      <c r="WIU13"/>
      <c r="WIV13"/>
      <c r="WIW13"/>
      <c r="WIX13"/>
      <c r="WIY13"/>
      <c r="WIZ13"/>
      <c r="WJA13"/>
      <c r="WJB13"/>
      <c r="WJC13"/>
      <c r="WJD13"/>
      <c r="WJE13"/>
      <c r="WJF13"/>
      <c r="WJG13"/>
      <c r="WJH13"/>
      <c r="WJI13"/>
      <c r="WJJ13"/>
      <c r="WJK13"/>
      <c r="WJL13"/>
      <c r="WJM13"/>
      <c r="WJN13"/>
      <c r="WJO13"/>
      <c r="WJP13"/>
      <c r="WJQ13"/>
      <c r="WJR13"/>
      <c r="WJS13"/>
      <c r="WJT13"/>
      <c r="WJU13"/>
      <c r="WJV13"/>
      <c r="WJW13"/>
      <c r="WJX13"/>
      <c r="WJY13"/>
      <c r="WJZ13"/>
      <c r="WKA13"/>
      <c r="WKB13"/>
      <c r="WKC13"/>
      <c r="WKD13"/>
      <c r="WKE13"/>
      <c r="WKF13"/>
      <c r="WKG13"/>
      <c r="WKH13"/>
      <c r="WKI13"/>
      <c r="WKJ13"/>
      <c r="WKK13"/>
      <c r="WKL13"/>
      <c r="WKM13"/>
      <c r="WKN13"/>
      <c r="WKO13"/>
      <c r="WKP13"/>
      <c r="WKQ13"/>
      <c r="WKR13"/>
      <c r="WKS13"/>
      <c r="WKT13"/>
      <c r="WKU13"/>
      <c r="WKV13"/>
      <c r="WKW13"/>
      <c r="WKX13"/>
      <c r="WKY13"/>
      <c r="WKZ13"/>
      <c r="WLA13"/>
      <c r="WLB13"/>
      <c r="WLC13"/>
      <c r="WLD13"/>
      <c r="WLE13"/>
      <c r="WLF13"/>
      <c r="WLG13"/>
      <c r="WLH13"/>
      <c r="WLI13"/>
      <c r="WLJ13"/>
      <c r="WLK13"/>
      <c r="WLL13"/>
      <c r="WLM13"/>
      <c r="WLN13"/>
      <c r="WLO13"/>
      <c r="WLP13"/>
      <c r="WLQ13"/>
      <c r="WLR13"/>
      <c r="WLS13"/>
      <c r="WLT13"/>
      <c r="WLU13"/>
      <c r="WLV13"/>
      <c r="WLW13"/>
      <c r="WLX13"/>
      <c r="WLY13"/>
      <c r="WLZ13"/>
      <c r="WMA13"/>
      <c r="WMB13"/>
      <c r="WMC13"/>
      <c r="WMD13"/>
      <c r="WME13"/>
      <c r="WMF13"/>
      <c r="WMG13"/>
      <c r="WMH13"/>
      <c r="WMI13"/>
      <c r="WMJ13"/>
      <c r="WMK13"/>
      <c r="WML13"/>
      <c r="WMM13"/>
      <c r="WMN13"/>
      <c r="WMO13"/>
      <c r="WMP13"/>
      <c r="WMQ13"/>
      <c r="WMR13"/>
      <c r="WMS13"/>
      <c r="WMT13"/>
      <c r="WMU13"/>
      <c r="WMV13"/>
      <c r="WMW13"/>
      <c r="WMX13"/>
      <c r="WMY13"/>
      <c r="WMZ13"/>
      <c r="WNA13"/>
      <c r="WNB13"/>
      <c r="WNC13"/>
      <c r="WND13"/>
      <c r="WNE13"/>
      <c r="WNF13"/>
      <c r="WNG13"/>
      <c r="WNH13"/>
      <c r="WNI13"/>
      <c r="WNJ13"/>
      <c r="WNK13"/>
      <c r="WNL13"/>
      <c r="WNM13"/>
      <c r="WNN13"/>
      <c r="WNO13"/>
      <c r="WNP13"/>
      <c r="WNQ13"/>
      <c r="WNR13"/>
      <c r="WNS13"/>
      <c r="WNT13"/>
      <c r="WNU13"/>
      <c r="WNV13"/>
      <c r="WNW13"/>
      <c r="WNX13"/>
      <c r="WNY13"/>
      <c r="WNZ13"/>
      <c r="WOA13"/>
      <c r="WOB13"/>
      <c r="WOC13"/>
      <c r="WOD13"/>
      <c r="WOE13"/>
      <c r="WOF13"/>
      <c r="WOG13"/>
      <c r="WOH13"/>
      <c r="WOI13"/>
      <c r="WOJ13"/>
      <c r="WOK13"/>
      <c r="WOL13"/>
      <c r="WOM13"/>
      <c r="WON13"/>
      <c r="WOO13"/>
      <c r="WOP13"/>
      <c r="WOQ13"/>
      <c r="WOR13"/>
      <c r="WOS13"/>
      <c r="WOT13"/>
      <c r="WOU13"/>
      <c r="WOV13"/>
      <c r="WOW13"/>
      <c r="WOX13"/>
      <c r="WOY13"/>
      <c r="WOZ13"/>
      <c r="WPA13"/>
      <c r="WPB13"/>
      <c r="WPC13"/>
      <c r="WPD13"/>
      <c r="WPE13"/>
      <c r="WPF13"/>
      <c r="WPG13"/>
      <c r="WPH13"/>
      <c r="WPI13"/>
      <c r="WPJ13"/>
      <c r="WPK13"/>
      <c r="WPL13"/>
      <c r="WPM13"/>
      <c r="WPN13"/>
      <c r="WPO13"/>
      <c r="WPP13"/>
      <c r="WPQ13"/>
      <c r="WPR13"/>
      <c r="WPS13"/>
      <c r="WPT13"/>
      <c r="WPU13"/>
      <c r="WPV13"/>
      <c r="WPW13"/>
      <c r="WPX13"/>
      <c r="WPY13"/>
      <c r="WPZ13"/>
      <c r="WQA13"/>
      <c r="WQB13"/>
      <c r="WQC13"/>
      <c r="WQD13"/>
      <c r="WQE13"/>
      <c r="WQF13"/>
      <c r="WQG13"/>
      <c r="WQH13"/>
      <c r="WQI13"/>
      <c r="WQJ13"/>
      <c r="WQK13"/>
      <c r="WQL13"/>
      <c r="WQM13"/>
      <c r="WQN13"/>
      <c r="WQO13"/>
      <c r="WQP13"/>
      <c r="WQQ13"/>
      <c r="WQR13"/>
      <c r="WQS13"/>
      <c r="WQT13"/>
      <c r="WQU13"/>
      <c r="WQV13"/>
      <c r="WQW13"/>
      <c r="WQX13"/>
      <c r="WQY13"/>
      <c r="WQZ13"/>
      <c r="WRA13"/>
      <c r="WRB13"/>
      <c r="WRC13"/>
      <c r="WRD13"/>
      <c r="WRE13"/>
      <c r="WRF13"/>
      <c r="WRG13"/>
      <c r="WRH13"/>
      <c r="WRI13"/>
      <c r="WRJ13"/>
      <c r="WRK13"/>
      <c r="WRL13"/>
      <c r="WRM13"/>
      <c r="WRN13"/>
      <c r="WRO13"/>
      <c r="WRP13"/>
      <c r="WRQ13"/>
      <c r="WRR13"/>
      <c r="WRS13"/>
      <c r="WRT13"/>
      <c r="WRU13"/>
      <c r="WRV13"/>
      <c r="WRW13"/>
      <c r="WRX13"/>
      <c r="WRY13"/>
      <c r="WRZ13"/>
      <c r="WSA13"/>
      <c r="WSB13"/>
      <c r="WSC13"/>
      <c r="WSD13"/>
      <c r="WSE13"/>
      <c r="WSF13"/>
      <c r="WSG13"/>
      <c r="WSH13"/>
      <c r="WSI13"/>
      <c r="WSJ13"/>
      <c r="WSK13"/>
      <c r="WSL13"/>
      <c r="WSM13"/>
      <c r="WSN13"/>
      <c r="WSO13"/>
      <c r="WSP13"/>
      <c r="WSQ13"/>
      <c r="WSR13"/>
      <c r="WSS13"/>
      <c r="WST13"/>
      <c r="WSU13"/>
      <c r="WSV13"/>
      <c r="WSW13"/>
      <c r="WSX13"/>
      <c r="WSY13"/>
      <c r="WSZ13"/>
      <c r="WTA13"/>
      <c r="WTB13"/>
      <c r="WTC13"/>
      <c r="WTD13"/>
      <c r="WTE13"/>
      <c r="WTF13"/>
      <c r="WTG13"/>
      <c r="WTH13"/>
      <c r="WTI13"/>
      <c r="WTJ13"/>
      <c r="WTK13"/>
      <c r="WTL13"/>
      <c r="WTM13"/>
      <c r="WTN13"/>
      <c r="WTO13"/>
      <c r="WTP13"/>
      <c r="WTQ13"/>
      <c r="WTR13"/>
      <c r="WTS13"/>
      <c r="WTT13"/>
      <c r="WTU13"/>
      <c r="WTV13"/>
      <c r="WTW13"/>
      <c r="WTX13"/>
      <c r="WTY13"/>
      <c r="WTZ13"/>
      <c r="WUA13"/>
      <c r="WUB13"/>
      <c r="WUC13"/>
      <c r="WUD13"/>
      <c r="WUE13"/>
      <c r="WUF13"/>
      <c r="WUG13"/>
      <c r="WUH13"/>
      <c r="WUI13"/>
      <c r="WUJ13"/>
      <c r="WUK13"/>
      <c r="WUL13"/>
      <c r="WUM13"/>
      <c r="WUN13"/>
      <c r="WUO13"/>
      <c r="WUP13"/>
      <c r="WUQ13"/>
      <c r="WUR13"/>
      <c r="WUS13"/>
      <c r="WUT13"/>
      <c r="WUU13"/>
      <c r="WUV13"/>
      <c r="WUW13"/>
      <c r="WUX13"/>
      <c r="WUY13"/>
      <c r="WUZ13"/>
      <c r="WVA13"/>
      <c r="WVB13"/>
      <c r="WVC13"/>
      <c r="WVD13"/>
      <c r="WVE13"/>
      <c r="WVF13"/>
      <c r="WVG13"/>
      <c r="WVH13"/>
      <c r="WVI13"/>
      <c r="WVJ13"/>
      <c r="WVK13"/>
      <c r="WVL13"/>
      <c r="WVM13"/>
      <c r="WVN13"/>
      <c r="WVO13"/>
      <c r="WVP13"/>
      <c r="WVQ13"/>
      <c r="WVR13"/>
      <c r="WVS13"/>
      <c r="WVT13"/>
      <c r="WVU13"/>
      <c r="WVV13"/>
      <c r="WVW13"/>
      <c r="WVX13"/>
      <c r="WVY13"/>
      <c r="WVZ13"/>
      <c r="WWA13"/>
      <c r="WWB13"/>
      <c r="WWC13"/>
      <c r="WWD13"/>
      <c r="WWE13"/>
      <c r="WWF13"/>
      <c r="WWG13"/>
      <c r="WWH13"/>
      <c r="WWI13"/>
      <c r="WWJ13"/>
      <c r="WWK13"/>
      <c r="WWL13"/>
      <c r="WWM13"/>
      <c r="WWN13"/>
      <c r="WWO13"/>
      <c r="WWP13"/>
      <c r="WWQ13"/>
      <c r="WWR13"/>
      <c r="WWS13"/>
      <c r="WWT13"/>
      <c r="WWU13"/>
      <c r="WWV13"/>
      <c r="WWW13"/>
      <c r="WWX13"/>
      <c r="WWY13"/>
      <c r="WWZ13"/>
      <c r="WXA13"/>
      <c r="WXB13"/>
      <c r="WXC13"/>
      <c r="WXD13"/>
      <c r="WXE13"/>
      <c r="WXF13"/>
      <c r="WXG13"/>
      <c r="WXH13"/>
      <c r="WXI13"/>
      <c r="WXJ13"/>
      <c r="WXK13"/>
      <c r="WXL13"/>
      <c r="WXM13"/>
      <c r="WXN13"/>
      <c r="WXO13"/>
      <c r="WXP13"/>
      <c r="WXQ13"/>
      <c r="WXR13"/>
      <c r="WXS13"/>
      <c r="WXT13"/>
      <c r="WXU13"/>
      <c r="WXV13"/>
      <c r="WXW13"/>
      <c r="WXX13"/>
      <c r="WXY13"/>
      <c r="WXZ13"/>
      <c r="WYA13"/>
      <c r="WYB13"/>
      <c r="WYC13"/>
      <c r="WYD13"/>
      <c r="WYE13"/>
      <c r="WYF13"/>
      <c r="WYG13"/>
      <c r="WYH13"/>
      <c r="WYI13"/>
      <c r="WYJ13"/>
      <c r="WYK13"/>
      <c r="WYL13"/>
      <c r="WYM13"/>
      <c r="WYN13"/>
      <c r="WYO13"/>
      <c r="WYP13"/>
      <c r="WYQ13"/>
      <c r="WYR13"/>
      <c r="WYS13"/>
      <c r="WYT13"/>
      <c r="WYU13"/>
      <c r="WYV13"/>
      <c r="WYW13"/>
      <c r="WYX13"/>
      <c r="WYY13"/>
      <c r="WYZ13"/>
      <c r="WZA13"/>
      <c r="WZB13"/>
      <c r="WZC13"/>
      <c r="WZD13"/>
      <c r="WZE13"/>
      <c r="WZF13"/>
      <c r="WZG13"/>
      <c r="WZH13"/>
      <c r="WZI13"/>
      <c r="WZJ13"/>
      <c r="WZK13"/>
      <c r="WZL13"/>
      <c r="WZM13"/>
      <c r="WZN13"/>
      <c r="WZO13"/>
      <c r="WZP13"/>
      <c r="WZQ13"/>
      <c r="WZR13"/>
      <c r="WZS13"/>
      <c r="WZT13"/>
      <c r="WZU13"/>
      <c r="WZV13"/>
      <c r="WZW13"/>
      <c r="WZX13"/>
      <c r="WZY13"/>
      <c r="WZZ13"/>
      <c r="XAA13"/>
      <c r="XAB13"/>
      <c r="XAC13"/>
      <c r="XAD13"/>
      <c r="XAE13"/>
      <c r="XAF13"/>
      <c r="XAG13"/>
      <c r="XAH13"/>
      <c r="XAI13"/>
      <c r="XAJ13"/>
      <c r="XAK13"/>
      <c r="XAL13"/>
      <c r="XAM13"/>
      <c r="XAN13"/>
      <c r="XAO13"/>
      <c r="XAP13"/>
      <c r="XAQ13"/>
      <c r="XAR13"/>
      <c r="XAS13"/>
      <c r="XAT13"/>
      <c r="XAU13"/>
      <c r="XAV13"/>
      <c r="XAW13"/>
      <c r="XAX13"/>
      <c r="XAY13"/>
      <c r="XAZ13"/>
      <c r="XBA13"/>
      <c r="XBB13"/>
      <c r="XBC13"/>
      <c r="XBD13"/>
      <c r="XBE13"/>
      <c r="XBF13"/>
      <c r="XBG13"/>
      <c r="XBH13"/>
      <c r="XBI13"/>
      <c r="XBJ13"/>
      <c r="XBK13"/>
      <c r="XBL13"/>
      <c r="XBM13"/>
      <c r="XBN13"/>
      <c r="XBO13"/>
      <c r="XBP13"/>
      <c r="XBQ13"/>
      <c r="XBR13"/>
      <c r="XBS13"/>
      <c r="XBT13"/>
      <c r="XBU13"/>
      <c r="XBV13"/>
      <c r="XBW13"/>
      <c r="XBX13"/>
      <c r="XBY13"/>
      <c r="XBZ13"/>
      <c r="XCA13"/>
      <c r="XCB13"/>
      <c r="XCC13"/>
      <c r="XCD13"/>
      <c r="XCE13"/>
      <c r="XCF13"/>
      <c r="XCG13"/>
      <c r="XCH13"/>
      <c r="XCI13"/>
      <c r="XCJ13"/>
      <c r="XCK13"/>
      <c r="XCL13"/>
      <c r="XCM13"/>
      <c r="XCN13"/>
      <c r="XCO13"/>
      <c r="XCP13"/>
      <c r="XCQ13"/>
      <c r="XCR13"/>
      <c r="XCS13"/>
      <c r="XCT13"/>
      <c r="XCU13"/>
      <c r="XCV13"/>
      <c r="XCW13"/>
      <c r="XCX13"/>
      <c r="XCY13"/>
      <c r="XCZ13"/>
      <c r="XDA13"/>
      <c r="XDB13"/>
      <c r="XDC13"/>
      <c r="XDD13"/>
      <c r="XDE13"/>
      <c r="XDF13"/>
      <c r="XDG13"/>
      <c r="XDH13"/>
      <c r="XDI13"/>
      <c r="XDJ13"/>
      <c r="XDK13"/>
      <c r="XDL13"/>
      <c r="XDM13"/>
      <c r="XDN13"/>
      <c r="XDO13"/>
      <c r="XDP13"/>
      <c r="XDQ13"/>
      <c r="XDR13"/>
      <c r="XDS13"/>
      <c r="XDT13"/>
      <c r="XDU13"/>
      <c r="XDV13"/>
      <c r="XDW13"/>
      <c r="XDX13"/>
      <c r="XDY13"/>
      <c r="XDZ13"/>
      <c r="XEA13"/>
      <c r="XEB13"/>
      <c r="XEC13"/>
      <c r="XED13"/>
      <c r="XEE13"/>
      <c r="XEF13"/>
      <c r="XEG13"/>
      <c r="XEH13"/>
      <c r="XEI13"/>
      <c r="XEJ13"/>
      <c r="XEK13"/>
      <c r="XEL13"/>
      <c r="XEM13"/>
      <c r="XEN13"/>
      <c r="XEO13"/>
      <c r="XEP13"/>
      <c r="XEQ13"/>
      <c r="XER13"/>
      <c r="XES13"/>
      <c r="XET13"/>
      <c r="XEU13"/>
      <c r="XEV13"/>
      <c r="XEW13"/>
      <c r="XEX13"/>
      <c r="XEY13"/>
      <c r="XEZ13"/>
      <c r="XFA13"/>
      <c r="XFB13"/>
      <c r="XFC13"/>
      <c r="XFD13"/>
    </row>
    <row r="14" spans="1:154 14670:16384" s="8" customFormat="1" ht="15.75" hidden="1" thickBot="1" x14ac:dyDescent="0.3">
      <c r="B14" s="32" t="s">
        <v>1</v>
      </c>
      <c r="C14" s="26" t="str">
        <f ca="1">IFERROR(VLOOKUP($G$1,INDIRECT("'" &amp;'Caller Portal Instructions'!D$25&amp;"'!$B$4:$P$200"),2, FALSE),"")</f>
        <v/>
      </c>
      <c r="D14" s="26" t="str">
        <f ca="1">IFERROR(VLOOKUP($G$1,INDIRECT("'" &amp;'Caller Portal Instructions'!E$25&amp;"'!$B$4:$P$200"),2, FALSE),"")</f>
        <v/>
      </c>
      <c r="E14" s="26" t="str">
        <f ca="1">IFERROR(VLOOKUP($G$1,INDIRECT("'" &amp;'Caller Portal Instructions'!F$25&amp;"'!$B$4:$P$200"),2, FALSE),"")</f>
        <v/>
      </c>
      <c r="F14" s="26" t="str">
        <f ca="1">IFERROR(VLOOKUP($G$1,INDIRECT("'" &amp;'Caller Portal Instructions'!G$25&amp;"'!$B$4:$P$200"),2, FALSE),"")</f>
        <v/>
      </c>
      <c r="G14" s="26" t="str">
        <f ca="1">IFERROR(VLOOKUP($G$1,INDIRECT("'" &amp;'Caller Portal Instructions'!H$25&amp;"'!$B$4:$P$200"),2, FALSE),"")</f>
        <v/>
      </c>
      <c r="H14" s="26" t="str">
        <f ca="1">IFERROR(VLOOKUP($G$1,INDIRECT("'" &amp;'Caller Portal Instructions'!I$25&amp;"'!$B$4:$P$200"),2, FALSE),"")</f>
        <v/>
      </c>
      <c r="I14" s="26" t="str">
        <f ca="1">IFERROR(VLOOKUP($G$1,INDIRECT("'" &amp;'Caller Portal Instructions'!J$25&amp;"'!$B$4:$P$200"),2, FALSE),"")</f>
        <v/>
      </c>
      <c r="J14" s="26" t="str">
        <f ca="1">IFERROR(VLOOKUP($G$1,INDIRECT("'" &amp;'Caller Portal Instructions'!K$25&amp;"'!$B$4:$P$200"),2, FALSE),"")</f>
        <v/>
      </c>
      <c r="K14" s="26" t="str">
        <f ca="1">IFERROR(VLOOKUP($G$1,INDIRECT("'" &amp;'Caller Portal Instructions'!L$25&amp;"'!$B$4:$P$200"),2, FALSE),"")</f>
        <v/>
      </c>
      <c r="L14" s="26" t="str">
        <f ca="1">IFERROR(VLOOKUP($G$1,INDIRECT("'" &amp;'Caller Portal Instructions'!M$25&amp;"'!$B$4:$P$200"),2, FALSE),"")</f>
        <v/>
      </c>
      <c r="M14" s="26" t="str">
        <f ca="1">IFERROR(VLOOKUP($G$1,INDIRECT("'" &amp;'Caller Portal Instructions'!N$25&amp;"'!$B$4:$P$200"),2, FALSE),"")</f>
        <v/>
      </c>
      <c r="N14" s="26" t="str">
        <f ca="1">IFERROR(VLOOKUP($G$1,INDIRECT("'" &amp;'Caller Portal Instructions'!O$25&amp;"'!$B$4:$P$200"),2, FALSE),"")</f>
        <v/>
      </c>
      <c r="O14" s="26" t="str">
        <f ca="1">IFERROR(VLOOKUP($G$1,INDIRECT("'" &amp;'Caller Portal Instructions'!P$25&amp;"'!$B$4:$P$200"),2, FALSE),"")</f>
        <v/>
      </c>
      <c r="P14" s="26" t="str">
        <f ca="1">IFERROR(VLOOKUP($G$1,INDIRECT("'" &amp;'Caller Portal Instructions'!Q$25&amp;"'!$B$4:$P$200"),2, FALSE),"")</f>
        <v/>
      </c>
      <c r="Q14" s="26" t="str">
        <f ca="1">IFERROR(VLOOKUP($G$1,INDIRECT("'" &amp;'Caller Portal Instructions'!R$25&amp;"'!$B$4:$P$200"),2, FALSE),"")</f>
        <v/>
      </c>
      <c r="R14" s="26" t="str">
        <f ca="1">IFERROR(VLOOKUP($G$1,INDIRECT("'" &amp;'Caller Portal Instructions'!S$25&amp;"'!$B$4:$P$200"),2, FALSE),"")</f>
        <v/>
      </c>
      <c r="S14" s="26" t="str">
        <f ca="1">IFERROR(VLOOKUP($G$1,INDIRECT("'" &amp;'Caller Portal Instructions'!T$25&amp;"'!$B$4:$P$200"),2, FALSE),"")</f>
        <v/>
      </c>
      <c r="T14" s="26" t="str">
        <f ca="1">IFERROR(VLOOKUP($G$1,INDIRECT("'" &amp;'Caller Portal Instructions'!U$25&amp;"'!$B$4:$P$200"),2, FALSE),"")</f>
        <v/>
      </c>
      <c r="U14" s="26" t="str">
        <f ca="1">IFERROR(VLOOKUP($G$1,INDIRECT("'" &amp;'Caller Portal Instructions'!V$25&amp;"'!$B$4:$P$200"),2, FALSE),"")</f>
        <v/>
      </c>
      <c r="V14" s="26" t="str">
        <f ca="1">IFERROR(VLOOKUP($G$1,INDIRECT("'" &amp;'Caller Portal Instructions'!W$25&amp;"'!$B$4:$P$200"),2, FALSE),"")</f>
        <v/>
      </c>
      <c r="W14" s="26" t="str">
        <f ca="1">IFERROR(VLOOKUP($G$1,INDIRECT("'" &amp;'Caller Portal Instructions'!X$25&amp;"'!$B$4:$P$200"),2, FALSE),"")</f>
        <v/>
      </c>
      <c r="X14" s="26" t="str">
        <f ca="1">IFERROR(VLOOKUP($G$1,INDIRECT("'" &amp;'Caller Portal Instructions'!Y$25&amp;"'!$B$4:$P$200"),2, FALSE),"")</f>
        <v/>
      </c>
      <c r="Y14" s="26" t="str">
        <f ca="1">IFERROR(VLOOKUP($G$1,INDIRECT("'" &amp;'Caller Portal Instructions'!Z$25&amp;"'!$B$4:$P$200"),2, FALSE),"")</f>
        <v/>
      </c>
      <c r="Z14" s="26" t="str">
        <f ca="1">IFERROR(VLOOKUP($G$1,INDIRECT("'" &amp;'Caller Portal Instructions'!AA$25&amp;"'!$B$4:$P$200"),2, FALSE),"")</f>
        <v/>
      </c>
      <c r="AA14" s="26" t="str">
        <f ca="1">IFERROR(VLOOKUP($G$1,INDIRECT("'" &amp;'Caller Portal Instructions'!AB$25&amp;"'!$B$4:$P$200"),2, FALSE),"")</f>
        <v/>
      </c>
      <c r="AB14" s="26" t="str">
        <f ca="1">IFERROR(VLOOKUP($G$1,INDIRECT("'" &amp;'Caller Portal Instructions'!AC$25&amp;"'!$B$4:$P$200"),2, FALSE),"")</f>
        <v/>
      </c>
      <c r="AC14" s="26" t="str">
        <f ca="1">IFERROR(VLOOKUP($G$1,INDIRECT("'" &amp;'Caller Portal Instructions'!AD$25&amp;"'!$B$4:$P$200"),2, FALSE),"")</f>
        <v/>
      </c>
      <c r="AD14" s="26" t="str">
        <f ca="1">IFERROR(VLOOKUP($G$1,INDIRECT("'" &amp;'Caller Portal Instructions'!AE$25&amp;"'!$B$4:$P$200"),2, FALSE),"")</f>
        <v/>
      </c>
      <c r="AE14" s="26" t="str">
        <f ca="1">IFERROR(VLOOKUP($G$1,INDIRECT("'" &amp;'Caller Portal Instructions'!AF$25&amp;"'!$B$4:$P$200"),2, FALSE),"")</f>
        <v/>
      </c>
      <c r="AF14" s="26" t="str">
        <f ca="1">IFERROR(VLOOKUP($G$1,INDIRECT("'" &amp;'Caller Portal Instructions'!AG$25&amp;"'!$B$4:$P$200"),2, FALSE),"")</f>
        <v/>
      </c>
      <c r="AG14" s="26" t="str">
        <f ca="1">IFERROR(VLOOKUP($G$1,INDIRECT("'" &amp;'Caller Portal Instructions'!AH$25&amp;"'!$B$4:$P$200"),2, FALSE),"")</f>
        <v/>
      </c>
      <c r="AH14" s="26" t="str">
        <f ca="1">IFERROR(VLOOKUP($G$1,INDIRECT("'" &amp;'Caller Portal Instructions'!AI$25&amp;"'!$B$4:$P$200"),2, FALSE),"")</f>
        <v/>
      </c>
      <c r="AI14" s="26" t="str">
        <f ca="1">IFERROR(VLOOKUP($G$1,INDIRECT("'" &amp;'Caller Portal Instructions'!AJ$25&amp;"'!$B$4:$P$200"),2, FALSE),"")</f>
        <v/>
      </c>
      <c r="AJ14" s="26" t="str">
        <f ca="1">IFERROR(VLOOKUP($G$1,INDIRECT("'" &amp;'Caller Portal Instructions'!AK$25&amp;"'!$B$4:$P$200"),2, FALSE),"")</f>
        <v/>
      </c>
      <c r="AK14" s="26" t="str">
        <f ca="1">IFERROR(VLOOKUP($G$1,INDIRECT("'" &amp;'Caller Portal Instructions'!AL$25&amp;"'!$B$4:$P$200"),2, FALSE),"")</f>
        <v/>
      </c>
      <c r="AL14" s="26" t="str">
        <f ca="1">IFERROR(VLOOKUP($G$1,INDIRECT("'" &amp;'Caller Portal Instructions'!AM$25&amp;"'!$B$4:$P$200"),2, FALSE),"")</f>
        <v/>
      </c>
      <c r="AM14" s="26" t="str">
        <f ca="1">IFERROR(VLOOKUP($G$1,INDIRECT("'" &amp;'Caller Portal Instructions'!AN$25&amp;"'!$B$4:$P$200"),2, FALSE),"")</f>
        <v/>
      </c>
      <c r="AN14" s="26" t="str">
        <f ca="1">IFERROR(VLOOKUP($G$1,INDIRECT("'" &amp;'Caller Portal Instructions'!AO$25&amp;"'!$B$4:$P$200"),2, FALSE),"")</f>
        <v/>
      </c>
      <c r="AO14" s="26" t="str">
        <f ca="1">IFERROR(VLOOKUP($G$1,INDIRECT("'" &amp;'Caller Portal Instructions'!AP$25&amp;"'!$B$4:$P$200"),2, FALSE),"")</f>
        <v/>
      </c>
      <c r="AP14" s="26" t="str">
        <f ca="1">IFERROR(VLOOKUP($G$1,INDIRECT("'" &amp;'Caller Portal Instructions'!AQ$25&amp;"'!$B$4:$P$200"),2, FALSE),"")</f>
        <v/>
      </c>
      <c r="AQ14" s="26" t="str">
        <f ca="1">IFERROR(VLOOKUP($G$1,INDIRECT("'" &amp;'Caller Portal Instructions'!AR$25&amp;"'!$B$4:$P$200"),2, FALSE),"")</f>
        <v/>
      </c>
      <c r="AR14" s="26" t="str">
        <f ca="1">IFERROR(VLOOKUP($G$1,INDIRECT("'" &amp;'Caller Portal Instructions'!AS$25&amp;"'!$B$4:$P$200"),2, FALSE),"")</f>
        <v/>
      </c>
      <c r="AS14" s="26" t="str">
        <f ca="1">IFERROR(VLOOKUP($G$1,INDIRECT("'" &amp;'Caller Portal Instructions'!AT$25&amp;"'!$B$4:$P$200"),2, FALSE),"")</f>
        <v/>
      </c>
      <c r="AT14" s="26" t="str">
        <f ca="1">IFERROR(VLOOKUP($G$1,INDIRECT("'" &amp;'Caller Portal Instructions'!AU$25&amp;"'!$B$4:$P$200"),2, FALSE),"")</f>
        <v/>
      </c>
      <c r="AU14" s="26" t="str">
        <f ca="1">IFERROR(VLOOKUP($G$1,INDIRECT("'" &amp;'Caller Portal Instructions'!AV$25&amp;"'!$B$4:$P$200"),2, FALSE),"")</f>
        <v/>
      </c>
      <c r="AV14" s="26" t="str">
        <f ca="1">IFERROR(VLOOKUP($G$1,INDIRECT("'" &amp;'Caller Portal Instructions'!AW$25&amp;"'!$B$4:$P$200"),2, FALSE),"")</f>
        <v/>
      </c>
      <c r="AW14" s="26" t="str">
        <f ca="1">IFERROR(VLOOKUP($G$1,INDIRECT("'" &amp;'Caller Portal Instructions'!AX$25&amp;"'!$B$4:$P$200"),2, FALSE),"")</f>
        <v/>
      </c>
      <c r="AX14" s="26" t="str">
        <f ca="1">IFERROR(VLOOKUP($G$1,INDIRECT("'" &amp;'Caller Portal Instructions'!AY$25&amp;"'!$B$4:$P$200"),2, FALSE),"")</f>
        <v/>
      </c>
      <c r="AY14" s="26" t="str">
        <f ca="1">IFERROR(VLOOKUP($G$1,INDIRECT("'" &amp;'Caller Portal Instructions'!AZ$25&amp;"'!$B$4:$P$200"),2, FALSE),"")</f>
        <v/>
      </c>
      <c r="AZ14" s="26" t="str">
        <f ca="1">IFERROR(VLOOKUP($G$1,INDIRECT("'" &amp;'Caller Portal Instructions'!BA$25&amp;"'!$B$4:$P$200"),2, FALSE),"")</f>
        <v/>
      </c>
      <c r="BA14" s="18"/>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URF14"/>
      <c r="URG14"/>
      <c r="URH14"/>
      <c r="URI14"/>
      <c r="URJ14"/>
      <c r="URK14"/>
      <c r="URL14"/>
      <c r="URM14"/>
      <c r="URN14"/>
      <c r="URO14"/>
      <c r="URP14"/>
      <c r="URQ14"/>
      <c r="URR14"/>
      <c r="URS14"/>
      <c r="URT14"/>
      <c r="URU14"/>
      <c r="URV14"/>
      <c r="URW14"/>
      <c r="URX14"/>
      <c r="URY14"/>
      <c r="URZ14"/>
      <c r="USA14"/>
      <c r="USB14"/>
      <c r="USC14"/>
      <c r="USD14"/>
      <c r="USE14"/>
      <c r="USF14"/>
      <c r="USG14"/>
      <c r="USH14"/>
      <c r="USI14"/>
      <c r="USJ14"/>
      <c r="USK14"/>
      <c r="USL14"/>
      <c r="USM14"/>
      <c r="USN14"/>
      <c r="USO14"/>
      <c r="USP14"/>
      <c r="USQ14"/>
      <c r="USR14"/>
      <c r="USS14"/>
      <c r="UST14"/>
      <c r="USU14"/>
      <c r="USV14"/>
      <c r="USW14"/>
      <c r="USX14"/>
      <c r="USY14"/>
      <c r="USZ14"/>
      <c r="UTA14"/>
      <c r="UTB14"/>
      <c r="UTC14"/>
      <c r="UTD14"/>
      <c r="UTE14"/>
      <c r="UTF14"/>
      <c r="UTG14"/>
      <c r="UTH14"/>
      <c r="UTI14"/>
      <c r="UTJ14"/>
      <c r="UTK14"/>
      <c r="UTL14"/>
      <c r="UTM14"/>
      <c r="UTN14"/>
      <c r="UTO14"/>
      <c r="UTP14"/>
      <c r="UTQ14"/>
      <c r="UTR14"/>
      <c r="UTS14"/>
      <c r="UTT14"/>
      <c r="UTU14"/>
      <c r="UTV14"/>
      <c r="UTW14"/>
      <c r="UTX14"/>
      <c r="UTY14"/>
      <c r="UTZ14"/>
      <c r="UUA14"/>
      <c r="UUB14"/>
      <c r="UUC14"/>
      <c r="UUD14"/>
      <c r="UUE14"/>
      <c r="UUF14"/>
      <c r="UUG14"/>
      <c r="UUH14"/>
      <c r="UUI14"/>
      <c r="UUJ14"/>
      <c r="UUK14"/>
      <c r="UUL14"/>
      <c r="UUM14"/>
      <c r="UUN14"/>
      <c r="UUO14"/>
      <c r="UUP14"/>
      <c r="UUQ14"/>
      <c r="UUR14"/>
      <c r="UUS14"/>
      <c r="UUT14"/>
      <c r="UUU14"/>
      <c r="UUV14"/>
      <c r="UUW14"/>
      <c r="UUX14"/>
      <c r="UUY14"/>
      <c r="UUZ14"/>
      <c r="UVA14"/>
      <c r="UVB14"/>
      <c r="UVC14"/>
      <c r="UVD14"/>
      <c r="UVE14"/>
      <c r="UVF14"/>
      <c r="UVG14"/>
      <c r="UVH14"/>
      <c r="UVI14"/>
      <c r="UVJ14"/>
      <c r="UVK14"/>
      <c r="UVL14"/>
      <c r="UVM14"/>
      <c r="UVN14"/>
      <c r="UVO14"/>
      <c r="UVP14"/>
      <c r="UVQ14"/>
      <c r="UVR14"/>
      <c r="UVS14"/>
      <c r="UVT14"/>
      <c r="UVU14"/>
      <c r="UVV14"/>
      <c r="UVW14"/>
      <c r="UVX14"/>
      <c r="UVY14"/>
      <c r="UVZ14"/>
      <c r="UWA14"/>
      <c r="UWB14"/>
      <c r="UWC14"/>
      <c r="UWD14"/>
      <c r="UWE14"/>
      <c r="UWF14"/>
      <c r="UWG14"/>
      <c r="UWH14"/>
      <c r="UWI14"/>
      <c r="UWJ14"/>
      <c r="UWK14"/>
      <c r="UWL14"/>
      <c r="UWM14"/>
      <c r="UWN14"/>
      <c r="UWO14"/>
      <c r="UWP14"/>
      <c r="UWQ14"/>
      <c r="UWR14"/>
      <c r="UWS14"/>
      <c r="UWT14"/>
      <c r="UWU14"/>
      <c r="UWV14"/>
      <c r="UWW14"/>
      <c r="UWX14"/>
      <c r="UWY14"/>
      <c r="UWZ14"/>
      <c r="UXA14"/>
      <c r="UXB14"/>
      <c r="UXC14"/>
      <c r="UXD14"/>
      <c r="UXE14"/>
      <c r="UXF14"/>
      <c r="UXG14"/>
      <c r="UXH14"/>
      <c r="UXI14"/>
      <c r="UXJ14"/>
      <c r="UXK14"/>
      <c r="UXL14"/>
      <c r="UXM14"/>
      <c r="UXN14"/>
      <c r="UXO14"/>
      <c r="UXP14"/>
      <c r="UXQ14"/>
      <c r="UXR14"/>
      <c r="UXS14"/>
      <c r="UXT14"/>
      <c r="UXU14"/>
      <c r="UXV14"/>
      <c r="UXW14"/>
      <c r="UXX14"/>
      <c r="UXY14"/>
      <c r="UXZ14"/>
      <c r="UYA14"/>
      <c r="UYB14"/>
      <c r="UYC14"/>
      <c r="UYD14"/>
      <c r="UYE14"/>
      <c r="UYF14"/>
      <c r="UYG14"/>
      <c r="UYH14"/>
      <c r="UYI14"/>
      <c r="UYJ14"/>
      <c r="UYK14"/>
      <c r="UYL14"/>
      <c r="UYM14"/>
      <c r="UYN14"/>
      <c r="UYO14"/>
      <c r="UYP14"/>
      <c r="UYQ14"/>
      <c r="UYR14"/>
      <c r="UYS14"/>
      <c r="UYT14"/>
      <c r="UYU14"/>
      <c r="UYV14"/>
      <c r="UYW14"/>
      <c r="UYX14"/>
      <c r="UYY14"/>
      <c r="UYZ14"/>
      <c r="UZA14"/>
      <c r="UZB14"/>
      <c r="UZC14"/>
      <c r="UZD14"/>
      <c r="UZE14"/>
      <c r="UZF14"/>
      <c r="UZG14"/>
      <c r="UZH14"/>
      <c r="UZI14"/>
      <c r="UZJ14"/>
      <c r="UZK14"/>
      <c r="UZL14"/>
      <c r="UZM14"/>
      <c r="UZN14"/>
      <c r="UZO14"/>
      <c r="UZP14"/>
      <c r="UZQ14"/>
      <c r="UZR14"/>
      <c r="UZS14"/>
      <c r="UZT14"/>
      <c r="UZU14"/>
      <c r="UZV14"/>
      <c r="UZW14"/>
      <c r="UZX14"/>
      <c r="UZY14"/>
      <c r="UZZ14"/>
      <c r="VAA14"/>
      <c r="VAB14"/>
      <c r="VAC14"/>
      <c r="VAD14"/>
      <c r="VAE14"/>
      <c r="VAF14"/>
      <c r="VAG14"/>
      <c r="VAH14"/>
      <c r="VAI14"/>
      <c r="VAJ14"/>
      <c r="VAK14"/>
      <c r="VAL14"/>
      <c r="VAM14"/>
      <c r="VAN14"/>
      <c r="VAO14"/>
      <c r="VAP14"/>
      <c r="VAQ14"/>
      <c r="VAR14"/>
      <c r="VAS14"/>
      <c r="VAT14"/>
      <c r="VAU14"/>
      <c r="VAV14"/>
      <c r="VAW14"/>
      <c r="VAX14"/>
      <c r="VAY14"/>
      <c r="VAZ14"/>
      <c r="VBA14"/>
      <c r="VBB14"/>
      <c r="VBC14"/>
      <c r="VBD14"/>
      <c r="VBE14"/>
      <c r="VBF14"/>
      <c r="VBG14"/>
      <c r="VBH14"/>
      <c r="VBI14"/>
      <c r="VBJ14"/>
      <c r="VBK14"/>
      <c r="VBL14"/>
      <c r="VBM14"/>
      <c r="VBN14"/>
      <c r="VBO14"/>
      <c r="VBP14"/>
      <c r="VBQ14"/>
      <c r="VBR14"/>
      <c r="VBS14"/>
      <c r="VBT14"/>
      <c r="VBU14"/>
      <c r="VBV14"/>
      <c r="VBW14"/>
      <c r="VBX14"/>
      <c r="VBY14"/>
      <c r="VBZ14"/>
      <c r="VCA14"/>
      <c r="VCB14"/>
      <c r="VCC14"/>
      <c r="VCD14"/>
      <c r="VCE14"/>
      <c r="VCF14"/>
      <c r="VCG14"/>
      <c r="VCH14"/>
      <c r="VCI14"/>
      <c r="VCJ14"/>
      <c r="VCK14"/>
      <c r="VCL14"/>
      <c r="VCM14"/>
      <c r="VCN14"/>
      <c r="VCO14"/>
      <c r="VCP14"/>
      <c r="VCQ14"/>
      <c r="VCR14"/>
      <c r="VCS14"/>
      <c r="VCT14"/>
      <c r="VCU14"/>
      <c r="VCV14"/>
      <c r="VCW14"/>
      <c r="VCX14"/>
      <c r="VCY14"/>
      <c r="VCZ14"/>
      <c r="VDA14"/>
      <c r="VDB14"/>
      <c r="VDC14"/>
      <c r="VDD14"/>
      <c r="VDE14"/>
      <c r="VDF14"/>
      <c r="VDG14"/>
      <c r="VDH14"/>
      <c r="VDI14"/>
      <c r="VDJ14"/>
      <c r="VDK14"/>
      <c r="VDL14"/>
      <c r="VDM14"/>
      <c r="VDN14"/>
      <c r="VDO14"/>
      <c r="VDP14"/>
      <c r="VDQ14"/>
      <c r="VDR14"/>
      <c r="VDS14"/>
      <c r="VDT14"/>
      <c r="VDU14"/>
      <c r="VDV14"/>
      <c r="VDW14"/>
      <c r="VDX14"/>
      <c r="VDY14"/>
      <c r="VDZ14"/>
      <c r="VEA14"/>
      <c r="VEB14"/>
      <c r="VEC14"/>
      <c r="VED14"/>
      <c r="VEE14"/>
      <c r="VEF14"/>
      <c r="VEG14"/>
      <c r="VEH14"/>
      <c r="VEI14"/>
      <c r="VEJ14"/>
      <c r="VEK14"/>
      <c r="VEL14"/>
      <c r="VEM14"/>
      <c r="VEN14"/>
      <c r="VEO14"/>
      <c r="VEP14"/>
      <c r="VEQ14"/>
      <c r="VER14"/>
      <c r="VES14"/>
      <c r="VET14"/>
      <c r="VEU14"/>
      <c r="VEV14"/>
      <c r="VEW14"/>
      <c r="VEX14"/>
      <c r="VEY14"/>
      <c r="VEZ14"/>
      <c r="VFA14"/>
      <c r="VFB14"/>
      <c r="VFC14"/>
      <c r="VFD14"/>
      <c r="VFE14"/>
      <c r="VFF14"/>
      <c r="VFG14"/>
      <c r="VFH14"/>
      <c r="VFI14"/>
      <c r="VFJ14"/>
      <c r="VFK14"/>
      <c r="VFL14"/>
      <c r="VFM14"/>
      <c r="VFN14"/>
      <c r="VFO14"/>
      <c r="VFP14"/>
      <c r="VFQ14"/>
      <c r="VFR14"/>
      <c r="VFS14"/>
      <c r="VFT14"/>
      <c r="VFU14"/>
      <c r="VFV14"/>
      <c r="VFW14"/>
      <c r="VFX14"/>
      <c r="VFY14"/>
      <c r="VFZ14"/>
      <c r="VGA14"/>
      <c r="VGB14"/>
      <c r="VGC14"/>
      <c r="VGD14"/>
      <c r="VGE14"/>
      <c r="VGF14"/>
      <c r="VGG14"/>
      <c r="VGH14"/>
      <c r="VGI14"/>
      <c r="VGJ14"/>
      <c r="VGK14"/>
      <c r="VGL14"/>
      <c r="VGM14"/>
      <c r="VGN14"/>
      <c r="VGO14"/>
      <c r="VGP14"/>
      <c r="VGQ14"/>
      <c r="VGR14"/>
      <c r="VGS14"/>
      <c r="VGT14"/>
      <c r="VGU14"/>
      <c r="VGV14"/>
      <c r="VGW14"/>
      <c r="VGX14"/>
      <c r="VGY14"/>
      <c r="VGZ14"/>
      <c r="VHA14"/>
      <c r="VHB14"/>
      <c r="VHC14"/>
      <c r="VHD14"/>
      <c r="VHE14"/>
      <c r="VHF14"/>
      <c r="VHG14"/>
      <c r="VHH14"/>
      <c r="VHI14"/>
      <c r="VHJ14"/>
      <c r="VHK14"/>
      <c r="VHL14"/>
      <c r="VHM14"/>
      <c r="VHN14"/>
      <c r="VHO14"/>
      <c r="VHP14"/>
      <c r="VHQ14"/>
      <c r="VHR14"/>
      <c r="VHS14"/>
      <c r="VHT14"/>
      <c r="VHU14"/>
      <c r="VHV14"/>
      <c r="VHW14"/>
      <c r="VHX14"/>
      <c r="VHY14"/>
      <c r="VHZ14"/>
      <c r="VIA14"/>
      <c r="VIB14"/>
      <c r="VIC14"/>
      <c r="VID14"/>
      <c r="VIE14"/>
      <c r="VIF14"/>
      <c r="VIG14"/>
      <c r="VIH14"/>
      <c r="VII14"/>
      <c r="VIJ14"/>
      <c r="VIK14"/>
      <c r="VIL14"/>
      <c r="VIM14"/>
      <c r="VIN14"/>
      <c r="VIO14"/>
      <c r="VIP14"/>
      <c r="VIQ14"/>
      <c r="VIR14"/>
      <c r="VIS14"/>
      <c r="VIT14"/>
      <c r="VIU14"/>
      <c r="VIV14"/>
      <c r="VIW14"/>
      <c r="VIX14"/>
      <c r="VIY14"/>
      <c r="VIZ14"/>
      <c r="VJA14"/>
      <c r="VJB14"/>
      <c r="VJC14"/>
      <c r="VJD14"/>
      <c r="VJE14"/>
      <c r="VJF14"/>
      <c r="VJG14"/>
      <c r="VJH14"/>
      <c r="VJI14"/>
      <c r="VJJ14"/>
      <c r="VJK14"/>
      <c r="VJL14"/>
      <c r="VJM14"/>
      <c r="VJN14"/>
      <c r="VJO14"/>
      <c r="VJP14"/>
      <c r="VJQ14"/>
      <c r="VJR14"/>
      <c r="VJS14"/>
      <c r="VJT14"/>
      <c r="VJU14"/>
      <c r="VJV14"/>
      <c r="VJW14"/>
      <c r="VJX14"/>
      <c r="VJY14"/>
      <c r="VJZ14"/>
      <c r="VKA14"/>
      <c r="VKB14"/>
      <c r="VKC14"/>
      <c r="VKD14"/>
      <c r="VKE14"/>
      <c r="VKF14"/>
      <c r="VKG14"/>
      <c r="VKH14"/>
      <c r="VKI14"/>
      <c r="VKJ14"/>
      <c r="VKK14"/>
      <c r="VKL14"/>
      <c r="VKM14"/>
      <c r="VKN14"/>
      <c r="VKO14"/>
      <c r="VKP14"/>
      <c r="VKQ14"/>
      <c r="VKR14"/>
      <c r="VKS14"/>
      <c r="VKT14"/>
      <c r="VKU14"/>
      <c r="VKV14"/>
      <c r="VKW14"/>
      <c r="VKX14"/>
      <c r="VKY14"/>
      <c r="VKZ14"/>
      <c r="VLA14"/>
      <c r="VLB14"/>
      <c r="VLC14"/>
      <c r="VLD14"/>
      <c r="VLE14"/>
      <c r="VLF14"/>
      <c r="VLG14"/>
      <c r="VLH14"/>
      <c r="VLI14"/>
      <c r="VLJ14"/>
      <c r="VLK14"/>
      <c r="VLL14"/>
      <c r="VLM14"/>
      <c r="VLN14"/>
      <c r="VLO14"/>
      <c r="VLP14"/>
      <c r="VLQ14"/>
      <c r="VLR14"/>
      <c r="VLS14"/>
      <c r="VLT14"/>
      <c r="VLU14"/>
      <c r="VLV14"/>
      <c r="VLW14"/>
      <c r="VLX14"/>
      <c r="VLY14"/>
      <c r="VLZ14"/>
      <c r="VMA14"/>
      <c r="VMB14"/>
      <c r="VMC14"/>
      <c r="VMD14"/>
      <c r="VME14"/>
      <c r="VMF14"/>
      <c r="VMG14"/>
      <c r="VMH14"/>
      <c r="VMI14"/>
      <c r="VMJ14"/>
      <c r="VMK14"/>
      <c r="VML14"/>
      <c r="VMM14"/>
      <c r="VMN14"/>
      <c r="VMO14"/>
      <c r="VMP14"/>
      <c r="VMQ14"/>
      <c r="VMR14"/>
      <c r="VMS14"/>
      <c r="VMT14"/>
      <c r="VMU14"/>
      <c r="VMV14"/>
      <c r="VMW14"/>
      <c r="VMX14"/>
      <c r="VMY14"/>
      <c r="VMZ14"/>
      <c r="VNA14"/>
      <c r="VNB14"/>
      <c r="VNC14"/>
      <c r="VND14"/>
      <c r="VNE14"/>
      <c r="VNF14"/>
      <c r="VNG14"/>
      <c r="VNH14"/>
      <c r="VNI14"/>
      <c r="VNJ14"/>
      <c r="VNK14"/>
      <c r="VNL14"/>
      <c r="VNM14"/>
      <c r="VNN14"/>
      <c r="VNO14"/>
      <c r="VNP14"/>
      <c r="VNQ14"/>
      <c r="VNR14"/>
      <c r="VNS14"/>
      <c r="VNT14"/>
      <c r="VNU14"/>
      <c r="VNV14"/>
      <c r="VNW14"/>
      <c r="VNX14"/>
      <c r="VNY14"/>
      <c r="VNZ14"/>
      <c r="VOA14"/>
      <c r="VOB14"/>
      <c r="VOC14"/>
      <c r="VOD14"/>
      <c r="VOE14"/>
      <c r="VOF14"/>
      <c r="VOG14"/>
      <c r="VOH14"/>
      <c r="VOI14"/>
      <c r="VOJ14"/>
      <c r="VOK14"/>
      <c r="VOL14"/>
      <c r="VOM14"/>
      <c r="VON14"/>
      <c r="VOO14"/>
      <c r="VOP14"/>
      <c r="VOQ14"/>
      <c r="VOR14"/>
      <c r="VOS14"/>
      <c r="VOT14"/>
      <c r="VOU14"/>
      <c r="VOV14"/>
      <c r="VOW14"/>
      <c r="VOX14"/>
      <c r="VOY14"/>
      <c r="VOZ14"/>
      <c r="VPA14"/>
      <c r="VPB14"/>
      <c r="VPC14"/>
      <c r="VPD14"/>
      <c r="VPE14"/>
      <c r="VPF14"/>
      <c r="VPG14"/>
      <c r="VPH14"/>
      <c r="VPI14"/>
      <c r="VPJ14"/>
      <c r="VPK14"/>
      <c r="VPL14"/>
      <c r="VPM14"/>
      <c r="VPN14"/>
      <c r="VPO14"/>
      <c r="VPP14"/>
      <c r="VPQ14"/>
      <c r="VPR14"/>
      <c r="VPS14"/>
      <c r="VPT14"/>
      <c r="VPU14"/>
      <c r="VPV14"/>
      <c r="VPW14"/>
      <c r="VPX14"/>
      <c r="VPY14"/>
      <c r="VPZ14"/>
      <c r="VQA14"/>
      <c r="VQB14"/>
      <c r="VQC14"/>
      <c r="VQD14"/>
      <c r="VQE14"/>
      <c r="VQF14"/>
      <c r="VQG14"/>
      <c r="VQH14"/>
      <c r="VQI14"/>
      <c r="VQJ14"/>
      <c r="VQK14"/>
      <c r="VQL14"/>
      <c r="VQM14"/>
      <c r="VQN14"/>
      <c r="VQO14"/>
      <c r="VQP14"/>
      <c r="VQQ14"/>
      <c r="VQR14"/>
      <c r="VQS14"/>
      <c r="VQT14"/>
      <c r="VQU14"/>
      <c r="VQV14"/>
      <c r="VQW14"/>
      <c r="VQX14"/>
      <c r="VQY14"/>
      <c r="VQZ14"/>
      <c r="VRA14"/>
      <c r="VRB14"/>
      <c r="VRC14"/>
      <c r="VRD14"/>
      <c r="VRE14"/>
      <c r="VRF14"/>
      <c r="VRG14"/>
      <c r="VRH14"/>
      <c r="VRI14"/>
      <c r="VRJ14"/>
      <c r="VRK14"/>
      <c r="VRL14"/>
      <c r="VRM14"/>
      <c r="VRN14"/>
      <c r="VRO14"/>
      <c r="VRP14"/>
      <c r="VRQ14"/>
      <c r="VRR14"/>
      <c r="VRS14"/>
      <c r="VRT14"/>
      <c r="VRU14"/>
      <c r="VRV14"/>
      <c r="VRW14"/>
      <c r="VRX14"/>
      <c r="VRY14"/>
      <c r="VRZ14"/>
      <c r="VSA14"/>
      <c r="VSB14"/>
      <c r="VSC14"/>
      <c r="VSD14"/>
      <c r="VSE14"/>
      <c r="VSF14"/>
      <c r="VSG14"/>
      <c r="VSH14"/>
      <c r="VSI14"/>
      <c r="VSJ14"/>
      <c r="VSK14"/>
      <c r="VSL14"/>
      <c r="VSM14"/>
      <c r="VSN14"/>
      <c r="VSO14"/>
      <c r="VSP14"/>
      <c r="VSQ14"/>
      <c r="VSR14"/>
      <c r="VSS14"/>
      <c r="VST14"/>
      <c r="VSU14"/>
      <c r="VSV14"/>
      <c r="VSW14"/>
      <c r="VSX14"/>
      <c r="VSY14"/>
      <c r="VSZ14"/>
      <c r="VTA14"/>
      <c r="VTB14"/>
      <c r="VTC14"/>
      <c r="VTD14"/>
      <c r="VTE14"/>
      <c r="VTF14"/>
      <c r="VTG14"/>
      <c r="VTH14"/>
      <c r="VTI14"/>
      <c r="VTJ14"/>
      <c r="VTK14"/>
      <c r="VTL14"/>
      <c r="VTM14"/>
      <c r="VTN14"/>
      <c r="VTO14"/>
      <c r="VTP14"/>
      <c r="VTQ14"/>
      <c r="VTR14"/>
      <c r="VTS14"/>
      <c r="VTT14"/>
      <c r="VTU14"/>
      <c r="VTV14"/>
      <c r="VTW14"/>
      <c r="VTX14"/>
      <c r="VTY14"/>
      <c r="VTZ14"/>
      <c r="VUA14"/>
      <c r="VUB14"/>
      <c r="VUC14"/>
      <c r="VUD14"/>
      <c r="VUE14"/>
      <c r="VUF14"/>
      <c r="VUG14"/>
      <c r="VUH14"/>
      <c r="VUI14"/>
      <c r="VUJ14"/>
      <c r="VUK14"/>
      <c r="VUL14"/>
      <c r="VUM14"/>
      <c r="VUN14"/>
      <c r="VUO14"/>
      <c r="VUP14"/>
      <c r="VUQ14"/>
      <c r="VUR14"/>
      <c r="VUS14"/>
      <c r="VUT14"/>
      <c r="VUU14"/>
      <c r="VUV14"/>
      <c r="VUW14"/>
      <c r="VUX14"/>
      <c r="VUY14"/>
      <c r="VUZ14"/>
      <c r="VVA14"/>
      <c r="VVB14"/>
      <c r="VVC14"/>
      <c r="VVD14"/>
      <c r="VVE14"/>
      <c r="VVF14"/>
      <c r="VVG14"/>
      <c r="VVH14"/>
      <c r="VVI14"/>
      <c r="VVJ14"/>
      <c r="VVK14"/>
      <c r="VVL14"/>
      <c r="VVM14"/>
      <c r="VVN14"/>
      <c r="VVO14"/>
      <c r="VVP14"/>
      <c r="VVQ14"/>
      <c r="VVR14"/>
      <c r="VVS14"/>
      <c r="VVT14"/>
      <c r="VVU14"/>
      <c r="VVV14"/>
      <c r="VVW14"/>
      <c r="VVX14"/>
      <c r="VVY14"/>
      <c r="VVZ14"/>
      <c r="VWA14"/>
      <c r="VWB14"/>
      <c r="VWC14"/>
      <c r="VWD14"/>
      <c r="VWE14"/>
      <c r="VWF14"/>
      <c r="VWG14"/>
      <c r="VWH14"/>
      <c r="VWI14"/>
      <c r="VWJ14"/>
      <c r="VWK14"/>
      <c r="VWL14"/>
      <c r="VWM14"/>
      <c r="VWN14"/>
      <c r="VWO14"/>
      <c r="VWP14"/>
      <c r="VWQ14"/>
      <c r="VWR14"/>
      <c r="VWS14"/>
      <c r="VWT14"/>
      <c r="VWU14"/>
      <c r="VWV14"/>
      <c r="VWW14"/>
      <c r="VWX14"/>
      <c r="VWY14"/>
      <c r="VWZ14"/>
      <c r="VXA14"/>
      <c r="VXB14"/>
      <c r="VXC14"/>
      <c r="VXD14"/>
      <c r="VXE14"/>
      <c r="VXF14"/>
      <c r="VXG14"/>
      <c r="VXH14"/>
      <c r="VXI14"/>
      <c r="VXJ14"/>
      <c r="VXK14"/>
      <c r="VXL14"/>
      <c r="VXM14"/>
      <c r="VXN14"/>
      <c r="VXO14"/>
      <c r="VXP14"/>
      <c r="VXQ14"/>
      <c r="VXR14"/>
      <c r="VXS14"/>
      <c r="VXT14"/>
      <c r="VXU14"/>
      <c r="VXV14"/>
      <c r="VXW14"/>
      <c r="VXX14"/>
      <c r="VXY14"/>
      <c r="VXZ14"/>
      <c r="VYA14"/>
      <c r="VYB14"/>
      <c r="VYC14"/>
      <c r="VYD14"/>
      <c r="VYE14"/>
      <c r="VYF14"/>
      <c r="VYG14"/>
      <c r="VYH14"/>
      <c r="VYI14"/>
      <c r="VYJ14"/>
      <c r="VYK14"/>
      <c r="VYL14"/>
      <c r="VYM14"/>
      <c r="VYN14"/>
      <c r="VYO14"/>
      <c r="VYP14"/>
      <c r="VYQ14"/>
      <c r="VYR14"/>
      <c r="VYS14"/>
      <c r="VYT14"/>
      <c r="VYU14"/>
      <c r="VYV14"/>
      <c r="VYW14"/>
      <c r="VYX14"/>
      <c r="VYY14"/>
      <c r="VYZ14"/>
      <c r="VZA14"/>
      <c r="VZB14"/>
      <c r="VZC14"/>
      <c r="VZD14"/>
      <c r="VZE14"/>
      <c r="VZF14"/>
      <c r="VZG14"/>
      <c r="VZH14"/>
      <c r="VZI14"/>
      <c r="VZJ14"/>
      <c r="VZK14"/>
      <c r="VZL14"/>
      <c r="VZM14"/>
      <c r="VZN14"/>
      <c r="VZO14"/>
      <c r="VZP14"/>
      <c r="VZQ14"/>
      <c r="VZR14"/>
      <c r="VZS14"/>
      <c r="VZT14"/>
      <c r="VZU14"/>
      <c r="VZV14"/>
      <c r="VZW14"/>
      <c r="VZX14"/>
      <c r="VZY14"/>
      <c r="VZZ14"/>
      <c r="WAA14"/>
      <c r="WAB14"/>
      <c r="WAC14"/>
      <c r="WAD14"/>
      <c r="WAE14"/>
      <c r="WAF14"/>
      <c r="WAG14"/>
      <c r="WAH14"/>
      <c r="WAI14"/>
      <c r="WAJ14"/>
      <c r="WAK14"/>
      <c r="WAL14"/>
      <c r="WAM14"/>
      <c r="WAN14"/>
      <c r="WAO14"/>
      <c r="WAP14"/>
      <c r="WAQ14"/>
      <c r="WAR14"/>
      <c r="WAS14"/>
      <c r="WAT14"/>
      <c r="WAU14"/>
      <c r="WAV14"/>
      <c r="WAW14"/>
      <c r="WAX14"/>
      <c r="WAY14"/>
      <c r="WAZ14"/>
      <c r="WBA14"/>
      <c r="WBB14"/>
      <c r="WBC14"/>
      <c r="WBD14"/>
      <c r="WBE14"/>
      <c r="WBF14"/>
      <c r="WBG14"/>
      <c r="WBH14"/>
      <c r="WBI14"/>
      <c r="WBJ14"/>
      <c r="WBK14"/>
      <c r="WBL14"/>
      <c r="WBM14"/>
      <c r="WBN14"/>
      <c r="WBO14"/>
      <c r="WBP14"/>
      <c r="WBQ14"/>
      <c r="WBR14"/>
      <c r="WBS14"/>
      <c r="WBT14"/>
      <c r="WBU14"/>
      <c r="WBV14"/>
      <c r="WBW14"/>
      <c r="WBX14"/>
      <c r="WBY14"/>
      <c r="WBZ14"/>
      <c r="WCA14"/>
      <c r="WCB14"/>
      <c r="WCC14"/>
      <c r="WCD14"/>
      <c r="WCE14"/>
      <c r="WCF14"/>
      <c r="WCG14"/>
      <c r="WCH14"/>
      <c r="WCI14"/>
      <c r="WCJ14"/>
      <c r="WCK14"/>
      <c r="WCL14"/>
      <c r="WCM14"/>
      <c r="WCN14"/>
      <c r="WCO14"/>
      <c r="WCP14"/>
      <c r="WCQ14"/>
      <c r="WCR14"/>
      <c r="WCS14"/>
      <c r="WCT14"/>
      <c r="WCU14"/>
      <c r="WCV14"/>
      <c r="WCW14"/>
      <c r="WCX14"/>
      <c r="WCY14"/>
      <c r="WCZ14"/>
      <c r="WDA14"/>
      <c r="WDB14"/>
      <c r="WDC14"/>
      <c r="WDD14"/>
      <c r="WDE14"/>
      <c r="WDF14"/>
      <c r="WDG14"/>
      <c r="WDH14"/>
      <c r="WDI14"/>
      <c r="WDJ14"/>
      <c r="WDK14"/>
      <c r="WDL14"/>
      <c r="WDM14"/>
      <c r="WDN14"/>
      <c r="WDO14"/>
      <c r="WDP14"/>
      <c r="WDQ14"/>
      <c r="WDR14"/>
      <c r="WDS14"/>
      <c r="WDT14"/>
      <c r="WDU14"/>
      <c r="WDV14"/>
      <c r="WDW14"/>
      <c r="WDX14"/>
      <c r="WDY14"/>
      <c r="WDZ14"/>
      <c r="WEA14"/>
      <c r="WEB14"/>
      <c r="WEC14"/>
      <c r="WED14"/>
      <c r="WEE14"/>
      <c r="WEF14"/>
      <c r="WEG14"/>
      <c r="WEH14"/>
      <c r="WEI14"/>
      <c r="WEJ14"/>
      <c r="WEK14"/>
      <c r="WEL14"/>
      <c r="WEM14"/>
      <c r="WEN14"/>
      <c r="WEO14"/>
      <c r="WEP14"/>
      <c r="WEQ14"/>
      <c r="WER14"/>
      <c r="WES14"/>
      <c r="WET14"/>
      <c r="WEU14"/>
      <c r="WEV14"/>
      <c r="WEW14"/>
      <c r="WEX14"/>
      <c r="WEY14"/>
      <c r="WEZ14"/>
      <c r="WFA14"/>
      <c r="WFB14"/>
      <c r="WFC14"/>
      <c r="WFD14"/>
      <c r="WFE14"/>
      <c r="WFF14"/>
      <c r="WFG14"/>
      <c r="WFH14"/>
      <c r="WFI14"/>
      <c r="WFJ14"/>
      <c r="WFK14"/>
      <c r="WFL14"/>
      <c r="WFM14"/>
      <c r="WFN14"/>
      <c r="WFO14"/>
      <c r="WFP14"/>
      <c r="WFQ14"/>
      <c r="WFR14"/>
      <c r="WFS14"/>
      <c r="WFT14"/>
      <c r="WFU14"/>
      <c r="WFV14"/>
      <c r="WFW14"/>
      <c r="WFX14"/>
      <c r="WFY14"/>
      <c r="WFZ14"/>
      <c r="WGA14"/>
      <c r="WGB14"/>
      <c r="WGC14"/>
      <c r="WGD14"/>
      <c r="WGE14"/>
      <c r="WGF14"/>
      <c r="WGG14"/>
      <c r="WGH14"/>
      <c r="WGI14"/>
      <c r="WGJ14"/>
      <c r="WGK14"/>
      <c r="WGL14"/>
      <c r="WGM14"/>
      <c r="WGN14"/>
      <c r="WGO14"/>
      <c r="WGP14"/>
      <c r="WGQ14"/>
      <c r="WGR14"/>
      <c r="WGS14"/>
      <c r="WGT14"/>
      <c r="WGU14"/>
      <c r="WGV14"/>
      <c r="WGW14"/>
      <c r="WGX14"/>
      <c r="WGY14"/>
      <c r="WGZ14"/>
      <c r="WHA14"/>
      <c r="WHB14"/>
      <c r="WHC14"/>
      <c r="WHD14"/>
      <c r="WHE14"/>
      <c r="WHF14"/>
      <c r="WHG14"/>
      <c r="WHH14"/>
      <c r="WHI14"/>
      <c r="WHJ14"/>
      <c r="WHK14"/>
      <c r="WHL14"/>
      <c r="WHM14"/>
      <c r="WHN14"/>
      <c r="WHO14"/>
      <c r="WHP14"/>
      <c r="WHQ14"/>
      <c r="WHR14"/>
      <c r="WHS14"/>
      <c r="WHT14"/>
      <c r="WHU14"/>
      <c r="WHV14"/>
      <c r="WHW14"/>
      <c r="WHX14"/>
      <c r="WHY14"/>
      <c r="WHZ14"/>
      <c r="WIA14"/>
      <c r="WIB14"/>
      <c r="WIC14"/>
      <c r="WID14"/>
      <c r="WIE14"/>
      <c r="WIF14"/>
      <c r="WIG14"/>
      <c r="WIH14"/>
      <c r="WII14"/>
      <c r="WIJ14"/>
      <c r="WIK14"/>
      <c r="WIL14"/>
      <c r="WIM14"/>
      <c r="WIN14"/>
      <c r="WIO14"/>
      <c r="WIP14"/>
      <c r="WIQ14"/>
      <c r="WIR14"/>
      <c r="WIS14"/>
      <c r="WIT14"/>
      <c r="WIU14"/>
      <c r="WIV14"/>
      <c r="WIW14"/>
      <c r="WIX14"/>
      <c r="WIY14"/>
      <c r="WIZ14"/>
      <c r="WJA14"/>
      <c r="WJB14"/>
      <c r="WJC14"/>
      <c r="WJD14"/>
      <c r="WJE14"/>
      <c r="WJF14"/>
      <c r="WJG14"/>
      <c r="WJH14"/>
      <c r="WJI14"/>
      <c r="WJJ14"/>
      <c r="WJK14"/>
      <c r="WJL14"/>
      <c r="WJM14"/>
      <c r="WJN14"/>
      <c r="WJO14"/>
      <c r="WJP14"/>
      <c r="WJQ14"/>
      <c r="WJR14"/>
      <c r="WJS14"/>
      <c r="WJT14"/>
      <c r="WJU14"/>
      <c r="WJV14"/>
      <c r="WJW14"/>
      <c r="WJX14"/>
      <c r="WJY14"/>
      <c r="WJZ14"/>
      <c r="WKA14"/>
      <c r="WKB14"/>
      <c r="WKC14"/>
      <c r="WKD14"/>
      <c r="WKE14"/>
      <c r="WKF14"/>
      <c r="WKG14"/>
      <c r="WKH14"/>
      <c r="WKI14"/>
      <c r="WKJ14"/>
      <c r="WKK14"/>
      <c r="WKL14"/>
      <c r="WKM14"/>
      <c r="WKN14"/>
      <c r="WKO14"/>
      <c r="WKP14"/>
      <c r="WKQ14"/>
      <c r="WKR14"/>
      <c r="WKS14"/>
      <c r="WKT14"/>
      <c r="WKU14"/>
      <c r="WKV14"/>
      <c r="WKW14"/>
      <c r="WKX14"/>
      <c r="WKY14"/>
      <c r="WKZ14"/>
      <c r="WLA14"/>
      <c r="WLB14"/>
      <c r="WLC14"/>
      <c r="WLD14"/>
      <c r="WLE14"/>
      <c r="WLF14"/>
      <c r="WLG14"/>
      <c r="WLH14"/>
      <c r="WLI14"/>
      <c r="WLJ14"/>
      <c r="WLK14"/>
      <c r="WLL14"/>
      <c r="WLM14"/>
      <c r="WLN14"/>
      <c r="WLO14"/>
      <c r="WLP14"/>
      <c r="WLQ14"/>
      <c r="WLR14"/>
      <c r="WLS14"/>
      <c r="WLT14"/>
      <c r="WLU14"/>
      <c r="WLV14"/>
      <c r="WLW14"/>
      <c r="WLX14"/>
      <c r="WLY14"/>
      <c r="WLZ14"/>
      <c r="WMA14"/>
      <c r="WMB14"/>
      <c r="WMC14"/>
      <c r="WMD14"/>
      <c r="WME14"/>
      <c r="WMF14"/>
      <c r="WMG14"/>
      <c r="WMH14"/>
      <c r="WMI14"/>
      <c r="WMJ14"/>
      <c r="WMK14"/>
      <c r="WML14"/>
      <c r="WMM14"/>
      <c r="WMN14"/>
      <c r="WMO14"/>
      <c r="WMP14"/>
      <c r="WMQ14"/>
      <c r="WMR14"/>
      <c r="WMS14"/>
      <c r="WMT14"/>
      <c r="WMU14"/>
      <c r="WMV14"/>
      <c r="WMW14"/>
      <c r="WMX14"/>
      <c r="WMY14"/>
      <c r="WMZ14"/>
      <c r="WNA14"/>
      <c r="WNB14"/>
      <c r="WNC14"/>
      <c r="WND14"/>
      <c r="WNE14"/>
      <c r="WNF14"/>
      <c r="WNG14"/>
      <c r="WNH14"/>
      <c r="WNI14"/>
      <c r="WNJ14"/>
      <c r="WNK14"/>
      <c r="WNL14"/>
      <c r="WNM14"/>
      <c r="WNN14"/>
      <c r="WNO14"/>
      <c r="WNP14"/>
      <c r="WNQ14"/>
      <c r="WNR14"/>
      <c r="WNS14"/>
      <c r="WNT14"/>
      <c r="WNU14"/>
      <c r="WNV14"/>
      <c r="WNW14"/>
      <c r="WNX14"/>
      <c r="WNY14"/>
      <c r="WNZ14"/>
      <c r="WOA14"/>
      <c r="WOB14"/>
      <c r="WOC14"/>
      <c r="WOD14"/>
      <c r="WOE14"/>
      <c r="WOF14"/>
      <c r="WOG14"/>
      <c r="WOH14"/>
      <c r="WOI14"/>
      <c r="WOJ14"/>
      <c r="WOK14"/>
      <c r="WOL14"/>
      <c r="WOM14"/>
      <c r="WON14"/>
      <c r="WOO14"/>
      <c r="WOP14"/>
      <c r="WOQ14"/>
      <c r="WOR14"/>
      <c r="WOS14"/>
      <c r="WOT14"/>
      <c r="WOU14"/>
      <c r="WOV14"/>
      <c r="WOW14"/>
      <c r="WOX14"/>
      <c r="WOY14"/>
      <c r="WOZ14"/>
      <c r="WPA14"/>
      <c r="WPB14"/>
      <c r="WPC14"/>
      <c r="WPD14"/>
      <c r="WPE14"/>
      <c r="WPF14"/>
      <c r="WPG14"/>
      <c r="WPH14"/>
      <c r="WPI14"/>
      <c r="WPJ14"/>
      <c r="WPK14"/>
      <c r="WPL14"/>
      <c r="WPM14"/>
      <c r="WPN14"/>
      <c r="WPO14"/>
      <c r="WPP14"/>
      <c r="WPQ14"/>
      <c r="WPR14"/>
      <c r="WPS14"/>
      <c r="WPT14"/>
      <c r="WPU14"/>
      <c r="WPV14"/>
      <c r="WPW14"/>
      <c r="WPX14"/>
      <c r="WPY14"/>
      <c r="WPZ14"/>
      <c r="WQA14"/>
      <c r="WQB14"/>
      <c r="WQC14"/>
      <c r="WQD14"/>
      <c r="WQE14"/>
      <c r="WQF14"/>
      <c r="WQG14"/>
      <c r="WQH14"/>
      <c r="WQI14"/>
      <c r="WQJ14"/>
      <c r="WQK14"/>
      <c r="WQL14"/>
      <c r="WQM14"/>
      <c r="WQN14"/>
      <c r="WQO14"/>
      <c r="WQP14"/>
      <c r="WQQ14"/>
      <c r="WQR14"/>
      <c r="WQS14"/>
      <c r="WQT14"/>
      <c r="WQU14"/>
      <c r="WQV14"/>
      <c r="WQW14"/>
      <c r="WQX14"/>
      <c r="WQY14"/>
      <c r="WQZ14"/>
      <c r="WRA14"/>
      <c r="WRB14"/>
      <c r="WRC14"/>
      <c r="WRD14"/>
      <c r="WRE14"/>
      <c r="WRF14"/>
      <c r="WRG14"/>
      <c r="WRH14"/>
      <c r="WRI14"/>
      <c r="WRJ14"/>
      <c r="WRK14"/>
      <c r="WRL14"/>
      <c r="WRM14"/>
      <c r="WRN14"/>
      <c r="WRO14"/>
      <c r="WRP14"/>
      <c r="WRQ14"/>
      <c r="WRR14"/>
      <c r="WRS14"/>
      <c r="WRT14"/>
      <c r="WRU14"/>
      <c r="WRV14"/>
      <c r="WRW14"/>
      <c r="WRX14"/>
      <c r="WRY14"/>
      <c r="WRZ14"/>
      <c r="WSA14"/>
      <c r="WSB14"/>
      <c r="WSC14"/>
      <c r="WSD14"/>
      <c r="WSE14"/>
      <c r="WSF14"/>
      <c r="WSG14"/>
      <c r="WSH14"/>
      <c r="WSI14"/>
      <c r="WSJ14"/>
      <c r="WSK14"/>
      <c r="WSL14"/>
      <c r="WSM14"/>
      <c r="WSN14"/>
      <c r="WSO14"/>
      <c r="WSP14"/>
      <c r="WSQ14"/>
      <c r="WSR14"/>
      <c r="WSS14"/>
      <c r="WST14"/>
      <c r="WSU14"/>
      <c r="WSV14"/>
      <c r="WSW14"/>
      <c r="WSX14"/>
      <c r="WSY14"/>
      <c r="WSZ14"/>
      <c r="WTA14"/>
      <c r="WTB14"/>
      <c r="WTC14"/>
      <c r="WTD14"/>
      <c r="WTE14"/>
      <c r="WTF14"/>
      <c r="WTG14"/>
      <c r="WTH14"/>
      <c r="WTI14"/>
      <c r="WTJ14"/>
      <c r="WTK14"/>
      <c r="WTL14"/>
      <c r="WTM14"/>
      <c r="WTN14"/>
      <c r="WTO14"/>
      <c r="WTP14"/>
      <c r="WTQ14"/>
      <c r="WTR14"/>
      <c r="WTS14"/>
      <c r="WTT14"/>
      <c r="WTU14"/>
      <c r="WTV14"/>
      <c r="WTW14"/>
      <c r="WTX14"/>
      <c r="WTY14"/>
      <c r="WTZ14"/>
      <c r="WUA14"/>
      <c r="WUB14"/>
      <c r="WUC14"/>
      <c r="WUD14"/>
      <c r="WUE14"/>
      <c r="WUF14"/>
      <c r="WUG14"/>
      <c r="WUH14"/>
      <c r="WUI14"/>
      <c r="WUJ14"/>
      <c r="WUK14"/>
      <c r="WUL14"/>
      <c r="WUM14"/>
      <c r="WUN14"/>
      <c r="WUO14"/>
      <c r="WUP14"/>
      <c r="WUQ14"/>
      <c r="WUR14"/>
      <c r="WUS14"/>
      <c r="WUT14"/>
      <c r="WUU14"/>
      <c r="WUV14"/>
      <c r="WUW14"/>
      <c r="WUX14"/>
      <c r="WUY14"/>
      <c r="WUZ14"/>
      <c r="WVA14"/>
      <c r="WVB14"/>
      <c r="WVC14"/>
      <c r="WVD14"/>
      <c r="WVE14"/>
      <c r="WVF14"/>
      <c r="WVG14"/>
      <c r="WVH14"/>
      <c r="WVI14"/>
      <c r="WVJ14"/>
      <c r="WVK14"/>
      <c r="WVL14"/>
      <c r="WVM14"/>
      <c r="WVN14"/>
      <c r="WVO14"/>
      <c r="WVP14"/>
      <c r="WVQ14"/>
      <c r="WVR14"/>
      <c r="WVS14"/>
      <c r="WVT14"/>
      <c r="WVU14"/>
      <c r="WVV14"/>
      <c r="WVW14"/>
      <c r="WVX14"/>
      <c r="WVY14"/>
      <c r="WVZ14"/>
      <c r="WWA14"/>
      <c r="WWB14"/>
      <c r="WWC14"/>
      <c r="WWD14"/>
      <c r="WWE14"/>
      <c r="WWF14"/>
      <c r="WWG14"/>
      <c r="WWH14"/>
      <c r="WWI14"/>
      <c r="WWJ14"/>
      <c r="WWK14"/>
      <c r="WWL14"/>
      <c r="WWM14"/>
      <c r="WWN14"/>
      <c r="WWO14"/>
      <c r="WWP14"/>
      <c r="WWQ14"/>
      <c r="WWR14"/>
      <c r="WWS14"/>
      <c r="WWT14"/>
      <c r="WWU14"/>
      <c r="WWV14"/>
      <c r="WWW14"/>
      <c r="WWX14"/>
      <c r="WWY14"/>
      <c r="WWZ14"/>
      <c r="WXA14"/>
      <c r="WXB14"/>
      <c r="WXC14"/>
      <c r="WXD14"/>
      <c r="WXE14"/>
      <c r="WXF14"/>
      <c r="WXG14"/>
      <c r="WXH14"/>
      <c r="WXI14"/>
      <c r="WXJ14"/>
      <c r="WXK14"/>
      <c r="WXL14"/>
      <c r="WXM14"/>
      <c r="WXN14"/>
      <c r="WXO14"/>
      <c r="WXP14"/>
      <c r="WXQ14"/>
      <c r="WXR14"/>
      <c r="WXS14"/>
      <c r="WXT14"/>
      <c r="WXU14"/>
      <c r="WXV14"/>
      <c r="WXW14"/>
      <c r="WXX14"/>
      <c r="WXY14"/>
      <c r="WXZ14"/>
      <c r="WYA14"/>
      <c r="WYB14"/>
      <c r="WYC14"/>
      <c r="WYD14"/>
      <c r="WYE14"/>
      <c r="WYF14"/>
      <c r="WYG14"/>
      <c r="WYH14"/>
      <c r="WYI14"/>
      <c r="WYJ14"/>
      <c r="WYK14"/>
      <c r="WYL14"/>
      <c r="WYM14"/>
      <c r="WYN14"/>
      <c r="WYO14"/>
      <c r="WYP14"/>
      <c r="WYQ14"/>
      <c r="WYR14"/>
      <c r="WYS14"/>
      <c r="WYT14"/>
      <c r="WYU14"/>
      <c r="WYV14"/>
      <c r="WYW14"/>
      <c r="WYX14"/>
      <c r="WYY14"/>
      <c r="WYZ14"/>
      <c r="WZA14"/>
      <c r="WZB14"/>
      <c r="WZC14"/>
      <c r="WZD14"/>
      <c r="WZE14"/>
      <c r="WZF14"/>
      <c r="WZG14"/>
      <c r="WZH14"/>
      <c r="WZI14"/>
      <c r="WZJ14"/>
      <c r="WZK14"/>
      <c r="WZL14"/>
      <c r="WZM14"/>
      <c r="WZN14"/>
      <c r="WZO14"/>
      <c r="WZP14"/>
      <c r="WZQ14"/>
      <c r="WZR14"/>
      <c r="WZS14"/>
      <c r="WZT14"/>
      <c r="WZU14"/>
      <c r="WZV14"/>
      <c r="WZW14"/>
      <c r="WZX14"/>
      <c r="WZY14"/>
      <c r="WZZ14"/>
      <c r="XAA14"/>
      <c r="XAB14"/>
      <c r="XAC14"/>
      <c r="XAD14"/>
      <c r="XAE14"/>
      <c r="XAF14"/>
      <c r="XAG14"/>
      <c r="XAH14"/>
      <c r="XAI14"/>
      <c r="XAJ14"/>
      <c r="XAK14"/>
      <c r="XAL14"/>
      <c r="XAM14"/>
      <c r="XAN14"/>
      <c r="XAO14"/>
      <c r="XAP14"/>
      <c r="XAQ14"/>
      <c r="XAR14"/>
      <c r="XAS14"/>
      <c r="XAT14"/>
      <c r="XAU14"/>
      <c r="XAV14"/>
      <c r="XAW14"/>
      <c r="XAX14"/>
      <c r="XAY14"/>
      <c r="XAZ14"/>
      <c r="XBA14"/>
      <c r="XBB14"/>
      <c r="XBC14"/>
      <c r="XBD14"/>
      <c r="XBE14"/>
      <c r="XBF14"/>
      <c r="XBG14"/>
      <c r="XBH14"/>
      <c r="XBI14"/>
      <c r="XBJ14"/>
      <c r="XBK14"/>
      <c r="XBL14"/>
      <c r="XBM14"/>
      <c r="XBN14"/>
      <c r="XBO14"/>
      <c r="XBP14"/>
      <c r="XBQ14"/>
      <c r="XBR14"/>
      <c r="XBS14"/>
      <c r="XBT14"/>
      <c r="XBU14"/>
      <c r="XBV14"/>
      <c r="XBW14"/>
      <c r="XBX14"/>
      <c r="XBY14"/>
      <c r="XBZ14"/>
      <c r="XCA14"/>
      <c r="XCB14"/>
      <c r="XCC14"/>
      <c r="XCD14"/>
      <c r="XCE14"/>
      <c r="XCF14"/>
      <c r="XCG14"/>
      <c r="XCH14"/>
      <c r="XCI14"/>
      <c r="XCJ14"/>
      <c r="XCK14"/>
      <c r="XCL14"/>
      <c r="XCM14"/>
      <c r="XCN14"/>
      <c r="XCO14"/>
      <c r="XCP14"/>
      <c r="XCQ14"/>
      <c r="XCR14"/>
      <c r="XCS14"/>
      <c r="XCT14"/>
      <c r="XCU14"/>
      <c r="XCV14"/>
      <c r="XCW14"/>
      <c r="XCX14"/>
      <c r="XCY14"/>
      <c r="XCZ14"/>
      <c r="XDA14"/>
      <c r="XDB14"/>
      <c r="XDC14"/>
      <c r="XDD14"/>
      <c r="XDE14"/>
      <c r="XDF14"/>
      <c r="XDG14"/>
      <c r="XDH14"/>
      <c r="XDI14"/>
      <c r="XDJ14"/>
      <c r="XDK14"/>
      <c r="XDL14"/>
      <c r="XDM14"/>
      <c r="XDN14"/>
      <c r="XDO14"/>
      <c r="XDP14"/>
      <c r="XDQ14"/>
      <c r="XDR14"/>
      <c r="XDS14"/>
      <c r="XDT14"/>
      <c r="XDU14"/>
      <c r="XDV14"/>
      <c r="XDW14"/>
      <c r="XDX14"/>
      <c r="XDY14"/>
      <c r="XDZ14"/>
      <c r="XEA14"/>
      <c r="XEB14"/>
      <c r="XEC14"/>
      <c r="XED14"/>
      <c r="XEE14"/>
      <c r="XEF14"/>
      <c r="XEG14"/>
      <c r="XEH14"/>
      <c r="XEI14"/>
      <c r="XEJ14"/>
      <c r="XEK14"/>
      <c r="XEL14"/>
      <c r="XEM14"/>
      <c r="XEN14"/>
      <c r="XEO14"/>
      <c r="XEP14"/>
      <c r="XEQ14"/>
      <c r="XER14"/>
      <c r="XES14"/>
      <c r="XET14"/>
      <c r="XEU14"/>
      <c r="XEV14"/>
      <c r="XEW14"/>
      <c r="XEX14"/>
      <c r="XEY14"/>
      <c r="XEZ14"/>
      <c r="XFA14"/>
      <c r="XFB14"/>
      <c r="XFC14"/>
      <c r="XFD14"/>
    </row>
    <row r="15" spans="1:154 14670:16384" s="10" customFormat="1" ht="15.75" hidden="1" thickBot="1" x14ac:dyDescent="0.3">
      <c r="A15" s="43">
        <v>1</v>
      </c>
      <c r="B15" s="30" t="s">
        <v>108</v>
      </c>
      <c r="C15" s="23" t="str">
        <f ca="1">IFERROR(IF(AND(C$13  &gt;= $AB$33, C$13 &lt;= $AB$34),VLOOKUP($G$1,INDIRECT("'" &amp;'Caller Portal Instructions'!D$25&amp;"'!$B$4:$P$200"),10, FALSE),""),"")</f>
        <v/>
      </c>
      <c r="D15" s="23" t="str">
        <f ca="1">IFERROR(IF(AND(D$13  &gt;= $AB$33, D$13 &lt;= $AB$34),VLOOKUP($G$1,INDIRECT("'" &amp;'Caller Portal Instructions'!E$25&amp;"'!$B$4:$P$200"),10, FALSE),""),"")</f>
        <v/>
      </c>
      <c r="E15" s="23" t="str">
        <f ca="1">IFERROR(IF(AND(E$13  &gt;= $AB$33, E$13 &lt;= $AB$34),VLOOKUP($G$1,INDIRECT("'" &amp;'Caller Portal Instructions'!F$25&amp;"'!$B$4:$P$200"),10, FALSE),""),"")</f>
        <v/>
      </c>
      <c r="F15" s="23" t="str">
        <f ca="1">IFERROR(IF(AND(F$13  &gt;= $AB$33, F$13 &lt;= $AB$34),VLOOKUP($G$1,INDIRECT("'" &amp;'Caller Portal Instructions'!G$25&amp;"'!$B$4:$P$200"),10, FALSE),""),"")</f>
        <v/>
      </c>
      <c r="G15" s="23" t="str">
        <f ca="1">IFERROR(IF(AND(G$13  &gt;= $AB$33, G$13 &lt;= $AB$34),VLOOKUP($G$1,INDIRECT("'" &amp;'Caller Portal Instructions'!H$25&amp;"'!$B$4:$P$200"),10, FALSE),""),"")</f>
        <v/>
      </c>
      <c r="H15" s="23" t="str">
        <f ca="1">IFERROR(IF(AND(H$13  &gt;= $AB$33, H$13 &lt;= $AB$34),VLOOKUP($G$1,INDIRECT("'" &amp;'Caller Portal Instructions'!I$25&amp;"'!$B$4:$P$200"),10, FALSE),""),"")</f>
        <v/>
      </c>
      <c r="I15" s="23" t="str">
        <f ca="1">IFERROR(IF(AND(I$13  &gt;= $AB$33, I$13 &lt;= $AB$34),VLOOKUP($G$1,INDIRECT("'" &amp;'Caller Portal Instructions'!J$25&amp;"'!$B$4:$P$200"),10, FALSE),""),"")</f>
        <v/>
      </c>
      <c r="J15" s="23" t="str">
        <f ca="1">IFERROR(IF(AND(J$13  &gt;= $AB$33, J$13 &lt;= $AB$34),VLOOKUP($G$1,INDIRECT("'" &amp;'Caller Portal Instructions'!K$25&amp;"'!$B$4:$P$200"),10, FALSE),""),"")</f>
        <v/>
      </c>
      <c r="K15" s="23" t="str">
        <f ca="1">IFERROR(IF(AND(K$13  &gt;= $AB$33, K$13 &lt;= $AB$34),VLOOKUP($G$1,INDIRECT("'" &amp;'Caller Portal Instructions'!L$25&amp;"'!$B$4:$P$200"),10, FALSE),""),"")</f>
        <v/>
      </c>
      <c r="L15" s="23" t="str">
        <f ca="1">IFERROR(IF(AND(L$13  &gt;= $AB$33, L$13 &lt;= $AB$34),VLOOKUP($G$1,INDIRECT("'" &amp;'Caller Portal Instructions'!M$25&amp;"'!$B$4:$P$200"),10, FALSE),""),"")</f>
        <v/>
      </c>
      <c r="M15" s="23" t="str">
        <f ca="1">IFERROR(IF(AND(M$13  &gt;= $AB$33, M$13 &lt;= $AB$34),VLOOKUP($G$1,INDIRECT("'" &amp;'Caller Portal Instructions'!N$25&amp;"'!$B$4:$P$200"),10, FALSE),""),"")</f>
        <v/>
      </c>
      <c r="N15" s="23" t="str">
        <f ca="1">IFERROR(IF(AND(N$13  &gt;= $AB$33, N$13 &lt;= $AB$34),VLOOKUP($G$1,INDIRECT("'" &amp;'Caller Portal Instructions'!O$25&amp;"'!$B$4:$P$200"),10, FALSE),""),"")</f>
        <v/>
      </c>
      <c r="O15" s="23" t="str">
        <f ca="1">IFERROR(IF(AND(O$13  &gt;= $AB$33, O$13 &lt;= $AB$34),VLOOKUP($G$1,INDIRECT("'" &amp;'Caller Portal Instructions'!P$25&amp;"'!$B$4:$P$200"),10, FALSE),""),"")</f>
        <v/>
      </c>
      <c r="P15" s="23" t="str">
        <f ca="1">IFERROR(IF(AND(P$13  &gt;= $AB$33, P$13 &lt;= $AB$34),VLOOKUP($G$1,INDIRECT("'" &amp;'Caller Portal Instructions'!Q$25&amp;"'!$B$4:$P$200"),10, FALSE),""),"")</f>
        <v/>
      </c>
      <c r="Q15" s="23" t="str">
        <f ca="1">IFERROR(IF(AND(Q$13  &gt;= $AB$33, Q$13 &lt;= $AB$34),VLOOKUP($G$1,INDIRECT("'" &amp;'Caller Portal Instructions'!R$25&amp;"'!$B$4:$P$200"),10, FALSE),""),"")</f>
        <v/>
      </c>
      <c r="R15" s="23" t="str">
        <f ca="1">IFERROR(IF(AND(R$13  &gt;= $AB$33, R$13 &lt;= $AB$34),VLOOKUP($G$1,INDIRECT("'" &amp;'Caller Portal Instructions'!S$25&amp;"'!$B$4:$P$200"),10, FALSE),""),"")</f>
        <v/>
      </c>
      <c r="S15" s="23" t="str">
        <f ca="1">IFERROR(IF(AND(S$13  &gt;= $AB$33, S$13 &lt;= $AB$34),VLOOKUP($G$1,INDIRECT("'" &amp;'Caller Portal Instructions'!T$25&amp;"'!$B$4:$P$200"),10, FALSE),""),"")</f>
        <v/>
      </c>
      <c r="T15" s="23" t="str">
        <f ca="1">IFERROR(IF(AND(T$13  &gt;= $AB$33, T$13 &lt;= $AB$34),VLOOKUP($G$1,INDIRECT("'" &amp;'Caller Portal Instructions'!U$25&amp;"'!$B$4:$P$200"),10, FALSE),""),"")</f>
        <v/>
      </c>
      <c r="U15" s="23" t="str">
        <f ca="1">IFERROR(IF(AND(U$13  &gt;= $AB$33, U$13 &lt;= $AB$34),VLOOKUP($G$1,INDIRECT("'" &amp;'Caller Portal Instructions'!V$25&amp;"'!$B$4:$P$200"),10, FALSE),""),"")</f>
        <v/>
      </c>
      <c r="V15" s="23" t="str">
        <f ca="1">IFERROR(IF(AND(V$13  &gt;= $AB$33, V$13 &lt;= $AB$34),VLOOKUP($G$1,INDIRECT("'" &amp;'Caller Portal Instructions'!W$25&amp;"'!$B$4:$P$200"),10, FALSE),""),"")</f>
        <v/>
      </c>
      <c r="W15" s="23" t="str">
        <f ca="1">IFERROR(IF(AND(W$13  &gt;= $AB$33, W$13 &lt;= $AB$34),VLOOKUP($G$1,INDIRECT("'" &amp;'Caller Portal Instructions'!X$25&amp;"'!$B$4:$P$200"),10, FALSE),""),"")</f>
        <v/>
      </c>
      <c r="X15" s="23" t="str">
        <f ca="1">IFERROR(IF(AND(X$13  &gt;= $AB$33, X$13 &lt;= $AB$34),VLOOKUP($G$1,INDIRECT("'" &amp;'Caller Portal Instructions'!Y$25&amp;"'!$B$4:$P$200"),10, FALSE),""),"")</f>
        <v/>
      </c>
      <c r="Y15" s="23" t="str">
        <f ca="1">IFERROR(IF(AND(Y$13  &gt;= $AB$33, Y$13 &lt;= $AB$34),VLOOKUP($G$1,INDIRECT("'" &amp;'Caller Portal Instructions'!Z$25&amp;"'!$B$4:$P$200"),10, FALSE),""),"")</f>
        <v/>
      </c>
      <c r="Z15" s="23" t="str">
        <f ca="1">IFERROR(IF(AND(Z$13  &gt;= $AB$33, Z$13 &lt;= $AB$34),VLOOKUP($G$1,INDIRECT("'" &amp;'Caller Portal Instructions'!AA$25&amp;"'!$B$4:$P$200"),10, FALSE),""),"")</f>
        <v/>
      </c>
      <c r="AA15" s="23" t="str">
        <f ca="1">IFERROR(IF(AND(AA$13  &gt;= $AB$33, AA$13 &lt;= $AB$34),VLOOKUP($G$1,INDIRECT("'" &amp;'Caller Portal Instructions'!AB$25&amp;"'!$B$4:$P$200"),10, FALSE),""),"")</f>
        <v/>
      </c>
      <c r="AB15" s="23" t="str">
        <f ca="1">IFERROR(IF(AND(AB$13  &gt;= $AB$33, AB$13 &lt;= $AB$34),VLOOKUP($G$1,INDIRECT("'" &amp;'Caller Portal Instructions'!AC$25&amp;"'!$B$4:$P$200"),10, FALSE),""),"")</f>
        <v/>
      </c>
      <c r="AC15" s="23" t="str">
        <f ca="1">IFERROR(IF(AND(AC$13  &gt;= $AB$33, AC$13 &lt;= $AB$34),VLOOKUP($G$1,INDIRECT("'" &amp;'Caller Portal Instructions'!AD$25&amp;"'!$B$4:$P$200"),10, FALSE),""),"")</f>
        <v/>
      </c>
      <c r="AD15" s="23" t="str">
        <f ca="1">IFERROR(IF(AND(AD$13  &gt;= $AB$33, AD$13 &lt;= $AB$34),VLOOKUP($G$1,INDIRECT("'" &amp;'Caller Portal Instructions'!AE$25&amp;"'!$B$4:$P$200"),10, FALSE),""),"")</f>
        <v/>
      </c>
      <c r="AE15" s="23" t="str">
        <f ca="1">IFERROR(IF(AND(AE$13  &gt;= $AB$33, AE$13 &lt;= $AB$34),VLOOKUP($G$1,INDIRECT("'" &amp;'Caller Portal Instructions'!AF$25&amp;"'!$B$4:$P$200"),10, FALSE),""),"")</f>
        <v/>
      </c>
      <c r="AF15" s="23" t="str">
        <f ca="1">IFERROR(IF(AND(AF$13  &gt;= $AB$33, AF$13 &lt;= $AB$34),VLOOKUP($G$1,INDIRECT("'" &amp;'Caller Portal Instructions'!AG$25&amp;"'!$B$4:$P$200"),10, FALSE),""),"")</f>
        <v/>
      </c>
      <c r="AG15" s="23" t="str">
        <f ca="1">IFERROR(IF(AND(AG$13  &gt;= $AB$33, AG$13 &lt;= $AB$34),VLOOKUP($G$1,INDIRECT("'" &amp;'Caller Portal Instructions'!AH$25&amp;"'!$B$4:$P$200"),10, FALSE),""),"")</f>
        <v/>
      </c>
      <c r="AH15" s="23" t="str">
        <f ca="1">IFERROR(IF(AND(AH$13  &gt;= $AB$33, AH$13 &lt;= $AB$34),VLOOKUP($G$1,INDIRECT("'" &amp;'Caller Portal Instructions'!AI$25&amp;"'!$B$4:$P$200"),10, FALSE),""),"")</f>
        <v/>
      </c>
      <c r="AI15" s="23" t="str">
        <f ca="1">IFERROR(IF(AND(AI$13  &gt;= $AB$33, AI$13 &lt;= $AB$34),VLOOKUP($G$1,INDIRECT("'" &amp;'Caller Portal Instructions'!AJ$25&amp;"'!$B$4:$P$200"),10, FALSE),""),"")</f>
        <v/>
      </c>
      <c r="AJ15" s="23" t="str">
        <f ca="1">IFERROR(IF(AND(AJ$13  &gt;= $AB$33, AJ$13 &lt;= $AB$34),VLOOKUP($G$1,INDIRECT("'" &amp;'Caller Portal Instructions'!AK$25&amp;"'!$B$4:$P$200"),10, FALSE),""),"")</f>
        <v/>
      </c>
      <c r="AK15" s="23" t="str">
        <f ca="1">IFERROR(IF(AND(AK$13  &gt;= $AB$33, AK$13 &lt;= $AB$34),VLOOKUP($G$1,INDIRECT("'" &amp;'Caller Portal Instructions'!AL$25&amp;"'!$B$4:$P$200"),10, FALSE),""),"")</f>
        <v/>
      </c>
      <c r="AL15" s="23" t="str">
        <f ca="1">IFERROR(IF(AND(AL$13  &gt;= $AB$33, AL$13 &lt;= $AB$34),VLOOKUP($G$1,INDIRECT("'" &amp;'Caller Portal Instructions'!AM$25&amp;"'!$B$4:$P$200"),10, FALSE),""),"")</f>
        <v/>
      </c>
      <c r="AM15" s="23" t="str">
        <f ca="1">IFERROR(IF(AND(AM$13  &gt;= $AB$33, AM$13 &lt;= $AB$34),VLOOKUP($G$1,INDIRECT("'" &amp;'Caller Portal Instructions'!AN$25&amp;"'!$B$4:$P$200"),10, FALSE),""),"")</f>
        <v/>
      </c>
      <c r="AN15" s="23" t="str">
        <f ca="1">IFERROR(IF(AND(AN$13  &gt;= $AB$33, AN$13 &lt;= $AB$34),VLOOKUP($G$1,INDIRECT("'" &amp;'Caller Portal Instructions'!AO$25&amp;"'!$B$4:$P$200"),10, FALSE),""),"")</f>
        <v/>
      </c>
      <c r="AO15" s="23" t="str">
        <f ca="1">IFERROR(IF(AND(AO$13  &gt;= $AB$33, AO$13 &lt;= $AB$34),VLOOKUP($G$1,INDIRECT("'" &amp;'Caller Portal Instructions'!AP$25&amp;"'!$B$4:$P$200"),10, FALSE),""),"")</f>
        <v/>
      </c>
      <c r="AP15" s="23" t="str">
        <f ca="1">IFERROR(IF(AND(AP$13  &gt;= $AB$33, AP$13 &lt;= $AB$34),VLOOKUP($G$1,INDIRECT("'" &amp;'Caller Portal Instructions'!AQ$25&amp;"'!$B$4:$P$200"),10, FALSE),""),"")</f>
        <v/>
      </c>
      <c r="AQ15" s="23" t="str">
        <f ca="1">IFERROR(IF(AND(AQ$13  &gt;= $AB$33, AQ$13 &lt;= $AB$34),VLOOKUP($G$1,INDIRECT("'" &amp;'Caller Portal Instructions'!AR$25&amp;"'!$B$4:$P$200"),10, FALSE),""),"")</f>
        <v/>
      </c>
      <c r="AR15" s="23" t="str">
        <f ca="1">IFERROR(IF(AND(AR$13  &gt;= $AB$33, AR$13 &lt;= $AB$34),VLOOKUP($G$1,INDIRECT("'" &amp;'Caller Portal Instructions'!AS$25&amp;"'!$B$4:$P$200"),10, FALSE),""),"")</f>
        <v/>
      </c>
      <c r="AS15" s="23" t="str">
        <f ca="1">IFERROR(IF(AND(AS$13  &gt;= $AB$33, AS$13 &lt;= $AB$34),VLOOKUP($G$1,INDIRECT("'" &amp;'Caller Portal Instructions'!AT$25&amp;"'!$B$4:$P$200"),10, FALSE),""),"")</f>
        <v/>
      </c>
      <c r="AT15" s="23" t="str">
        <f ca="1">IFERROR(IF(AND(AT$13  &gt;= $AB$33, AT$13 &lt;= $AB$34),VLOOKUP($G$1,INDIRECT("'" &amp;'Caller Portal Instructions'!AU$25&amp;"'!$B$4:$P$200"),10, FALSE),""),"")</f>
        <v/>
      </c>
      <c r="AU15" s="23" t="str">
        <f ca="1">IFERROR(IF(AND(AU$13  &gt;= $AB$33, AU$13 &lt;= $AB$34),VLOOKUP($G$1,INDIRECT("'" &amp;'Caller Portal Instructions'!AV$25&amp;"'!$B$4:$P$200"),10, FALSE),""),"")</f>
        <v/>
      </c>
      <c r="AV15" s="23" t="str">
        <f ca="1">IFERROR(IF(AND(AV$13  &gt;= $AB$33, AV$13 &lt;= $AB$34),VLOOKUP($G$1,INDIRECT("'" &amp;'Caller Portal Instructions'!AW$25&amp;"'!$B$4:$P$200"),10, FALSE),""),"")</f>
        <v/>
      </c>
      <c r="AW15" s="23" t="str">
        <f ca="1">IFERROR(IF(AND(AW$13  &gt;= $AB$33, AW$13 &lt;= $AB$34),VLOOKUP($G$1,INDIRECT("'" &amp;'Caller Portal Instructions'!AX$25&amp;"'!$B$4:$P$200"),10, FALSE),""),"")</f>
        <v/>
      </c>
      <c r="AX15" s="23" t="str">
        <f ca="1">IFERROR(IF(AND(AX$13  &gt;= $AB$33, AX$13 &lt;= $AB$34),VLOOKUP($G$1,INDIRECT("'" &amp;'Caller Portal Instructions'!AY$25&amp;"'!$B$4:$P$200"),10, FALSE),""),"")</f>
        <v/>
      </c>
      <c r="AY15" s="23" t="str">
        <f ca="1">IFERROR(IF(AND(AY$13  &gt;= $AB$33, AY$13 &lt;= $AB$34),VLOOKUP($G$1,INDIRECT("'" &amp;'Caller Portal Instructions'!AZ$25&amp;"'!$B$4:$P$200"),10, FALSE),""),"")</f>
        <v/>
      </c>
      <c r="AZ15" s="23" t="str">
        <f ca="1">IFERROR(IF(AND(AZ$13  &gt;= $AB$33, AZ$13 &lt;= $AB$34),VLOOKUP($G$1,INDIRECT("'" &amp;'Caller Portal Instructions'!BA$25&amp;"'!$B$4:$P$200"),10, FALSE),""),"")</f>
        <v/>
      </c>
      <c r="BA15" s="20"/>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URF15"/>
      <c r="URG15"/>
      <c r="URH15"/>
      <c r="URI15"/>
      <c r="URJ15"/>
      <c r="URK15"/>
      <c r="URL15"/>
      <c r="URM15"/>
      <c r="URN15"/>
      <c r="URO15"/>
      <c r="URP15"/>
      <c r="URQ15"/>
      <c r="URR15"/>
      <c r="URS15"/>
      <c r="URT15"/>
      <c r="URU15"/>
      <c r="URV15"/>
      <c r="URW15"/>
      <c r="URX15"/>
      <c r="URY15"/>
      <c r="URZ15"/>
      <c r="USA15"/>
      <c r="USB15"/>
      <c r="USC15"/>
      <c r="USD15"/>
      <c r="USE15"/>
      <c r="USF15"/>
      <c r="USG15"/>
      <c r="USH15"/>
      <c r="USI15"/>
      <c r="USJ15"/>
      <c r="USK15"/>
      <c r="USL15"/>
      <c r="USM15"/>
      <c r="USN15"/>
      <c r="USO15"/>
      <c r="USP15"/>
      <c r="USQ15"/>
      <c r="USR15"/>
      <c r="USS15"/>
      <c r="UST15"/>
      <c r="USU15"/>
      <c r="USV15"/>
      <c r="USW15"/>
      <c r="USX15"/>
      <c r="USY15"/>
      <c r="USZ15"/>
      <c r="UTA15"/>
      <c r="UTB15"/>
      <c r="UTC15"/>
      <c r="UTD15"/>
      <c r="UTE15"/>
      <c r="UTF15"/>
      <c r="UTG15"/>
      <c r="UTH15"/>
      <c r="UTI15"/>
      <c r="UTJ15"/>
      <c r="UTK15"/>
      <c r="UTL15"/>
      <c r="UTM15"/>
      <c r="UTN15"/>
      <c r="UTO15"/>
      <c r="UTP15"/>
      <c r="UTQ15"/>
      <c r="UTR15"/>
      <c r="UTS15"/>
      <c r="UTT15"/>
      <c r="UTU15"/>
      <c r="UTV15"/>
      <c r="UTW15"/>
      <c r="UTX15"/>
      <c r="UTY15"/>
      <c r="UTZ15"/>
      <c r="UUA15"/>
      <c r="UUB15"/>
      <c r="UUC15"/>
      <c r="UUD15"/>
      <c r="UUE15"/>
      <c r="UUF15"/>
      <c r="UUG15"/>
      <c r="UUH15"/>
      <c r="UUI15"/>
      <c r="UUJ15"/>
      <c r="UUK15"/>
      <c r="UUL15"/>
      <c r="UUM15"/>
      <c r="UUN15"/>
      <c r="UUO15"/>
      <c r="UUP15"/>
      <c r="UUQ15"/>
      <c r="UUR15"/>
      <c r="UUS15"/>
      <c r="UUT15"/>
      <c r="UUU15"/>
      <c r="UUV15"/>
      <c r="UUW15"/>
      <c r="UUX15"/>
      <c r="UUY15"/>
      <c r="UUZ15"/>
      <c r="UVA15"/>
      <c r="UVB15"/>
      <c r="UVC15"/>
      <c r="UVD15"/>
      <c r="UVE15"/>
      <c r="UVF15"/>
      <c r="UVG15"/>
      <c r="UVH15"/>
      <c r="UVI15"/>
      <c r="UVJ15"/>
      <c r="UVK15"/>
      <c r="UVL15"/>
      <c r="UVM15"/>
      <c r="UVN15"/>
      <c r="UVO15"/>
      <c r="UVP15"/>
      <c r="UVQ15"/>
      <c r="UVR15"/>
      <c r="UVS15"/>
      <c r="UVT15"/>
      <c r="UVU15"/>
      <c r="UVV15"/>
      <c r="UVW15"/>
      <c r="UVX15"/>
      <c r="UVY15"/>
      <c r="UVZ15"/>
      <c r="UWA15"/>
      <c r="UWB15"/>
      <c r="UWC15"/>
      <c r="UWD15"/>
      <c r="UWE15"/>
      <c r="UWF15"/>
      <c r="UWG15"/>
      <c r="UWH15"/>
      <c r="UWI15"/>
      <c r="UWJ15"/>
      <c r="UWK15"/>
      <c r="UWL15"/>
      <c r="UWM15"/>
      <c r="UWN15"/>
      <c r="UWO15"/>
      <c r="UWP15"/>
      <c r="UWQ15"/>
      <c r="UWR15"/>
      <c r="UWS15"/>
      <c r="UWT15"/>
      <c r="UWU15"/>
      <c r="UWV15"/>
      <c r="UWW15"/>
      <c r="UWX15"/>
      <c r="UWY15"/>
      <c r="UWZ15"/>
      <c r="UXA15"/>
      <c r="UXB15"/>
      <c r="UXC15"/>
      <c r="UXD15"/>
      <c r="UXE15"/>
      <c r="UXF15"/>
      <c r="UXG15"/>
      <c r="UXH15"/>
      <c r="UXI15"/>
      <c r="UXJ15"/>
      <c r="UXK15"/>
      <c r="UXL15"/>
      <c r="UXM15"/>
      <c r="UXN15"/>
      <c r="UXO15"/>
      <c r="UXP15"/>
      <c r="UXQ15"/>
      <c r="UXR15"/>
      <c r="UXS15"/>
      <c r="UXT15"/>
      <c r="UXU15"/>
      <c r="UXV15"/>
      <c r="UXW15"/>
      <c r="UXX15"/>
      <c r="UXY15"/>
      <c r="UXZ15"/>
      <c r="UYA15"/>
      <c r="UYB15"/>
      <c r="UYC15"/>
      <c r="UYD15"/>
      <c r="UYE15"/>
      <c r="UYF15"/>
      <c r="UYG15"/>
      <c r="UYH15"/>
      <c r="UYI15"/>
      <c r="UYJ15"/>
      <c r="UYK15"/>
      <c r="UYL15"/>
      <c r="UYM15"/>
      <c r="UYN15"/>
      <c r="UYO15"/>
      <c r="UYP15"/>
      <c r="UYQ15"/>
      <c r="UYR15"/>
      <c r="UYS15"/>
      <c r="UYT15"/>
      <c r="UYU15"/>
      <c r="UYV15"/>
      <c r="UYW15"/>
      <c r="UYX15"/>
      <c r="UYY15"/>
      <c r="UYZ15"/>
      <c r="UZA15"/>
      <c r="UZB15"/>
      <c r="UZC15"/>
      <c r="UZD15"/>
      <c r="UZE15"/>
      <c r="UZF15"/>
      <c r="UZG15"/>
      <c r="UZH15"/>
      <c r="UZI15"/>
      <c r="UZJ15"/>
      <c r="UZK15"/>
      <c r="UZL15"/>
      <c r="UZM15"/>
      <c r="UZN15"/>
      <c r="UZO15"/>
      <c r="UZP15"/>
      <c r="UZQ15"/>
      <c r="UZR15"/>
      <c r="UZS15"/>
      <c r="UZT15"/>
      <c r="UZU15"/>
      <c r="UZV15"/>
      <c r="UZW15"/>
      <c r="UZX15"/>
      <c r="UZY15"/>
      <c r="UZZ15"/>
      <c r="VAA15"/>
      <c r="VAB15"/>
      <c r="VAC15"/>
      <c r="VAD15"/>
      <c r="VAE15"/>
      <c r="VAF15"/>
      <c r="VAG15"/>
      <c r="VAH15"/>
      <c r="VAI15"/>
      <c r="VAJ15"/>
      <c r="VAK15"/>
      <c r="VAL15"/>
      <c r="VAM15"/>
      <c r="VAN15"/>
      <c r="VAO15"/>
      <c r="VAP15"/>
      <c r="VAQ15"/>
      <c r="VAR15"/>
      <c r="VAS15"/>
      <c r="VAT15"/>
      <c r="VAU15"/>
      <c r="VAV15"/>
      <c r="VAW15"/>
      <c r="VAX15"/>
      <c r="VAY15"/>
      <c r="VAZ15"/>
      <c r="VBA15"/>
      <c r="VBB15"/>
      <c r="VBC15"/>
      <c r="VBD15"/>
      <c r="VBE15"/>
      <c r="VBF15"/>
      <c r="VBG15"/>
      <c r="VBH15"/>
      <c r="VBI15"/>
      <c r="VBJ15"/>
      <c r="VBK15"/>
      <c r="VBL15"/>
      <c r="VBM15"/>
      <c r="VBN15"/>
      <c r="VBO15"/>
      <c r="VBP15"/>
      <c r="VBQ15"/>
      <c r="VBR15"/>
      <c r="VBS15"/>
      <c r="VBT15"/>
      <c r="VBU15"/>
      <c r="VBV15"/>
      <c r="VBW15"/>
      <c r="VBX15"/>
      <c r="VBY15"/>
      <c r="VBZ15"/>
      <c r="VCA15"/>
      <c r="VCB15"/>
      <c r="VCC15"/>
      <c r="VCD15"/>
      <c r="VCE15"/>
      <c r="VCF15"/>
      <c r="VCG15"/>
      <c r="VCH15"/>
      <c r="VCI15"/>
      <c r="VCJ15"/>
      <c r="VCK15"/>
      <c r="VCL15"/>
      <c r="VCM15"/>
      <c r="VCN15"/>
      <c r="VCO15"/>
      <c r="VCP15"/>
      <c r="VCQ15"/>
      <c r="VCR15"/>
      <c r="VCS15"/>
      <c r="VCT15"/>
      <c r="VCU15"/>
      <c r="VCV15"/>
      <c r="VCW15"/>
      <c r="VCX15"/>
      <c r="VCY15"/>
      <c r="VCZ15"/>
      <c r="VDA15"/>
      <c r="VDB15"/>
      <c r="VDC15"/>
      <c r="VDD15"/>
      <c r="VDE15"/>
      <c r="VDF15"/>
      <c r="VDG15"/>
      <c r="VDH15"/>
      <c r="VDI15"/>
      <c r="VDJ15"/>
      <c r="VDK15"/>
      <c r="VDL15"/>
      <c r="VDM15"/>
      <c r="VDN15"/>
      <c r="VDO15"/>
      <c r="VDP15"/>
      <c r="VDQ15"/>
      <c r="VDR15"/>
      <c r="VDS15"/>
      <c r="VDT15"/>
      <c r="VDU15"/>
      <c r="VDV15"/>
      <c r="VDW15"/>
      <c r="VDX15"/>
      <c r="VDY15"/>
      <c r="VDZ15"/>
      <c r="VEA15"/>
      <c r="VEB15"/>
      <c r="VEC15"/>
      <c r="VED15"/>
      <c r="VEE15"/>
      <c r="VEF15"/>
      <c r="VEG15"/>
      <c r="VEH15"/>
      <c r="VEI15"/>
      <c r="VEJ15"/>
      <c r="VEK15"/>
      <c r="VEL15"/>
      <c r="VEM15"/>
      <c r="VEN15"/>
      <c r="VEO15"/>
      <c r="VEP15"/>
      <c r="VEQ15"/>
      <c r="VER15"/>
      <c r="VES15"/>
      <c r="VET15"/>
      <c r="VEU15"/>
      <c r="VEV15"/>
      <c r="VEW15"/>
      <c r="VEX15"/>
      <c r="VEY15"/>
      <c r="VEZ15"/>
      <c r="VFA15"/>
      <c r="VFB15"/>
      <c r="VFC15"/>
      <c r="VFD15"/>
      <c r="VFE15"/>
      <c r="VFF15"/>
      <c r="VFG15"/>
      <c r="VFH15"/>
      <c r="VFI15"/>
      <c r="VFJ15"/>
      <c r="VFK15"/>
      <c r="VFL15"/>
      <c r="VFM15"/>
      <c r="VFN15"/>
      <c r="VFO15"/>
      <c r="VFP15"/>
      <c r="VFQ15"/>
      <c r="VFR15"/>
      <c r="VFS15"/>
      <c r="VFT15"/>
      <c r="VFU15"/>
      <c r="VFV15"/>
      <c r="VFW15"/>
      <c r="VFX15"/>
      <c r="VFY15"/>
      <c r="VFZ15"/>
      <c r="VGA15"/>
      <c r="VGB15"/>
      <c r="VGC15"/>
      <c r="VGD15"/>
      <c r="VGE15"/>
      <c r="VGF15"/>
      <c r="VGG15"/>
      <c r="VGH15"/>
      <c r="VGI15"/>
      <c r="VGJ15"/>
      <c r="VGK15"/>
      <c r="VGL15"/>
      <c r="VGM15"/>
      <c r="VGN15"/>
      <c r="VGO15"/>
      <c r="VGP15"/>
      <c r="VGQ15"/>
      <c r="VGR15"/>
      <c r="VGS15"/>
      <c r="VGT15"/>
      <c r="VGU15"/>
      <c r="VGV15"/>
      <c r="VGW15"/>
      <c r="VGX15"/>
      <c r="VGY15"/>
      <c r="VGZ15"/>
      <c r="VHA15"/>
      <c r="VHB15"/>
      <c r="VHC15"/>
      <c r="VHD15"/>
      <c r="VHE15"/>
      <c r="VHF15"/>
      <c r="VHG15"/>
      <c r="VHH15"/>
      <c r="VHI15"/>
      <c r="VHJ15"/>
      <c r="VHK15"/>
      <c r="VHL15"/>
      <c r="VHM15"/>
      <c r="VHN15"/>
      <c r="VHO15"/>
      <c r="VHP15"/>
      <c r="VHQ15"/>
      <c r="VHR15"/>
      <c r="VHS15"/>
      <c r="VHT15"/>
      <c r="VHU15"/>
      <c r="VHV15"/>
      <c r="VHW15"/>
      <c r="VHX15"/>
      <c r="VHY15"/>
      <c r="VHZ15"/>
      <c r="VIA15"/>
      <c r="VIB15"/>
      <c r="VIC15"/>
      <c r="VID15"/>
      <c r="VIE15"/>
      <c r="VIF15"/>
      <c r="VIG15"/>
      <c r="VIH15"/>
      <c r="VII15"/>
      <c r="VIJ15"/>
      <c r="VIK15"/>
      <c r="VIL15"/>
      <c r="VIM15"/>
      <c r="VIN15"/>
      <c r="VIO15"/>
      <c r="VIP15"/>
      <c r="VIQ15"/>
      <c r="VIR15"/>
      <c r="VIS15"/>
      <c r="VIT15"/>
      <c r="VIU15"/>
      <c r="VIV15"/>
      <c r="VIW15"/>
      <c r="VIX15"/>
      <c r="VIY15"/>
      <c r="VIZ15"/>
      <c r="VJA15"/>
      <c r="VJB15"/>
      <c r="VJC15"/>
      <c r="VJD15"/>
      <c r="VJE15"/>
      <c r="VJF15"/>
      <c r="VJG15"/>
      <c r="VJH15"/>
      <c r="VJI15"/>
      <c r="VJJ15"/>
      <c r="VJK15"/>
      <c r="VJL15"/>
      <c r="VJM15"/>
      <c r="VJN15"/>
      <c r="VJO15"/>
      <c r="VJP15"/>
      <c r="VJQ15"/>
      <c r="VJR15"/>
      <c r="VJS15"/>
      <c r="VJT15"/>
      <c r="VJU15"/>
      <c r="VJV15"/>
      <c r="VJW15"/>
      <c r="VJX15"/>
      <c r="VJY15"/>
      <c r="VJZ15"/>
      <c r="VKA15"/>
      <c r="VKB15"/>
      <c r="VKC15"/>
      <c r="VKD15"/>
      <c r="VKE15"/>
      <c r="VKF15"/>
      <c r="VKG15"/>
      <c r="VKH15"/>
      <c r="VKI15"/>
      <c r="VKJ15"/>
      <c r="VKK15"/>
      <c r="VKL15"/>
      <c r="VKM15"/>
      <c r="VKN15"/>
      <c r="VKO15"/>
      <c r="VKP15"/>
      <c r="VKQ15"/>
      <c r="VKR15"/>
      <c r="VKS15"/>
      <c r="VKT15"/>
      <c r="VKU15"/>
      <c r="VKV15"/>
      <c r="VKW15"/>
      <c r="VKX15"/>
      <c r="VKY15"/>
      <c r="VKZ15"/>
      <c r="VLA15"/>
      <c r="VLB15"/>
      <c r="VLC15"/>
      <c r="VLD15"/>
      <c r="VLE15"/>
      <c r="VLF15"/>
      <c r="VLG15"/>
      <c r="VLH15"/>
      <c r="VLI15"/>
      <c r="VLJ15"/>
      <c r="VLK15"/>
      <c r="VLL15"/>
      <c r="VLM15"/>
      <c r="VLN15"/>
      <c r="VLO15"/>
      <c r="VLP15"/>
      <c r="VLQ15"/>
      <c r="VLR15"/>
      <c r="VLS15"/>
      <c r="VLT15"/>
      <c r="VLU15"/>
      <c r="VLV15"/>
      <c r="VLW15"/>
      <c r="VLX15"/>
      <c r="VLY15"/>
      <c r="VLZ15"/>
      <c r="VMA15"/>
      <c r="VMB15"/>
      <c r="VMC15"/>
      <c r="VMD15"/>
      <c r="VME15"/>
      <c r="VMF15"/>
      <c r="VMG15"/>
      <c r="VMH15"/>
      <c r="VMI15"/>
      <c r="VMJ15"/>
      <c r="VMK15"/>
      <c r="VML15"/>
      <c r="VMM15"/>
      <c r="VMN15"/>
      <c r="VMO15"/>
      <c r="VMP15"/>
      <c r="VMQ15"/>
      <c r="VMR15"/>
      <c r="VMS15"/>
      <c r="VMT15"/>
      <c r="VMU15"/>
      <c r="VMV15"/>
      <c r="VMW15"/>
      <c r="VMX15"/>
      <c r="VMY15"/>
      <c r="VMZ15"/>
      <c r="VNA15"/>
      <c r="VNB15"/>
      <c r="VNC15"/>
      <c r="VND15"/>
      <c r="VNE15"/>
      <c r="VNF15"/>
      <c r="VNG15"/>
      <c r="VNH15"/>
      <c r="VNI15"/>
      <c r="VNJ15"/>
      <c r="VNK15"/>
      <c r="VNL15"/>
      <c r="VNM15"/>
      <c r="VNN15"/>
      <c r="VNO15"/>
      <c r="VNP15"/>
      <c r="VNQ15"/>
      <c r="VNR15"/>
      <c r="VNS15"/>
      <c r="VNT15"/>
      <c r="VNU15"/>
      <c r="VNV15"/>
      <c r="VNW15"/>
      <c r="VNX15"/>
      <c r="VNY15"/>
      <c r="VNZ15"/>
      <c r="VOA15"/>
      <c r="VOB15"/>
      <c r="VOC15"/>
      <c r="VOD15"/>
      <c r="VOE15"/>
      <c r="VOF15"/>
      <c r="VOG15"/>
      <c r="VOH15"/>
      <c r="VOI15"/>
      <c r="VOJ15"/>
      <c r="VOK15"/>
      <c r="VOL15"/>
      <c r="VOM15"/>
      <c r="VON15"/>
      <c r="VOO15"/>
      <c r="VOP15"/>
      <c r="VOQ15"/>
      <c r="VOR15"/>
      <c r="VOS15"/>
      <c r="VOT15"/>
      <c r="VOU15"/>
      <c r="VOV15"/>
      <c r="VOW15"/>
      <c r="VOX15"/>
      <c r="VOY15"/>
      <c r="VOZ15"/>
      <c r="VPA15"/>
      <c r="VPB15"/>
      <c r="VPC15"/>
      <c r="VPD15"/>
      <c r="VPE15"/>
      <c r="VPF15"/>
      <c r="VPG15"/>
      <c r="VPH15"/>
      <c r="VPI15"/>
      <c r="VPJ15"/>
      <c r="VPK15"/>
      <c r="VPL15"/>
      <c r="VPM15"/>
      <c r="VPN15"/>
      <c r="VPO15"/>
      <c r="VPP15"/>
      <c r="VPQ15"/>
      <c r="VPR15"/>
      <c r="VPS15"/>
      <c r="VPT15"/>
      <c r="VPU15"/>
      <c r="VPV15"/>
      <c r="VPW15"/>
      <c r="VPX15"/>
      <c r="VPY15"/>
      <c r="VPZ15"/>
      <c r="VQA15"/>
      <c r="VQB15"/>
      <c r="VQC15"/>
      <c r="VQD15"/>
      <c r="VQE15"/>
      <c r="VQF15"/>
      <c r="VQG15"/>
      <c r="VQH15"/>
      <c r="VQI15"/>
      <c r="VQJ15"/>
      <c r="VQK15"/>
      <c r="VQL15"/>
      <c r="VQM15"/>
      <c r="VQN15"/>
      <c r="VQO15"/>
      <c r="VQP15"/>
      <c r="VQQ15"/>
      <c r="VQR15"/>
      <c r="VQS15"/>
      <c r="VQT15"/>
      <c r="VQU15"/>
      <c r="VQV15"/>
      <c r="VQW15"/>
      <c r="VQX15"/>
      <c r="VQY15"/>
      <c r="VQZ15"/>
      <c r="VRA15"/>
      <c r="VRB15"/>
      <c r="VRC15"/>
      <c r="VRD15"/>
      <c r="VRE15"/>
      <c r="VRF15"/>
      <c r="VRG15"/>
      <c r="VRH15"/>
      <c r="VRI15"/>
      <c r="VRJ15"/>
      <c r="VRK15"/>
      <c r="VRL15"/>
      <c r="VRM15"/>
      <c r="VRN15"/>
      <c r="VRO15"/>
      <c r="VRP15"/>
      <c r="VRQ15"/>
      <c r="VRR15"/>
      <c r="VRS15"/>
      <c r="VRT15"/>
      <c r="VRU15"/>
      <c r="VRV15"/>
      <c r="VRW15"/>
      <c r="VRX15"/>
      <c r="VRY15"/>
      <c r="VRZ15"/>
      <c r="VSA15"/>
      <c r="VSB15"/>
      <c r="VSC15"/>
      <c r="VSD15"/>
      <c r="VSE15"/>
      <c r="VSF15"/>
      <c r="VSG15"/>
      <c r="VSH15"/>
      <c r="VSI15"/>
      <c r="VSJ15"/>
      <c r="VSK15"/>
      <c r="VSL15"/>
      <c r="VSM15"/>
      <c r="VSN15"/>
      <c r="VSO15"/>
      <c r="VSP15"/>
      <c r="VSQ15"/>
      <c r="VSR15"/>
      <c r="VSS15"/>
      <c r="VST15"/>
      <c r="VSU15"/>
      <c r="VSV15"/>
      <c r="VSW15"/>
      <c r="VSX15"/>
      <c r="VSY15"/>
      <c r="VSZ15"/>
      <c r="VTA15"/>
      <c r="VTB15"/>
      <c r="VTC15"/>
      <c r="VTD15"/>
      <c r="VTE15"/>
      <c r="VTF15"/>
      <c r="VTG15"/>
      <c r="VTH15"/>
      <c r="VTI15"/>
      <c r="VTJ15"/>
      <c r="VTK15"/>
      <c r="VTL15"/>
      <c r="VTM15"/>
      <c r="VTN15"/>
      <c r="VTO15"/>
      <c r="VTP15"/>
      <c r="VTQ15"/>
      <c r="VTR15"/>
      <c r="VTS15"/>
      <c r="VTT15"/>
      <c r="VTU15"/>
      <c r="VTV15"/>
      <c r="VTW15"/>
      <c r="VTX15"/>
      <c r="VTY15"/>
      <c r="VTZ15"/>
      <c r="VUA15"/>
      <c r="VUB15"/>
      <c r="VUC15"/>
      <c r="VUD15"/>
      <c r="VUE15"/>
      <c r="VUF15"/>
      <c r="VUG15"/>
      <c r="VUH15"/>
      <c r="VUI15"/>
      <c r="VUJ15"/>
      <c r="VUK15"/>
      <c r="VUL15"/>
      <c r="VUM15"/>
      <c r="VUN15"/>
      <c r="VUO15"/>
      <c r="VUP15"/>
      <c r="VUQ15"/>
      <c r="VUR15"/>
      <c r="VUS15"/>
      <c r="VUT15"/>
      <c r="VUU15"/>
      <c r="VUV15"/>
      <c r="VUW15"/>
      <c r="VUX15"/>
      <c r="VUY15"/>
      <c r="VUZ15"/>
      <c r="VVA15"/>
      <c r="VVB15"/>
      <c r="VVC15"/>
      <c r="VVD15"/>
      <c r="VVE15"/>
      <c r="VVF15"/>
      <c r="VVG15"/>
      <c r="VVH15"/>
      <c r="VVI15"/>
      <c r="VVJ15"/>
      <c r="VVK15"/>
      <c r="VVL15"/>
      <c r="VVM15"/>
      <c r="VVN15"/>
      <c r="VVO15"/>
      <c r="VVP15"/>
      <c r="VVQ15"/>
      <c r="VVR15"/>
      <c r="VVS15"/>
      <c r="VVT15"/>
      <c r="VVU15"/>
      <c r="VVV15"/>
      <c r="VVW15"/>
      <c r="VVX15"/>
      <c r="VVY15"/>
      <c r="VVZ15"/>
      <c r="VWA15"/>
      <c r="VWB15"/>
      <c r="VWC15"/>
      <c r="VWD15"/>
      <c r="VWE15"/>
      <c r="VWF15"/>
      <c r="VWG15"/>
      <c r="VWH15"/>
      <c r="VWI15"/>
      <c r="VWJ15"/>
      <c r="VWK15"/>
      <c r="VWL15"/>
      <c r="VWM15"/>
      <c r="VWN15"/>
      <c r="VWO15"/>
      <c r="VWP15"/>
      <c r="VWQ15"/>
      <c r="VWR15"/>
      <c r="VWS15"/>
      <c r="VWT15"/>
      <c r="VWU15"/>
      <c r="VWV15"/>
      <c r="VWW15"/>
      <c r="VWX15"/>
      <c r="VWY15"/>
      <c r="VWZ15"/>
      <c r="VXA15"/>
      <c r="VXB15"/>
      <c r="VXC15"/>
      <c r="VXD15"/>
      <c r="VXE15"/>
      <c r="VXF15"/>
      <c r="VXG15"/>
      <c r="VXH15"/>
      <c r="VXI15"/>
      <c r="VXJ15"/>
      <c r="VXK15"/>
      <c r="VXL15"/>
      <c r="VXM15"/>
      <c r="VXN15"/>
      <c r="VXO15"/>
      <c r="VXP15"/>
      <c r="VXQ15"/>
      <c r="VXR15"/>
      <c r="VXS15"/>
      <c r="VXT15"/>
      <c r="VXU15"/>
      <c r="VXV15"/>
      <c r="VXW15"/>
      <c r="VXX15"/>
      <c r="VXY15"/>
      <c r="VXZ15"/>
      <c r="VYA15"/>
      <c r="VYB15"/>
      <c r="VYC15"/>
      <c r="VYD15"/>
      <c r="VYE15"/>
      <c r="VYF15"/>
      <c r="VYG15"/>
      <c r="VYH15"/>
      <c r="VYI15"/>
      <c r="VYJ15"/>
      <c r="VYK15"/>
      <c r="VYL15"/>
      <c r="VYM15"/>
      <c r="VYN15"/>
      <c r="VYO15"/>
      <c r="VYP15"/>
      <c r="VYQ15"/>
      <c r="VYR15"/>
      <c r="VYS15"/>
      <c r="VYT15"/>
      <c r="VYU15"/>
      <c r="VYV15"/>
      <c r="VYW15"/>
      <c r="VYX15"/>
      <c r="VYY15"/>
      <c r="VYZ15"/>
      <c r="VZA15"/>
      <c r="VZB15"/>
      <c r="VZC15"/>
      <c r="VZD15"/>
      <c r="VZE15"/>
      <c r="VZF15"/>
      <c r="VZG15"/>
      <c r="VZH15"/>
      <c r="VZI15"/>
      <c r="VZJ15"/>
      <c r="VZK15"/>
      <c r="VZL15"/>
      <c r="VZM15"/>
      <c r="VZN15"/>
      <c r="VZO15"/>
      <c r="VZP15"/>
      <c r="VZQ15"/>
      <c r="VZR15"/>
      <c r="VZS15"/>
      <c r="VZT15"/>
      <c r="VZU15"/>
      <c r="VZV15"/>
      <c r="VZW15"/>
      <c r="VZX15"/>
      <c r="VZY15"/>
      <c r="VZZ15"/>
      <c r="WAA15"/>
      <c r="WAB15"/>
      <c r="WAC15"/>
      <c r="WAD15"/>
      <c r="WAE15"/>
      <c r="WAF15"/>
      <c r="WAG15"/>
      <c r="WAH15"/>
      <c r="WAI15"/>
      <c r="WAJ15"/>
      <c r="WAK15"/>
      <c r="WAL15"/>
      <c r="WAM15"/>
      <c r="WAN15"/>
      <c r="WAO15"/>
      <c r="WAP15"/>
      <c r="WAQ15"/>
      <c r="WAR15"/>
      <c r="WAS15"/>
      <c r="WAT15"/>
      <c r="WAU15"/>
      <c r="WAV15"/>
      <c r="WAW15"/>
      <c r="WAX15"/>
      <c r="WAY15"/>
      <c r="WAZ15"/>
      <c r="WBA15"/>
      <c r="WBB15"/>
      <c r="WBC15"/>
      <c r="WBD15"/>
      <c r="WBE15"/>
      <c r="WBF15"/>
      <c r="WBG15"/>
      <c r="WBH15"/>
      <c r="WBI15"/>
      <c r="WBJ15"/>
      <c r="WBK15"/>
      <c r="WBL15"/>
      <c r="WBM15"/>
      <c r="WBN15"/>
      <c r="WBO15"/>
      <c r="WBP15"/>
      <c r="WBQ15"/>
      <c r="WBR15"/>
      <c r="WBS15"/>
      <c r="WBT15"/>
      <c r="WBU15"/>
      <c r="WBV15"/>
      <c r="WBW15"/>
      <c r="WBX15"/>
      <c r="WBY15"/>
      <c r="WBZ15"/>
      <c r="WCA15"/>
      <c r="WCB15"/>
      <c r="WCC15"/>
      <c r="WCD15"/>
      <c r="WCE15"/>
      <c r="WCF15"/>
      <c r="WCG15"/>
      <c r="WCH15"/>
      <c r="WCI15"/>
      <c r="WCJ15"/>
      <c r="WCK15"/>
      <c r="WCL15"/>
      <c r="WCM15"/>
      <c r="WCN15"/>
      <c r="WCO15"/>
      <c r="WCP15"/>
      <c r="WCQ15"/>
      <c r="WCR15"/>
      <c r="WCS15"/>
      <c r="WCT15"/>
      <c r="WCU15"/>
      <c r="WCV15"/>
      <c r="WCW15"/>
      <c r="WCX15"/>
      <c r="WCY15"/>
      <c r="WCZ15"/>
      <c r="WDA15"/>
      <c r="WDB15"/>
      <c r="WDC15"/>
      <c r="WDD15"/>
      <c r="WDE15"/>
      <c r="WDF15"/>
      <c r="WDG15"/>
      <c r="WDH15"/>
      <c r="WDI15"/>
      <c r="WDJ15"/>
      <c r="WDK15"/>
      <c r="WDL15"/>
      <c r="WDM15"/>
      <c r="WDN15"/>
      <c r="WDO15"/>
      <c r="WDP15"/>
      <c r="WDQ15"/>
      <c r="WDR15"/>
      <c r="WDS15"/>
      <c r="WDT15"/>
      <c r="WDU15"/>
      <c r="WDV15"/>
      <c r="WDW15"/>
      <c r="WDX15"/>
      <c r="WDY15"/>
      <c r="WDZ15"/>
      <c r="WEA15"/>
      <c r="WEB15"/>
      <c r="WEC15"/>
      <c r="WED15"/>
      <c r="WEE15"/>
      <c r="WEF15"/>
      <c r="WEG15"/>
      <c r="WEH15"/>
      <c r="WEI15"/>
      <c r="WEJ15"/>
      <c r="WEK15"/>
      <c r="WEL15"/>
      <c r="WEM15"/>
      <c r="WEN15"/>
      <c r="WEO15"/>
      <c r="WEP15"/>
      <c r="WEQ15"/>
      <c r="WER15"/>
      <c r="WES15"/>
      <c r="WET15"/>
      <c r="WEU15"/>
      <c r="WEV15"/>
      <c r="WEW15"/>
      <c r="WEX15"/>
      <c r="WEY15"/>
      <c r="WEZ15"/>
      <c r="WFA15"/>
      <c r="WFB15"/>
      <c r="WFC15"/>
      <c r="WFD15"/>
      <c r="WFE15"/>
      <c r="WFF15"/>
      <c r="WFG15"/>
      <c r="WFH15"/>
      <c r="WFI15"/>
      <c r="WFJ15"/>
      <c r="WFK15"/>
      <c r="WFL15"/>
      <c r="WFM15"/>
      <c r="WFN15"/>
      <c r="WFO15"/>
      <c r="WFP15"/>
      <c r="WFQ15"/>
      <c r="WFR15"/>
      <c r="WFS15"/>
      <c r="WFT15"/>
      <c r="WFU15"/>
      <c r="WFV15"/>
      <c r="WFW15"/>
      <c r="WFX15"/>
      <c r="WFY15"/>
      <c r="WFZ15"/>
      <c r="WGA15"/>
      <c r="WGB15"/>
      <c r="WGC15"/>
      <c r="WGD15"/>
      <c r="WGE15"/>
      <c r="WGF15"/>
      <c r="WGG15"/>
      <c r="WGH15"/>
      <c r="WGI15"/>
      <c r="WGJ15"/>
      <c r="WGK15"/>
      <c r="WGL15"/>
      <c r="WGM15"/>
      <c r="WGN15"/>
      <c r="WGO15"/>
      <c r="WGP15"/>
      <c r="WGQ15"/>
      <c r="WGR15"/>
      <c r="WGS15"/>
      <c r="WGT15"/>
      <c r="WGU15"/>
      <c r="WGV15"/>
      <c r="WGW15"/>
      <c r="WGX15"/>
      <c r="WGY15"/>
      <c r="WGZ15"/>
      <c r="WHA15"/>
      <c r="WHB15"/>
      <c r="WHC15"/>
      <c r="WHD15"/>
      <c r="WHE15"/>
      <c r="WHF15"/>
      <c r="WHG15"/>
      <c r="WHH15"/>
      <c r="WHI15"/>
      <c r="WHJ15"/>
      <c r="WHK15"/>
      <c r="WHL15"/>
      <c r="WHM15"/>
      <c r="WHN15"/>
      <c r="WHO15"/>
      <c r="WHP15"/>
      <c r="WHQ15"/>
      <c r="WHR15"/>
      <c r="WHS15"/>
      <c r="WHT15"/>
      <c r="WHU15"/>
      <c r="WHV15"/>
      <c r="WHW15"/>
      <c r="WHX15"/>
      <c r="WHY15"/>
      <c r="WHZ15"/>
      <c r="WIA15"/>
      <c r="WIB15"/>
      <c r="WIC15"/>
      <c r="WID15"/>
      <c r="WIE15"/>
      <c r="WIF15"/>
      <c r="WIG15"/>
      <c r="WIH15"/>
      <c r="WII15"/>
      <c r="WIJ15"/>
      <c r="WIK15"/>
      <c r="WIL15"/>
      <c r="WIM15"/>
      <c r="WIN15"/>
      <c r="WIO15"/>
      <c r="WIP15"/>
      <c r="WIQ15"/>
      <c r="WIR15"/>
      <c r="WIS15"/>
      <c r="WIT15"/>
      <c r="WIU15"/>
      <c r="WIV15"/>
      <c r="WIW15"/>
      <c r="WIX15"/>
      <c r="WIY15"/>
      <c r="WIZ15"/>
      <c r="WJA15"/>
      <c r="WJB15"/>
      <c r="WJC15"/>
      <c r="WJD15"/>
      <c r="WJE15"/>
      <c r="WJF15"/>
      <c r="WJG15"/>
      <c r="WJH15"/>
      <c r="WJI15"/>
      <c r="WJJ15"/>
      <c r="WJK15"/>
      <c r="WJL15"/>
      <c r="WJM15"/>
      <c r="WJN15"/>
      <c r="WJO15"/>
      <c r="WJP15"/>
      <c r="WJQ15"/>
      <c r="WJR15"/>
      <c r="WJS15"/>
      <c r="WJT15"/>
      <c r="WJU15"/>
      <c r="WJV15"/>
      <c r="WJW15"/>
      <c r="WJX15"/>
      <c r="WJY15"/>
      <c r="WJZ15"/>
      <c r="WKA15"/>
      <c r="WKB15"/>
      <c r="WKC15"/>
      <c r="WKD15"/>
      <c r="WKE15"/>
      <c r="WKF15"/>
      <c r="WKG15"/>
      <c r="WKH15"/>
      <c r="WKI15"/>
      <c r="WKJ15"/>
      <c r="WKK15"/>
      <c r="WKL15"/>
      <c r="WKM15"/>
      <c r="WKN15"/>
      <c r="WKO15"/>
      <c r="WKP15"/>
      <c r="WKQ15"/>
      <c r="WKR15"/>
      <c r="WKS15"/>
      <c r="WKT15"/>
      <c r="WKU15"/>
      <c r="WKV15"/>
      <c r="WKW15"/>
      <c r="WKX15"/>
      <c r="WKY15"/>
      <c r="WKZ15"/>
      <c r="WLA15"/>
      <c r="WLB15"/>
      <c r="WLC15"/>
      <c r="WLD15"/>
      <c r="WLE15"/>
      <c r="WLF15"/>
      <c r="WLG15"/>
      <c r="WLH15"/>
      <c r="WLI15"/>
      <c r="WLJ15"/>
      <c r="WLK15"/>
      <c r="WLL15"/>
      <c r="WLM15"/>
      <c r="WLN15"/>
      <c r="WLO15"/>
      <c r="WLP15"/>
      <c r="WLQ15"/>
      <c r="WLR15"/>
      <c r="WLS15"/>
      <c r="WLT15"/>
      <c r="WLU15"/>
      <c r="WLV15"/>
      <c r="WLW15"/>
      <c r="WLX15"/>
      <c r="WLY15"/>
      <c r="WLZ15"/>
      <c r="WMA15"/>
      <c r="WMB15"/>
      <c r="WMC15"/>
      <c r="WMD15"/>
      <c r="WME15"/>
      <c r="WMF15"/>
      <c r="WMG15"/>
      <c r="WMH15"/>
      <c r="WMI15"/>
      <c r="WMJ15"/>
      <c r="WMK15"/>
      <c r="WML15"/>
      <c r="WMM15"/>
      <c r="WMN15"/>
      <c r="WMO15"/>
      <c r="WMP15"/>
      <c r="WMQ15"/>
      <c r="WMR15"/>
      <c r="WMS15"/>
      <c r="WMT15"/>
      <c r="WMU15"/>
      <c r="WMV15"/>
      <c r="WMW15"/>
      <c r="WMX15"/>
      <c r="WMY15"/>
      <c r="WMZ15"/>
      <c r="WNA15"/>
      <c r="WNB15"/>
      <c r="WNC15"/>
      <c r="WND15"/>
      <c r="WNE15"/>
      <c r="WNF15"/>
      <c r="WNG15"/>
      <c r="WNH15"/>
      <c r="WNI15"/>
      <c r="WNJ15"/>
      <c r="WNK15"/>
      <c r="WNL15"/>
      <c r="WNM15"/>
      <c r="WNN15"/>
      <c r="WNO15"/>
      <c r="WNP15"/>
      <c r="WNQ15"/>
      <c r="WNR15"/>
      <c r="WNS15"/>
      <c r="WNT15"/>
      <c r="WNU15"/>
      <c r="WNV15"/>
      <c r="WNW15"/>
      <c r="WNX15"/>
      <c r="WNY15"/>
      <c r="WNZ15"/>
      <c r="WOA15"/>
      <c r="WOB15"/>
      <c r="WOC15"/>
      <c r="WOD15"/>
      <c r="WOE15"/>
      <c r="WOF15"/>
      <c r="WOG15"/>
      <c r="WOH15"/>
      <c r="WOI15"/>
      <c r="WOJ15"/>
      <c r="WOK15"/>
      <c r="WOL15"/>
      <c r="WOM15"/>
      <c r="WON15"/>
      <c r="WOO15"/>
      <c r="WOP15"/>
      <c r="WOQ15"/>
      <c r="WOR15"/>
      <c r="WOS15"/>
      <c r="WOT15"/>
      <c r="WOU15"/>
      <c r="WOV15"/>
      <c r="WOW15"/>
      <c r="WOX15"/>
      <c r="WOY15"/>
      <c r="WOZ15"/>
      <c r="WPA15"/>
      <c r="WPB15"/>
      <c r="WPC15"/>
      <c r="WPD15"/>
      <c r="WPE15"/>
      <c r="WPF15"/>
      <c r="WPG15"/>
      <c r="WPH15"/>
      <c r="WPI15"/>
      <c r="WPJ15"/>
      <c r="WPK15"/>
      <c r="WPL15"/>
      <c r="WPM15"/>
      <c r="WPN15"/>
      <c r="WPO15"/>
      <c r="WPP15"/>
      <c r="WPQ15"/>
      <c r="WPR15"/>
      <c r="WPS15"/>
      <c r="WPT15"/>
      <c r="WPU15"/>
      <c r="WPV15"/>
      <c r="WPW15"/>
      <c r="WPX15"/>
      <c r="WPY15"/>
      <c r="WPZ15"/>
      <c r="WQA15"/>
      <c r="WQB15"/>
      <c r="WQC15"/>
      <c r="WQD15"/>
      <c r="WQE15"/>
      <c r="WQF15"/>
      <c r="WQG15"/>
      <c r="WQH15"/>
      <c r="WQI15"/>
      <c r="WQJ15"/>
      <c r="WQK15"/>
      <c r="WQL15"/>
      <c r="WQM15"/>
      <c r="WQN15"/>
      <c r="WQO15"/>
      <c r="WQP15"/>
      <c r="WQQ15"/>
      <c r="WQR15"/>
      <c r="WQS15"/>
      <c r="WQT15"/>
      <c r="WQU15"/>
      <c r="WQV15"/>
      <c r="WQW15"/>
      <c r="WQX15"/>
      <c r="WQY15"/>
      <c r="WQZ15"/>
      <c r="WRA15"/>
      <c r="WRB15"/>
      <c r="WRC15"/>
      <c r="WRD15"/>
      <c r="WRE15"/>
      <c r="WRF15"/>
      <c r="WRG15"/>
      <c r="WRH15"/>
      <c r="WRI15"/>
      <c r="WRJ15"/>
      <c r="WRK15"/>
      <c r="WRL15"/>
      <c r="WRM15"/>
      <c r="WRN15"/>
      <c r="WRO15"/>
      <c r="WRP15"/>
      <c r="WRQ15"/>
      <c r="WRR15"/>
      <c r="WRS15"/>
      <c r="WRT15"/>
      <c r="WRU15"/>
      <c r="WRV15"/>
      <c r="WRW15"/>
      <c r="WRX15"/>
      <c r="WRY15"/>
      <c r="WRZ15"/>
      <c r="WSA15"/>
      <c r="WSB15"/>
      <c r="WSC15"/>
      <c r="WSD15"/>
      <c r="WSE15"/>
      <c r="WSF15"/>
      <c r="WSG15"/>
      <c r="WSH15"/>
      <c r="WSI15"/>
      <c r="WSJ15"/>
      <c r="WSK15"/>
      <c r="WSL15"/>
      <c r="WSM15"/>
      <c r="WSN15"/>
      <c r="WSO15"/>
      <c r="WSP15"/>
      <c r="WSQ15"/>
      <c r="WSR15"/>
      <c r="WSS15"/>
      <c r="WST15"/>
      <c r="WSU15"/>
      <c r="WSV15"/>
      <c r="WSW15"/>
      <c r="WSX15"/>
      <c r="WSY15"/>
      <c r="WSZ15"/>
      <c r="WTA15"/>
      <c r="WTB15"/>
      <c r="WTC15"/>
      <c r="WTD15"/>
      <c r="WTE15"/>
      <c r="WTF15"/>
      <c r="WTG15"/>
      <c r="WTH15"/>
      <c r="WTI15"/>
      <c r="WTJ15"/>
      <c r="WTK15"/>
      <c r="WTL15"/>
      <c r="WTM15"/>
      <c r="WTN15"/>
      <c r="WTO15"/>
      <c r="WTP15"/>
      <c r="WTQ15"/>
      <c r="WTR15"/>
      <c r="WTS15"/>
      <c r="WTT15"/>
      <c r="WTU15"/>
      <c r="WTV15"/>
      <c r="WTW15"/>
      <c r="WTX15"/>
      <c r="WTY15"/>
      <c r="WTZ15"/>
      <c r="WUA15"/>
      <c r="WUB15"/>
      <c r="WUC15"/>
      <c r="WUD15"/>
      <c r="WUE15"/>
      <c r="WUF15"/>
      <c r="WUG15"/>
      <c r="WUH15"/>
      <c r="WUI15"/>
      <c r="WUJ15"/>
      <c r="WUK15"/>
      <c r="WUL15"/>
      <c r="WUM15"/>
      <c r="WUN15"/>
      <c r="WUO15"/>
      <c r="WUP15"/>
      <c r="WUQ15"/>
      <c r="WUR15"/>
      <c r="WUS15"/>
      <c r="WUT15"/>
      <c r="WUU15"/>
      <c r="WUV15"/>
      <c r="WUW15"/>
      <c r="WUX15"/>
      <c r="WUY15"/>
      <c r="WUZ15"/>
      <c r="WVA15"/>
      <c r="WVB15"/>
      <c r="WVC15"/>
      <c r="WVD15"/>
      <c r="WVE15"/>
      <c r="WVF15"/>
      <c r="WVG15"/>
      <c r="WVH15"/>
      <c r="WVI15"/>
      <c r="WVJ15"/>
      <c r="WVK15"/>
      <c r="WVL15"/>
      <c r="WVM15"/>
      <c r="WVN15"/>
      <c r="WVO15"/>
      <c r="WVP15"/>
      <c r="WVQ15"/>
      <c r="WVR15"/>
      <c r="WVS15"/>
      <c r="WVT15"/>
      <c r="WVU15"/>
      <c r="WVV15"/>
      <c r="WVW15"/>
      <c r="WVX15"/>
      <c r="WVY15"/>
      <c r="WVZ15"/>
      <c r="WWA15"/>
      <c r="WWB15"/>
      <c r="WWC15"/>
      <c r="WWD15"/>
      <c r="WWE15"/>
      <c r="WWF15"/>
      <c r="WWG15"/>
      <c r="WWH15"/>
      <c r="WWI15"/>
      <c r="WWJ15"/>
      <c r="WWK15"/>
      <c r="WWL15"/>
      <c r="WWM15"/>
      <c r="WWN15"/>
      <c r="WWO15"/>
      <c r="WWP15"/>
      <c r="WWQ15"/>
      <c r="WWR15"/>
      <c r="WWS15"/>
      <c r="WWT15"/>
      <c r="WWU15"/>
      <c r="WWV15"/>
      <c r="WWW15"/>
      <c r="WWX15"/>
      <c r="WWY15"/>
      <c r="WWZ15"/>
      <c r="WXA15"/>
      <c r="WXB15"/>
      <c r="WXC15"/>
      <c r="WXD15"/>
      <c r="WXE15"/>
      <c r="WXF15"/>
      <c r="WXG15"/>
      <c r="WXH15"/>
      <c r="WXI15"/>
      <c r="WXJ15"/>
      <c r="WXK15"/>
      <c r="WXL15"/>
      <c r="WXM15"/>
      <c r="WXN15"/>
      <c r="WXO15"/>
      <c r="WXP15"/>
      <c r="WXQ15"/>
      <c r="WXR15"/>
      <c r="WXS15"/>
      <c r="WXT15"/>
      <c r="WXU15"/>
      <c r="WXV15"/>
      <c r="WXW15"/>
      <c r="WXX15"/>
      <c r="WXY15"/>
      <c r="WXZ15"/>
      <c r="WYA15"/>
      <c r="WYB15"/>
      <c r="WYC15"/>
      <c r="WYD15"/>
      <c r="WYE15"/>
      <c r="WYF15"/>
      <c r="WYG15"/>
      <c r="WYH15"/>
      <c r="WYI15"/>
      <c r="WYJ15"/>
      <c r="WYK15"/>
      <c r="WYL15"/>
      <c r="WYM15"/>
      <c r="WYN15"/>
      <c r="WYO15"/>
      <c r="WYP15"/>
      <c r="WYQ15"/>
      <c r="WYR15"/>
      <c r="WYS15"/>
      <c r="WYT15"/>
      <c r="WYU15"/>
      <c r="WYV15"/>
      <c r="WYW15"/>
      <c r="WYX15"/>
      <c r="WYY15"/>
      <c r="WYZ15"/>
      <c r="WZA15"/>
      <c r="WZB15"/>
      <c r="WZC15"/>
      <c r="WZD15"/>
      <c r="WZE15"/>
      <c r="WZF15"/>
      <c r="WZG15"/>
      <c r="WZH15"/>
      <c r="WZI15"/>
      <c r="WZJ15"/>
      <c r="WZK15"/>
      <c r="WZL15"/>
      <c r="WZM15"/>
      <c r="WZN15"/>
      <c r="WZO15"/>
      <c r="WZP15"/>
      <c r="WZQ15"/>
      <c r="WZR15"/>
      <c r="WZS15"/>
      <c r="WZT15"/>
      <c r="WZU15"/>
      <c r="WZV15"/>
      <c r="WZW15"/>
      <c r="WZX15"/>
      <c r="WZY15"/>
      <c r="WZZ15"/>
      <c r="XAA15"/>
      <c r="XAB15"/>
      <c r="XAC15"/>
      <c r="XAD15"/>
      <c r="XAE15"/>
      <c r="XAF15"/>
      <c r="XAG15"/>
      <c r="XAH15"/>
      <c r="XAI15"/>
      <c r="XAJ15"/>
      <c r="XAK15"/>
      <c r="XAL15"/>
      <c r="XAM15"/>
      <c r="XAN15"/>
      <c r="XAO15"/>
      <c r="XAP15"/>
      <c r="XAQ15"/>
      <c r="XAR15"/>
      <c r="XAS15"/>
      <c r="XAT15"/>
      <c r="XAU15"/>
      <c r="XAV15"/>
      <c r="XAW15"/>
      <c r="XAX15"/>
      <c r="XAY15"/>
      <c r="XAZ15"/>
      <c r="XBA15"/>
      <c r="XBB15"/>
      <c r="XBC15"/>
      <c r="XBD15"/>
      <c r="XBE15"/>
      <c r="XBF15"/>
      <c r="XBG15"/>
      <c r="XBH15"/>
      <c r="XBI15"/>
      <c r="XBJ15"/>
      <c r="XBK15"/>
      <c r="XBL15"/>
      <c r="XBM15"/>
      <c r="XBN15"/>
      <c r="XBO15"/>
      <c r="XBP15"/>
      <c r="XBQ15"/>
      <c r="XBR15"/>
      <c r="XBS15"/>
      <c r="XBT15"/>
      <c r="XBU15"/>
      <c r="XBV15"/>
      <c r="XBW15"/>
      <c r="XBX15"/>
      <c r="XBY15"/>
      <c r="XBZ15"/>
      <c r="XCA15"/>
      <c r="XCB15"/>
      <c r="XCC15"/>
      <c r="XCD15"/>
      <c r="XCE15"/>
      <c r="XCF15"/>
      <c r="XCG15"/>
      <c r="XCH15"/>
      <c r="XCI15"/>
      <c r="XCJ15"/>
      <c r="XCK15"/>
      <c r="XCL15"/>
      <c r="XCM15"/>
      <c r="XCN15"/>
      <c r="XCO15"/>
      <c r="XCP15"/>
      <c r="XCQ15"/>
      <c r="XCR15"/>
      <c r="XCS15"/>
      <c r="XCT15"/>
      <c r="XCU15"/>
      <c r="XCV15"/>
      <c r="XCW15"/>
      <c r="XCX15"/>
      <c r="XCY15"/>
      <c r="XCZ15"/>
      <c r="XDA15"/>
      <c r="XDB15"/>
      <c r="XDC15"/>
      <c r="XDD15"/>
      <c r="XDE15"/>
      <c r="XDF15"/>
      <c r="XDG15"/>
      <c r="XDH15"/>
      <c r="XDI15"/>
      <c r="XDJ15"/>
      <c r="XDK15"/>
      <c r="XDL15"/>
      <c r="XDM15"/>
      <c r="XDN15"/>
      <c r="XDO15"/>
      <c r="XDP15"/>
      <c r="XDQ15"/>
      <c r="XDR15"/>
      <c r="XDS15"/>
      <c r="XDT15"/>
      <c r="XDU15"/>
      <c r="XDV15"/>
      <c r="XDW15"/>
      <c r="XDX15"/>
      <c r="XDY15"/>
      <c r="XDZ15"/>
      <c r="XEA15"/>
      <c r="XEB15"/>
      <c r="XEC15"/>
      <c r="XED15"/>
      <c r="XEE15"/>
      <c r="XEF15"/>
      <c r="XEG15"/>
      <c r="XEH15"/>
      <c r="XEI15"/>
      <c r="XEJ15"/>
      <c r="XEK15"/>
      <c r="XEL15"/>
      <c r="XEM15"/>
      <c r="XEN15"/>
      <c r="XEO15"/>
      <c r="XEP15"/>
      <c r="XEQ15"/>
      <c r="XER15"/>
      <c r="XES15"/>
      <c r="XET15"/>
      <c r="XEU15"/>
      <c r="XEV15"/>
      <c r="XEW15"/>
      <c r="XEX15"/>
      <c r="XEY15"/>
      <c r="XEZ15"/>
      <c r="XFA15"/>
      <c r="XFB15"/>
      <c r="XFC15"/>
      <c r="XFD15"/>
    </row>
    <row r="16" spans="1:154 14670:16384" s="10" customFormat="1" ht="15.75" hidden="1" thickBot="1" x14ac:dyDescent="0.3">
      <c r="A16" s="43">
        <v>2</v>
      </c>
      <c r="B16" s="33" t="s">
        <v>109</v>
      </c>
      <c r="C16" s="23" t="str">
        <f ca="1">IFERROR(IF(AND(C$13  &gt;= $AB$33, C$13 &lt;= $AB$34),VLOOKUP($G$1,INDIRECT("'" &amp;'Caller Portal Instructions'!D$25&amp;"'!$B$4:$P$200"),11, FALSE),""),"")</f>
        <v/>
      </c>
      <c r="D16" s="23" t="str">
        <f ca="1">IFERROR(IF(AND(D$13  &gt;= $AB$33, D$13 &lt;= $AB$34),VLOOKUP($G$1,INDIRECT("'" &amp;'Caller Portal Instructions'!E$25&amp;"'!$B$4:$P$200"),11, FALSE),""),"")</f>
        <v/>
      </c>
      <c r="E16" s="23" t="str">
        <f ca="1">IFERROR(IF(AND(E$13  &gt;= $AB$33, E$13 &lt;= $AB$34),VLOOKUP($G$1,INDIRECT("'" &amp;'Caller Portal Instructions'!F$25&amp;"'!$B$4:$P$200"),11, FALSE),""),"")</f>
        <v/>
      </c>
      <c r="F16" s="23" t="str">
        <f ca="1">IFERROR(IF(AND(F$13  &gt;= $AB$33, F$13 &lt;= $AB$34),VLOOKUP($G$1,INDIRECT("'" &amp;'Caller Portal Instructions'!G$25&amp;"'!$B$4:$P$200"),11, FALSE),""),"")</f>
        <v/>
      </c>
      <c r="G16" s="23" t="str">
        <f ca="1">IFERROR(IF(AND(G$13  &gt;= $AB$33, G$13 &lt;= $AB$34),VLOOKUP($G$1,INDIRECT("'" &amp;'Caller Portal Instructions'!H$25&amp;"'!$B$4:$P$200"),11, FALSE),""),"")</f>
        <v/>
      </c>
      <c r="H16" s="23" t="str">
        <f ca="1">IFERROR(IF(AND(H$13  &gt;= $AB$33, H$13 &lt;= $AB$34),VLOOKUP($G$1,INDIRECT("'" &amp;'Caller Portal Instructions'!I$25&amp;"'!$B$4:$P$200"),11, FALSE),""),"")</f>
        <v/>
      </c>
      <c r="I16" s="23" t="str">
        <f ca="1">IFERROR(IF(AND(I$13  &gt;= $AB$33, I$13 &lt;= $AB$34),VLOOKUP($G$1,INDIRECT("'" &amp;'Caller Portal Instructions'!J$25&amp;"'!$B$4:$P$200"),11, FALSE),""),"")</f>
        <v/>
      </c>
      <c r="J16" s="23" t="str">
        <f ca="1">IFERROR(IF(AND(J$13  &gt;= $AB$33, J$13 &lt;= $AB$34),VLOOKUP($G$1,INDIRECT("'" &amp;'Caller Portal Instructions'!K$25&amp;"'!$B$4:$P$200"),11, FALSE),""),"")</f>
        <v/>
      </c>
      <c r="K16" s="23" t="str">
        <f ca="1">IFERROR(IF(AND(K$13  &gt;= $AB$33, K$13 &lt;= $AB$34),VLOOKUP($G$1,INDIRECT("'" &amp;'Caller Portal Instructions'!L$25&amp;"'!$B$4:$P$200"),11, FALSE),""),"")</f>
        <v/>
      </c>
      <c r="L16" s="23" t="str">
        <f ca="1">IFERROR(IF(AND(L$13  &gt;= $AB$33, L$13 &lt;= $AB$34),VLOOKUP($G$1,INDIRECT("'" &amp;'Caller Portal Instructions'!M$25&amp;"'!$B$4:$P$200"),11, FALSE),""),"")</f>
        <v/>
      </c>
      <c r="M16" s="23" t="str">
        <f ca="1">IFERROR(IF(AND(M$13  &gt;= $AB$33, M$13 &lt;= $AB$34),VLOOKUP($G$1,INDIRECT("'" &amp;'Caller Portal Instructions'!N$25&amp;"'!$B$4:$P$200"),11, FALSE),""),"")</f>
        <v/>
      </c>
      <c r="N16" s="23" t="str">
        <f ca="1">IFERROR(IF(AND(N$13  &gt;= $AB$33, N$13 &lt;= $AB$34),VLOOKUP($G$1,INDIRECT("'" &amp;'Caller Portal Instructions'!O$25&amp;"'!$B$4:$P$200"),11, FALSE),""),"")</f>
        <v/>
      </c>
      <c r="O16" s="23" t="str">
        <f ca="1">IFERROR(IF(AND(O$13  &gt;= $AB$33, O$13 &lt;= $AB$34),VLOOKUP($G$1,INDIRECT("'" &amp;'Caller Portal Instructions'!P$25&amp;"'!$B$4:$P$200"),11, FALSE),""),"")</f>
        <v/>
      </c>
      <c r="P16" s="23" t="str">
        <f ca="1">IFERROR(IF(AND(P$13  &gt;= $AB$33, P$13 &lt;= $AB$34),VLOOKUP($G$1,INDIRECT("'" &amp;'Caller Portal Instructions'!Q$25&amp;"'!$B$4:$P$200"),11, FALSE),""),"")</f>
        <v/>
      </c>
      <c r="Q16" s="23" t="str">
        <f ca="1">IFERROR(IF(AND(Q$13  &gt;= $AB$33, Q$13 &lt;= $AB$34),VLOOKUP($G$1,INDIRECT("'" &amp;'Caller Portal Instructions'!R$25&amp;"'!$B$4:$P$200"),11, FALSE),""),"")</f>
        <v/>
      </c>
      <c r="R16" s="23" t="str">
        <f ca="1">IFERROR(IF(AND(R$13  &gt;= $AB$33, R$13 &lt;= $AB$34),VLOOKUP($G$1,INDIRECT("'" &amp;'Caller Portal Instructions'!S$25&amp;"'!$B$4:$P$200"),11, FALSE),""),"")</f>
        <v/>
      </c>
      <c r="S16" s="23" t="str">
        <f ca="1">IFERROR(IF(AND(S$13  &gt;= $AB$33, S$13 &lt;= $AB$34),VLOOKUP($G$1,INDIRECT("'" &amp;'Caller Portal Instructions'!T$25&amp;"'!$B$4:$P$200"),11, FALSE),""),"")</f>
        <v/>
      </c>
      <c r="T16" s="23" t="str">
        <f ca="1">IFERROR(IF(AND(T$13  &gt;= $AB$33, T$13 &lt;= $AB$34),VLOOKUP($G$1,INDIRECT("'" &amp;'Caller Portal Instructions'!U$25&amp;"'!$B$4:$P$200"),11, FALSE),""),"")</f>
        <v/>
      </c>
      <c r="U16" s="23" t="str">
        <f ca="1">IFERROR(IF(AND(U$13  &gt;= $AB$33, U$13 &lt;= $AB$34),VLOOKUP($G$1,INDIRECT("'" &amp;'Caller Portal Instructions'!V$25&amp;"'!$B$4:$P$200"),11, FALSE),""),"")</f>
        <v/>
      </c>
      <c r="V16" s="23" t="str">
        <f ca="1">IFERROR(IF(AND(V$13  &gt;= $AB$33, V$13 &lt;= $AB$34),VLOOKUP($G$1,INDIRECT("'" &amp;'Caller Portal Instructions'!W$25&amp;"'!$B$4:$P$200"),11, FALSE),""),"")</f>
        <v/>
      </c>
      <c r="W16" s="23" t="str">
        <f ca="1">IFERROR(IF(AND(W$13  &gt;= $AB$33, W$13 &lt;= $AB$34),VLOOKUP($G$1,INDIRECT("'" &amp;'Caller Portal Instructions'!X$25&amp;"'!$B$4:$P$200"),11, FALSE),""),"")</f>
        <v/>
      </c>
      <c r="X16" s="23" t="str">
        <f ca="1">IFERROR(IF(AND(X$13  &gt;= $AB$33, X$13 &lt;= $AB$34),VLOOKUP($G$1,INDIRECT("'" &amp;'Caller Portal Instructions'!Y$25&amp;"'!$B$4:$P$200"),11, FALSE),""),"")</f>
        <v/>
      </c>
      <c r="Y16" s="23" t="str">
        <f ca="1">IFERROR(IF(AND(Y$13  &gt;= $AB$33, Y$13 &lt;= $AB$34),VLOOKUP($G$1,INDIRECT("'" &amp;'Caller Portal Instructions'!Z$25&amp;"'!$B$4:$P$200"),11, FALSE),""),"")</f>
        <v/>
      </c>
      <c r="Z16" s="23" t="str">
        <f ca="1">IFERROR(IF(AND(Z$13  &gt;= $AB$33, Z$13 &lt;= $AB$34),VLOOKUP($G$1,INDIRECT("'" &amp;'Caller Portal Instructions'!AA$25&amp;"'!$B$4:$P$200"),11, FALSE),""),"")</f>
        <v/>
      </c>
      <c r="AA16" s="23" t="str">
        <f ca="1">IFERROR(IF(AND(AA$13  &gt;= $AB$33, AA$13 &lt;= $AB$34),VLOOKUP($G$1,INDIRECT("'" &amp;'Caller Portal Instructions'!AB$25&amp;"'!$B$4:$P$200"),11, FALSE),""),"")</f>
        <v/>
      </c>
      <c r="AB16" s="23" t="str">
        <f ca="1">IFERROR(IF(AND(AB$13  &gt;= $AB$33, AB$13 &lt;= $AB$34),VLOOKUP($G$1,INDIRECT("'" &amp;'Caller Portal Instructions'!AC$25&amp;"'!$B$4:$P$200"),11, FALSE),""),"")</f>
        <v/>
      </c>
      <c r="AC16" s="23" t="str">
        <f ca="1">IFERROR(IF(AND(AC$13  &gt;= $AB$33, AC$13 &lt;= $AB$34),VLOOKUP($G$1,INDIRECT("'" &amp;'Caller Portal Instructions'!AD$25&amp;"'!$B$4:$P$200"),11, FALSE),""),"")</f>
        <v/>
      </c>
      <c r="AD16" s="23" t="str">
        <f ca="1">IFERROR(IF(AND(AD$13  &gt;= $AB$33, AD$13 &lt;= $AB$34),VLOOKUP($G$1,INDIRECT("'" &amp;'Caller Portal Instructions'!AE$25&amp;"'!$B$4:$P$200"),11, FALSE),""),"")</f>
        <v/>
      </c>
      <c r="AE16" s="23" t="str">
        <f ca="1">IFERROR(IF(AND(AE$13  &gt;= $AB$33, AE$13 &lt;= $AB$34),VLOOKUP($G$1,INDIRECT("'" &amp;'Caller Portal Instructions'!AF$25&amp;"'!$B$4:$P$200"),11, FALSE),""),"")</f>
        <v/>
      </c>
      <c r="AF16" s="23" t="str">
        <f ca="1">IFERROR(IF(AND(AF$13  &gt;= $AB$33, AF$13 &lt;= $AB$34),VLOOKUP($G$1,INDIRECT("'" &amp;'Caller Portal Instructions'!AG$25&amp;"'!$B$4:$P$200"),11, FALSE),""),"")</f>
        <v/>
      </c>
      <c r="AG16" s="23" t="str">
        <f ca="1">IFERROR(IF(AND(AG$13  &gt;= $AB$33, AG$13 &lt;= $AB$34),VLOOKUP($G$1,INDIRECT("'" &amp;'Caller Portal Instructions'!AH$25&amp;"'!$B$4:$P$200"),11, FALSE),""),"")</f>
        <v/>
      </c>
      <c r="AH16" s="23" t="str">
        <f ca="1">IFERROR(IF(AND(AH$13  &gt;= $AB$33, AH$13 &lt;= $AB$34),VLOOKUP($G$1,INDIRECT("'" &amp;'Caller Portal Instructions'!AI$25&amp;"'!$B$4:$P$200"),11, FALSE),""),"")</f>
        <v/>
      </c>
      <c r="AI16" s="23" t="str">
        <f ca="1">IFERROR(IF(AND(AI$13  &gt;= $AB$33, AI$13 &lt;= $AB$34),VLOOKUP($G$1,INDIRECT("'" &amp;'Caller Portal Instructions'!AJ$25&amp;"'!$B$4:$P$200"),11, FALSE),""),"")</f>
        <v/>
      </c>
      <c r="AJ16" s="23" t="str">
        <f ca="1">IFERROR(IF(AND(AJ$13  &gt;= $AB$33, AJ$13 &lt;= $AB$34),VLOOKUP($G$1,INDIRECT("'" &amp;'Caller Portal Instructions'!AK$25&amp;"'!$B$4:$P$200"),11, FALSE),""),"")</f>
        <v/>
      </c>
      <c r="AK16" s="23" t="str">
        <f ca="1">IFERROR(IF(AND(AK$13  &gt;= $AB$33, AK$13 &lt;= $AB$34),VLOOKUP($G$1,INDIRECT("'" &amp;'Caller Portal Instructions'!AL$25&amp;"'!$B$4:$P$200"),11, FALSE),""),"")</f>
        <v/>
      </c>
      <c r="AL16" s="23" t="str">
        <f ca="1">IFERROR(IF(AND(AL$13  &gt;= $AB$33, AL$13 &lt;= $AB$34),VLOOKUP($G$1,INDIRECT("'" &amp;'Caller Portal Instructions'!AM$25&amp;"'!$B$4:$P$200"),11, FALSE),""),"")</f>
        <v/>
      </c>
      <c r="AM16" s="23" t="str">
        <f ca="1">IFERROR(IF(AND(AM$13  &gt;= $AB$33, AM$13 &lt;= $AB$34),VLOOKUP($G$1,INDIRECT("'" &amp;'Caller Portal Instructions'!AN$25&amp;"'!$B$4:$P$200"),11, FALSE),""),"")</f>
        <v/>
      </c>
      <c r="AN16" s="23" t="str">
        <f ca="1">IFERROR(IF(AND(AN$13  &gt;= $AB$33, AN$13 &lt;= $AB$34),VLOOKUP($G$1,INDIRECT("'" &amp;'Caller Portal Instructions'!AO$25&amp;"'!$B$4:$P$200"),11, FALSE),""),"")</f>
        <v/>
      </c>
      <c r="AO16" s="23" t="str">
        <f ca="1">IFERROR(IF(AND(AO$13  &gt;= $AB$33, AO$13 &lt;= $AB$34),VLOOKUP($G$1,INDIRECT("'" &amp;'Caller Portal Instructions'!AP$25&amp;"'!$B$4:$P$200"),11, FALSE),""),"")</f>
        <v/>
      </c>
      <c r="AP16" s="23" t="str">
        <f ca="1">IFERROR(IF(AND(AP$13  &gt;= $AB$33, AP$13 &lt;= $AB$34),VLOOKUP($G$1,INDIRECT("'" &amp;'Caller Portal Instructions'!AQ$25&amp;"'!$B$4:$P$200"),11, FALSE),""),"")</f>
        <v/>
      </c>
      <c r="AQ16" s="23" t="str">
        <f ca="1">IFERROR(IF(AND(AQ$13  &gt;= $AB$33, AQ$13 &lt;= $AB$34),VLOOKUP($G$1,INDIRECT("'" &amp;'Caller Portal Instructions'!AR$25&amp;"'!$B$4:$P$200"),11, FALSE),""),"")</f>
        <v/>
      </c>
      <c r="AR16" s="23" t="str">
        <f ca="1">IFERROR(IF(AND(AR$13  &gt;= $AB$33, AR$13 &lt;= $AB$34),VLOOKUP($G$1,INDIRECT("'" &amp;'Caller Portal Instructions'!AS$25&amp;"'!$B$4:$P$200"),11, FALSE),""),"")</f>
        <v/>
      </c>
      <c r="AS16" s="23" t="str">
        <f ca="1">IFERROR(IF(AND(AS$13  &gt;= $AB$33, AS$13 &lt;= $AB$34),VLOOKUP($G$1,INDIRECT("'" &amp;'Caller Portal Instructions'!AT$25&amp;"'!$B$4:$P$200"),11, FALSE),""),"")</f>
        <v/>
      </c>
      <c r="AT16" s="23" t="str">
        <f ca="1">IFERROR(IF(AND(AT$13  &gt;= $AB$33, AT$13 &lt;= $AB$34),VLOOKUP($G$1,INDIRECT("'" &amp;'Caller Portal Instructions'!AU$25&amp;"'!$B$4:$P$200"),11, FALSE),""),"")</f>
        <v/>
      </c>
      <c r="AU16" s="23" t="str">
        <f ca="1">IFERROR(IF(AND(AU$13  &gt;= $AB$33, AU$13 &lt;= $AB$34),VLOOKUP($G$1,INDIRECT("'" &amp;'Caller Portal Instructions'!AV$25&amp;"'!$B$4:$P$200"),11, FALSE),""),"")</f>
        <v/>
      </c>
      <c r="AV16" s="23" t="str">
        <f ca="1">IFERROR(IF(AND(AV$13  &gt;= $AB$33, AV$13 &lt;= $AB$34),VLOOKUP($G$1,INDIRECT("'" &amp;'Caller Portal Instructions'!AW$25&amp;"'!$B$4:$P$200"),11, FALSE),""),"")</f>
        <v/>
      </c>
      <c r="AW16" s="23" t="str">
        <f ca="1">IFERROR(IF(AND(AW$13  &gt;= $AB$33, AW$13 &lt;= $AB$34),VLOOKUP($G$1,INDIRECT("'" &amp;'Caller Portal Instructions'!AX$25&amp;"'!$B$4:$P$200"),11, FALSE),""),"")</f>
        <v/>
      </c>
      <c r="AX16" s="23" t="str">
        <f ca="1">IFERROR(IF(AND(AX$13  &gt;= $AB$33, AX$13 &lt;= $AB$34),VLOOKUP($G$1,INDIRECT("'" &amp;'Caller Portal Instructions'!AY$25&amp;"'!$B$4:$P$200"),11, FALSE),""),"")</f>
        <v/>
      </c>
      <c r="AY16" s="23" t="str">
        <f ca="1">IFERROR(IF(AND(AY$13  &gt;= $AB$33, AY$13 &lt;= $AB$34),VLOOKUP($G$1,INDIRECT("'" &amp;'Caller Portal Instructions'!AZ$25&amp;"'!$B$4:$P$200"),11, FALSE),""),"")</f>
        <v/>
      </c>
      <c r="AZ16" s="23" t="str">
        <f ca="1">IFERROR(IF(AND(AZ$13  &gt;= $AB$33, AZ$13 &lt;= $AB$34),VLOOKUP($G$1,INDIRECT("'" &amp;'Caller Portal Instructions'!BA$25&amp;"'!$B$4:$P$200"),11, FALSE),""),"")</f>
        <v/>
      </c>
      <c r="BA16" s="20"/>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URF16"/>
      <c r="URG16"/>
      <c r="URH16"/>
      <c r="URI16"/>
      <c r="URJ16"/>
      <c r="URK16"/>
      <c r="URL16"/>
      <c r="URM16"/>
      <c r="URN16"/>
      <c r="URO16"/>
      <c r="URP16"/>
      <c r="URQ16"/>
      <c r="URR16"/>
      <c r="URS16"/>
      <c r="URT16"/>
      <c r="URU16"/>
      <c r="URV16"/>
      <c r="URW16"/>
      <c r="URX16"/>
      <c r="URY16"/>
      <c r="URZ16"/>
      <c r="USA16"/>
      <c r="USB16"/>
      <c r="USC16"/>
      <c r="USD16"/>
      <c r="USE16"/>
      <c r="USF16"/>
      <c r="USG16"/>
      <c r="USH16"/>
      <c r="USI16"/>
      <c r="USJ16"/>
      <c r="USK16"/>
      <c r="USL16"/>
      <c r="USM16"/>
      <c r="USN16"/>
      <c r="USO16"/>
      <c r="USP16"/>
      <c r="USQ16"/>
      <c r="USR16"/>
      <c r="USS16"/>
      <c r="UST16"/>
      <c r="USU16"/>
      <c r="USV16"/>
      <c r="USW16"/>
      <c r="USX16"/>
      <c r="USY16"/>
      <c r="USZ16"/>
      <c r="UTA16"/>
      <c r="UTB16"/>
      <c r="UTC16"/>
      <c r="UTD16"/>
      <c r="UTE16"/>
      <c r="UTF16"/>
      <c r="UTG16"/>
      <c r="UTH16"/>
      <c r="UTI16"/>
      <c r="UTJ16"/>
      <c r="UTK16"/>
      <c r="UTL16"/>
      <c r="UTM16"/>
      <c r="UTN16"/>
      <c r="UTO16"/>
      <c r="UTP16"/>
      <c r="UTQ16"/>
      <c r="UTR16"/>
      <c r="UTS16"/>
      <c r="UTT16"/>
      <c r="UTU16"/>
      <c r="UTV16"/>
      <c r="UTW16"/>
      <c r="UTX16"/>
      <c r="UTY16"/>
      <c r="UTZ16"/>
      <c r="UUA16"/>
      <c r="UUB16"/>
      <c r="UUC16"/>
      <c r="UUD16"/>
      <c r="UUE16"/>
      <c r="UUF16"/>
      <c r="UUG16"/>
      <c r="UUH16"/>
      <c r="UUI16"/>
      <c r="UUJ16"/>
      <c r="UUK16"/>
      <c r="UUL16"/>
      <c r="UUM16"/>
      <c r="UUN16"/>
      <c r="UUO16"/>
      <c r="UUP16"/>
      <c r="UUQ16"/>
      <c r="UUR16"/>
      <c r="UUS16"/>
      <c r="UUT16"/>
      <c r="UUU16"/>
      <c r="UUV16"/>
      <c r="UUW16"/>
      <c r="UUX16"/>
      <c r="UUY16"/>
      <c r="UUZ16"/>
      <c r="UVA16"/>
      <c r="UVB16"/>
      <c r="UVC16"/>
      <c r="UVD16"/>
      <c r="UVE16"/>
      <c r="UVF16"/>
      <c r="UVG16"/>
      <c r="UVH16"/>
      <c r="UVI16"/>
      <c r="UVJ16"/>
      <c r="UVK16"/>
      <c r="UVL16"/>
      <c r="UVM16"/>
      <c r="UVN16"/>
      <c r="UVO16"/>
      <c r="UVP16"/>
      <c r="UVQ16"/>
      <c r="UVR16"/>
      <c r="UVS16"/>
      <c r="UVT16"/>
      <c r="UVU16"/>
      <c r="UVV16"/>
      <c r="UVW16"/>
      <c r="UVX16"/>
      <c r="UVY16"/>
      <c r="UVZ16"/>
      <c r="UWA16"/>
      <c r="UWB16"/>
      <c r="UWC16"/>
      <c r="UWD16"/>
      <c r="UWE16"/>
      <c r="UWF16"/>
      <c r="UWG16"/>
      <c r="UWH16"/>
      <c r="UWI16"/>
      <c r="UWJ16"/>
      <c r="UWK16"/>
      <c r="UWL16"/>
      <c r="UWM16"/>
      <c r="UWN16"/>
      <c r="UWO16"/>
      <c r="UWP16"/>
      <c r="UWQ16"/>
      <c r="UWR16"/>
      <c r="UWS16"/>
      <c r="UWT16"/>
      <c r="UWU16"/>
      <c r="UWV16"/>
      <c r="UWW16"/>
      <c r="UWX16"/>
      <c r="UWY16"/>
      <c r="UWZ16"/>
      <c r="UXA16"/>
      <c r="UXB16"/>
      <c r="UXC16"/>
      <c r="UXD16"/>
      <c r="UXE16"/>
      <c r="UXF16"/>
      <c r="UXG16"/>
      <c r="UXH16"/>
      <c r="UXI16"/>
      <c r="UXJ16"/>
      <c r="UXK16"/>
      <c r="UXL16"/>
      <c r="UXM16"/>
      <c r="UXN16"/>
      <c r="UXO16"/>
      <c r="UXP16"/>
      <c r="UXQ16"/>
      <c r="UXR16"/>
      <c r="UXS16"/>
      <c r="UXT16"/>
      <c r="UXU16"/>
      <c r="UXV16"/>
      <c r="UXW16"/>
      <c r="UXX16"/>
      <c r="UXY16"/>
      <c r="UXZ16"/>
      <c r="UYA16"/>
      <c r="UYB16"/>
      <c r="UYC16"/>
      <c r="UYD16"/>
      <c r="UYE16"/>
      <c r="UYF16"/>
      <c r="UYG16"/>
      <c r="UYH16"/>
      <c r="UYI16"/>
      <c r="UYJ16"/>
      <c r="UYK16"/>
      <c r="UYL16"/>
      <c r="UYM16"/>
      <c r="UYN16"/>
      <c r="UYO16"/>
      <c r="UYP16"/>
      <c r="UYQ16"/>
      <c r="UYR16"/>
      <c r="UYS16"/>
      <c r="UYT16"/>
      <c r="UYU16"/>
      <c r="UYV16"/>
      <c r="UYW16"/>
      <c r="UYX16"/>
      <c r="UYY16"/>
      <c r="UYZ16"/>
      <c r="UZA16"/>
      <c r="UZB16"/>
      <c r="UZC16"/>
      <c r="UZD16"/>
      <c r="UZE16"/>
      <c r="UZF16"/>
      <c r="UZG16"/>
      <c r="UZH16"/>
      <c r="UZI16"/>
      <c r="UZJ16"/>
      <c r="UZK16"/>
      <c r="UZL16"/>
      <c r="UZM16"/>
      <c r="UZN16"/>
      <c r="UZO16"/>
      <c r="UZP16"/>
      <c r="UZQ16"/>
      <c r="UZR16"/>
      <c r="UZS16"/>
      <c r="UZT16"/>
      <c r="UZU16"/>
      <c r="UZV16"/>
      <c r="UZW16"/>
      <c r="UZX16"/>
      <c r="UZY16"/>
      <c r="UZZ16"/>
      <c r="VAA16"/>
      <c r="VAB16"/>
      <c r="VAC16"/>
      <c r="VAD16"/>
      <c r="VAE16"/>
      <c r="VAF16"/>
      <c r="VAG16"/>
      <c r="VAH16"/>
      <c r="VAI16"/>
      <c r="VAJ16"/>
      <c r="VAK16"/>
      <c r="VAL16"/>
      <c r="VAM16"/>
      <c r="VAN16"/>
      <c r="VAO16"/>
      <c r="VAP16"/>
      <c r="VAQ16"/>
      <c r="VAR16"/>
      <c r="VAS16"/>
      <c r="VAT16"/>
      <c r="VAU16"/>
      <c r="VAV16"/>
      <c r="VAW16"/>
      <c r="VAX16"/>
      <c r="VAY16"/>
      <c r="VAZ16"/>
      <c r="VBA16"/>
      <c r="VBB16"/>
      <c r="VBC16"/>
      <c r="VBD16"/>
      <c r="VBE16"/>
      <c r="VBF16"/>
      <c r="VBG16"/>
      <c r="VBH16"/>
      <c r="VBI16"/>
      <c r="VBJ16"/>
      <c r="VBK16"/>
      <c r="VBL16"/>
      <c r="VBM16"/>
      <c r="VBN16"/>
      <c r="VBO16"/>
      <c r="VBP16"/>
      <c r="VBQ16"/>
      <c r="VBR16"/>
      <c r="VBS16"/>
      <c r="VBT16"/>
      <c r="VBU16"/>
      <c r="VBV16"/>
      <c r="VBW16"/>
      <c r="VBX16"/>
      <c r="VBY16"/>
      <c r="VBZ16"/>
      <c r="VCA16"/>
      <c r="VCB16"/>
      <c r="VCC16"/>
      <c r="VCD16"/>
      <c r="VCE16"/>
      <c r="VCF16"/>
      <c r="VCG16"/>
      <c r="VCH16"/>
      <c r="VCI16"/>
      <c r="VCJ16"/>
      <c r="VCK16"/>
      <c r="VCL16"/>
      <c r="VCM16"/>
      <c r="VCN16"/>
      <c r="VCO16"/>
      <c r="VCP16"/>
      <c r="VCQ16"/>
      <c r="VCR16"/>
      <c r="VCS16"/>
      <c r="VCT16"/>
      <c r="VCU16"/>
      <c r="VCV16"/>
      <c r="VCW16"/>
      <c r="VCX16"/>
      <c r="VCY16"/>
      <c r="VCZ16"/>
      <c r="VDA16"/>
      <c r="VDB16"/>
      <c r="VDC16"/>
      <c r="VDD16"/>
      <c r="VDE16"/>
      <c r="VDF16"/>
      <c r="VDG16"/>
      <c r="VDH16"/>
      <c r="VDI16"/>
      <c r="VDJ16"/>
      <c r="VDK16"/>
      <c r="VDL16"/>
      <c r="VDM16"/>
      <c r="VDN16"/>
      <c r="VDO16"/>
      <c r="VDP16"/>
      <c r="VDQ16"/>
      <c r="VDR16"/>
      <c r="VDS16"/>
      <c r="VDT16"/>
      <c r="VDU16"/>
      <c r="VDV16"/>
      <c r="VDW16"/>
      <c r="VDX16"/>
      <c r="VDY16"/>
      <c r="VDZ16"/>
      <c r="VEA16"/>
      <c r="VEB16"/>
      <c r="VEC16"/>
      <c r="VED16"/>
      <c r="VEE16"/>
      <c r="VEF16"/>
      <c r="VEG16"/>
      <c r="VEH16"/>
      <c r="VEI16"/>
      <c r="VEJ16"/>
      <c r="VEK16"/>
      <c r="VEL16"/>
      <c r="VEM16"/>
      <c r="VEN16"/>
      <c r="VEO16"/>
      <c r="VEP16"/>
      <c r="VEQ16"/>
      <c r="VER16"/>
      <c r="VES16"/>
      <c r="VET16"/>
      <c r="VEU16"/>
      <c r="VEV16"/>
      <c r="VEW16"/>
      <c r="VEX16"/>
      <c r="VEY16"/>
      <c r="VEZ16"/>
      <c r="VFA16"/>
      <c r="VFB16"/>
      <c r="VFC16"/>
      <c r="VFD16"/>
      <c r="VFE16"/>
      <c r="VFF16"/>
      <c r="VFG16"/>
      <c r="VFH16"/>
      <c r="VFI16"/>
      <c r="VFJ16"/>
      <c r="VFK16"/>
      <c r="VFL16"/>
      <c r="VFM16"/>
      <c r="VFN16"/>
      <c r="VFO16"/>
      <c r="VFP16"/>
      <c r="VFQ16"/>
      <c r="VFR16"/>
      <c r="VFS16"/>
      <c r="VFT16"/>
      <c r="VFU16"/>
      <c r="VFV16"/>
      <c r="VFW16"/>
      <c r="VFX16"/>
      <c r="VFY16"/>
      <c r="VFZ16"/>
      <c r="VGA16"/>
      <c r="VGB16"/>
      <c r="VGC16"/>
      <c r="VGD16"/>
      <c r="VGE16"/>
      <c r="VGF16"/>
      <c r="VGG16"/>
      <c r="VGH16"/>
      <c r="VGI16"/>
      <c r="VGJ16"/>
      <c r="VGK16"/>
      <c r="VGL16"/>
      <c r="VGM16"/>
      <c r="VGN16"/>
      <c r="VGO16"/>
      <c r="VGP16"/>
      <c r="VGQ16"/>
      <c r="VGR16"/>
      <c r="VGS16"/>
      <c r="VGT16"/>
      <c r="VGU16"/>
      <c r="VGV16"/>
      <c r="VGW16"/>
      <c r="VGX16"/>
      <c r="VGY16"/>
      <c r="VGZ16"/>
      <c r="VHA16"/>
      <c r="VHB16"/>
      <c r="VHC16"/>
      <c r="VHD16"/>
      <c r="VHE16"/>
      <c r="VHF16"/>
      <c r="VHG16"/>
      <c r="VHH16"/>
      <c r="VHI16"/>
      <c r="VHJ16"/>
      <c r="VHK16"/>
      <c r="VHL16"/>
      <c r="VHM16"/>
      <c r="VHN16"/>
      <c r="VHO16"/>
      <c r="VHP16"/>
      <c r="VHQ16"/>
      <c r="VHR16"/>
      <c r="VHS16"/>
      <c r="VHT16"/>
      <c r="VHU16"/>
      <c r="VHV16"/>
      <c r="VHW16"/>
      <c r="VHX16"/>
      <c r="VHY16"/>
      <c r="VHZ16"/>
      <c r="VIA16"/>
      <c r="VIB16"/>
      <c r="VIC16"/>
      <c r="VID16"/>
      <c r="VIE16"/>
      <c r="VIF16"/>
      <c r="VIG16"/>
      <c r="VIH16"/>
      <c r="VII16"/>
      <c r="VIJ16"/>
      <c r="VIK16"/>
      <c r="VIL16"/>
      <c r="VIM16"/>
      <c r="VIN16"/>
      <c r="VIO16"/>
      <c r="VIP16"/>
      <c r="VIQ16"/>
      <c r="VIR16"/>
      <c r="VIS16"/>
      <c r="VIT16"/>
      <c r="VIU16"/>
      <c r="VIV16"/>
      <c r="VIW16"/>
      <c r="VIX16"/>
      <c r="VIY16"/>
      <c r="VIZ16"/>
      <c r="VJA16"/>
      <c r="VJB16"/>
      <c r="VJC16"/>
      <c r="VJD16"/>
      <c r="VJE16"/>
      <c r="VJF16"/>
      <c r="VJG16"/>
      <c r="VJH16"/>
      <c r="VJI16"/>
      <c r="VJJ16"/>
      <c r="VJK16"/>
      <c r="VJL16"/>
      <c r="VJM16"/>
      <c r="VJN16"/>
      <c r="VJO16"/>
      <c r="VJP16"/>
      <c r="VJQ16"/>
      <c r="VJR16"/>
      <c r="VJS16"/>
      <c r="VJT16"/>
      <c r="VJU16"/>
      <c r="VJV16"/>
      <c r="VJW16"/>
      <c r="VJX16"/>
      <c r="VJY16"/>
      <c r="VJZ16"/>
      <c r="VKA16"/>
      <c r="VKB16"/>
      <c r="VKC16"/>
      <c r="VKD16"/>
      <c r="VKE16"/>
      <c r="VKF16"/>
      <c r="VKG16"/>
      <c r="VKH16"/>
      <c r="VKI16"/>
      <c r="VKJ16"/>
      <c r="VKK16"/>
      <c r="VKL16"/>
      <c r="VKM16"/>
      <c r="VKN16"/>
      <c r="VKO16"/>
      <c r="VKP16"/>
      <c r="VKQ16"/>
      <c r="VKR16"/>
      <c r="VKS16"/>
      <c r="VKT16"/>
      <c r="VKU16"/>
      <c r="VKV16"/>
      <c r="VKW16"/>
      <c r="VKX16"/>
      <c r="VKY16"/>
      <c r="VKZ16"/>
      <c r="VLA16"/>
      <c r="VLB16"/>
      <c r="VLC16"/>
      <c r="VLD16"/>
      <c r="VLE16"/>
      <c r="VLF16"/>
      <c r="VLG16"/>
      <c r="VLH16"/>
      <c r="VLI16"/>
      <c r="VLJ16"/>
      <c r="VLK16"/>
      <c r="VLL16"/>
      <c r="VLM16"/>
      <c r="VLN16"/>
      <c r="VLO16"/>
      <c r="VLP16"/>
      <c r="VLQ16"/>
      <c r="VLR16"/>
      <c r="VLS16"/>
      <c r="VLT16"/>
      <c r="VLU16"/>
      <c r="VLV16"/>
      <c r="VLW16"/>
      <c r="VLX16"/>
      <c r="VLY16"/>
      <c r="VLZ16"/>
      <c r="VMA16"/>
      <c r="VMB16"/>
      <c r="VMC16"/>
      <c r="VMD16"/>
      <c r="VME16"/>
      <c r="VMF16"/>
      <c r="VMG16"/>
      <c r="VMH16"/>
      <c r="VMI16"/>
      <c r="VMJ16"/>
      <c r="VMK16"/>
      <c r="VML16"/>
      <c r="VMM16"/>
      <c r="VMN16"/>
      <c r="VMO16"/>
      <c r="VMP16"/>
      <c r="VMQ16"/>
      <c r="VMR16"/>
      <c r="VMS16"/>
      <c r="VMT16"/>
      <c r="VMU16"/>
      <c r="VMV16"/>
      <c r="VMW16"/>
      <c r="VMX16"/>
      <c r="VMY16"/>
      <c r="VMZ16"/>
      <c r="VNA16"/>
      <c r="VNB16"/>
      <c r="VNC16"/>
      <c r="VND16"/>
      <c r="VNE16"/>
      <c r="VNF16"/>
      <c r="VNG16"/>
      <c r="VNH16"/>
      <c r="VNI16"/>
      <c r="VNJ16"/>
      <c r="VNK16"/>
      <c r="VNL16"/>
      <c r="VNM16"/>
      <c r="VNN16"/>
      <c r="VNO16"/>
      <c r="VNP16"/>
      <c r="VNQ16"/>
      <c r="VNR16"/>
      <c r="VNS16"/>
      <c r="VNT16"/>
      <c r="VNU16"/>
      <c r="VNV16"/>
      <c r="VNW16"/>
      <c r="VNX16"/>
      <c r="VNY16"/>
      <c r="VNZ16"/>
      <c r="VOA16"/>
      <c r="VOB16"/>
      <c r="VOC16"/>
      <c r="VOD16"/>
      <c r="VOE16"/>
      <c r="VOF16"/>
      <c r="VOG16"/>
      <c r="VOH16"/>
      <c r="VOI16"/>
      <c r="VOJ16"/>
      <c r="VOK16"/>
      <c r="VOL16"/>
      <c r="VOM16"/>
      <c r="VON16"/>
      <c r="VOO16"/>
      <c r="VOP16"/>
      <c r="VOQ16"/>
      <c r="VOR16"/>
      <c r="VOS16"/>
      <c r="VOT16"/>
      <c r="VOU16"/>
      <c r="VOV16"/>
      <c r="VOW16"/>
      <c r="VOX16"/>
      <c r="VOY16"/>
      <c r="VOZ16"/>
      <c r="VPA16"/>
      <c r="VPB16"/>
      <c r="VPC16"/>
      <c r="VPD16"/>
      <c r="VPE16"/>
      <c r="VPF16"/>
      <c r="VPG16"/>
      <c r="VPH16"/>
      <c r="VPI16"/>
      <c r="VPJ16"/>
      <c r="VPK16"/>
      <c r="VPL16"/>
      <c r="VPM16"/>
      <c r="VPN16"/>
      <c r="VPO16"/>
      <c r="VPP16"/>
      <c r="VPQ16"/>
      <c r="VPR16"/>
      <c r="VPS16"/>
      <c r="VPT16"/>
      <c r="VPU16"/>
      <c r="VPV16"/>
      <c r="VPW16"/>
      <c r="VPX16"/>
      <c r="VPY16"/>
      <c r="VPZ16"/>
      <c r="VQA16"/>
      <c r="VQB16"/>
      <c r="VQC16"/>
      <c r="VQD16"/>
      <c r="VQE16"/>
      <c r="VQF16"/>
      <c r="VQG16"/>
      <c r="VQH16"/>
      <c r="VQI16"/>
      <c r="VQJ16"/>
      <c r="VQK16"/>
      <c r="VQL16"/>
      <c r="VQM16"/>
      <c r="VQN16"/>
      <c r="VQO16"/>
      <c r="VQP16"/>
      <c r="VQQ16"/>
      <c r="VQR16"/>
      <c r="VQS16"/>
      <c r="VQT16"/>
      <c r="VQU16"/>
      <c r="VQV16"/>
      <c r="VQW16"/>
      <c r="VQX16"/>
      <c r="VQY16"/>
      <c r="VQZ16"/>
      <c r="VRA16"/>
      <c r="VRB16"/>
      <c r="VRC16"/>
      <c r="VRD16"/>
      <c r="VRE16"/>
      <c r="VRF16"/>
      <c r="VRG16"/>
      <c r="VRH16"/>
      <c r="VRI16"/>
      <c r="VRJ16"/>
      <c r="VRK16"/>
      <c r="VRL16"/>
      <c r="VRM16"/>
      <c r="VRN16"/>
      <c r="VRO16"/>
      <c r="VRP16"/>
      <c r="VRQ16"/>
      <c r="VRR16"/>
      <c r="VRS16"/>
      <c r="VRT16"/>
      <c r="VRU16"/>
      <c r="VRV16"/>
      <c r="VRW16"/>
      <c r="VRX16"/>
      <c r="VRY16"/>
      <c r="VRZ16"/>
      <c r="VSA16"/>
      <c r="VSB16"/>
      <c r="VSC16"/>
      <c r="VSD16"/>
      <c r="VSE16"/>
      <c r="VSF16"/>
      <c r="VSG16"/>
      <c r="VSH16"/>
      <c r="VSI16"/>
      <c r="VSJ16"/>
      <c r="VSK16"/>
      <c r="VSL16"/>
      <c r="VSM16"/>
      <c r="VSN16"/>
      <c r="VSO16"/>
      <c r="VSP16"/>
      <c r="VSQ16"/>
      <c r="VSR16"/>
      <c r="VSS16"/>
      <c r="VST16"/>
      <c r="VSU16"/>
      <c r="VSV16"/>
      <c r="VSW16"/>
      <c r="VSX16"/>
      <c r="VSY16"/>
      <c r="VSZ16"/>
      <c r="VTA16"/>
      <c r="VTB16"/>
      <c r="VTC16"/>
      <c r="VTD16"/>
      <c r="VTE16"/>
      <c r="VTF16"/>
      <c r="VTG16"/>
      <c r="VTH16"/>
      <c r="VTI16"/>
      <c r="VTJ16"/>
      <c r="VTK16"/>
      <c r="VTL16"/>
      <c r="VTM16"/>
      <c r="VTN16"/>
      <c r="VTO16"/>
      <c r="VTP16"/>
      <c r="VTQ16"/>
      <c r="VTR16"/>
      <c r="VTS16"/>
      <c r="VTT16"/>
      <c r="VTU16"/>
      <c r="VTV16"/>
      <c r="VTW16"/>
      <c r="VTX16"/>
      <c r="VTY16"/>
      <c r="VTZ16"/>
      <c r="VUA16"/>
      <c r="VUB16"/>
      <c r="VUC16"/>
      <c r="VUD16"/>
      <c r="VUE16"/>
      <c r="VUF16"/>
      <c r="VUG16"/>
      <c r="VUH16"/>
      <c r="VUI16"/>
      <c r="VUJ16"/>
      <c r="VUK16"/>
      <c r="VUL16"/>
      <c r="VUM16"/>
      <c r="VUN16"/>
      <c r="VUO16"/>
      <c r="VUP16"/>
      <c r="VUQ16"/>
      <c r="VUR16"/>
      <c r="VUS16"/>
      <c r="VUT16"/>
      <c r="VUU16"/>
      <c r="VUV16"/>
      <c r="VUW16"/>
      <c r="VUX16"/>
      <c r="VUY16"/>
      <c r="VUZ16"/>
      <c r="VVA16"/>
      <c r="VVB16"/>
      <c r="VVC16"/>
      <c r="VVD16"/>
      <c r="VVE16"/>
      <c r="VVF16"/>
      <c r="VVG16"/>
      <c r="VVH16"/>
      <c r="VVI16"/>
      <c r="VVJ16"/>
      <c r="VVK16"/>
      <c r="VVL16"/>
      <c r="VVM16"/>
      <c r="VVN16"/>
      <c r="VVO16"/>
      <c r="VVP16"/>
      <c r="VVQ16"/>
      <c r="VVR16"/>
      <c r="VVS16"/>
      <c r="VVT16"/>
      <c r="VVU16"/>
      <c r="VVV16"/>
      <c r="VVW16"/>
      <c r="VVX16"/>
      <c r="VVY16"/>
      <c r="VVZ16"/>
      <c r="VWA16"/>
      <c r="VWB16"/>
      <c r="VWC16"/>
      <c r="VWD16"/>
      <c r="VWE16"/>
      <c r="VWF16"/>
      <c r="VWG16"/>
      <c r="VWH16"/>
      <c r="VWI16"/>
      <c r="VWJ16"/>
      <c r="VWK16"/>
      <c r="VWL16"/>
      <c r="VWM16"/>
      <c r="VWN16"/>
      <c r="VWO16"/>
      <c r="VWP16"/>
      <c r="VWQ16"/>
      <c r="VWR16"/>
      <c r="VWS16"/>
      <c r="VWT16"/>
      <c r="VWU16"/>
      <c r="VWV16"/>
      <c r="VWW16"/>
      <c r="VWX16"/>
      <c r="VWY16"/>
      <c r="VWZ16"/>
      <c r="VXA16"/>
      <c r="VXB16"/>
      <c r="VXC16"/>
      <c r="VXD16"/>
      <c r="VXE16"/>
      <c r="VXF16"/>
      <c r="VXG16"/>
      <c r="VXH16"/>
      <c r="VXI16"/>
      <c r="VXJ16"/>
      <c r="VXK16"/>
      <c r="VXL16"/>
      <c r="VXM16"/>
      <c r="VXN16"/>
      <c r="VXO16"/>
      <c r="VXP16"/>
      <c r="VXQ16"/>
      <c r="VXR16"/>
      <c r="VXS16"/>
      <c r="VXT16"/>
      <c r="VXU16"/>
      <c r="VXV16"/>
      <c r="VXW16"/>
      <c r="VXX16"/>
      <c r="VXY16"/>
      <c r="VXZ16"/>
      <c r="VYA16"/>
      <c r="VYB16"/>
      <c r="VYC16"/>
      <c r="VYD16"/>
      <c r="VYE16"/>
      <c r="VYF16"/>
      <c r="VYG16"/>
      <c r="VYH16"/>
      <c r="VYI16"/>
      <c r="VYJ16"/>
      <c r="VYK16"/>
      <c r="VYL16"/>
      <c r="VYM16"/>
      <c r="VYN16"/>
      <c r="VYO16"/>
      <c r="VYP16"/>
      <c r="VYQ16"/>
      <c r="VYR16"/>
      <c r="VYS16"/>
      <c r="VYT16"/>
      <c r="VYU16"/>
      <c r="VYV16"/>
      <c r="VYW16"/>
      <c r="VYX16"/>
      <c r="VYY16"/>
      <c r="VYZ16"/>
      <c r="VZA16"/>
      <c r="VZB16"/>
      <c r="VZC16"/>
      <c r="VZD16"/>
      <c r="VZE16"/>
      <c r="VZF16"/>
      <c r="VZG16"/>
      <c r="VZH16"/>
      <c r="VZI16"/>
      <c r="VZJ16"/>
      <c r="VZK16"/>
      <c r="VZL16"/>
      <c r="VZM16"/>
      <c r="VZN16"/>
      <c r="VZO16"/>
      <c r="VZP16"/>
      <c r="VZQ16"/>
      <c r="VZR16"/>
      <c r="VZS16"/>
      <c r="VZT16"/>
      <c r="VZU16"/>
      <c r="VZV16"/>
      <c r="VZW16"/>
      <c r="VZX16"/>
      <c r="VZY16"/>
      <c r="VZZ16"/>
      <c r="WAA16"/>
      <c r="WAB16"/>
      <c r="WAC16"/>
      <c r="WAD16"/>
      <c r="WAE16"/>
      <c r="WAF16"/>
      <c r="WAG16"/>
      <c r="WAH16"/>
      <c r="WAI16"/>
      <c r="WAJ16"/>
      <c r="WAK16"/>
      <c r="WAL16"/>
      <c r="WAM16"/>
      <c r="WAN16"/>
      <c r="WAO16"/>
      <c r="WAP16"/>
      <c r="WAQ16"/>
      <c r="WAR16"/>
      <c r="WAS16"/>
      <c r="WAT16"/>
      <c r="WAU16"/>
      <c r="WAV16"/>
      <c r="WAW16"/>
      <c r="WAX16"/>
      <c r="WAY16"/>
      <c r="WAZ16"/>
      <c r="WBA16"/>
      <c r="WBB16"/>
      <c r="WBC16"/>
      <c r="WBD16"/>
      <c r="WBE16"/>
      <c r="WBF16"/>
      <c r="WBG16"/>
      <c r="WBH16"/>
      <c r="WBI16"/>
      <c r="WBJ16"/>
      <c r="WBK16"/>
      <c r="WBL16"/>
      <c r="WBM16"/>
      <c r="WBN16"/>
      <c r="WBO16"/>
      <c r="WBP16"/>
      <c r="WBQ16"/>
      <c r="WBR16"/>
      <c r="WBS16"/>
      <c r="WBT16"/>
      <c r="WBU16"/>
      <c r="WBV16"/>
      <c r="WBW16"/>
      <c r="WBX16"/>
      <c r="WBY16"/>
      <c r="WBZ16"/>
      <c r="WCA16"/>
      <c r="WCB16"/>
      <c r="WCC16"/>
      <c r="WCD16"/>
      <c r="WCE16"/>
      <c r="WCF16"/>
      <c r="WCG16"/>
      <c r="WCH16"/>
      <c r="WCI16"/>
      <c r="WCJ16"/>
      <c r="WCK16"/>
      <c r="WCL16"/>
      <c r="WCM16"/>
      <c r="WCN16"/>
      <c r="WCO16"/>
      <c r="WCP16"/>
      <c r="WCQ16"/>
      <c r="WCR16"/>
      <c r="WCS16"/>
      <c r="WCT16"/>
      <c r="WCU16"/>
      <c r="WCV16"/>
      <c r="WCW16"/>
      <c r="WCX16"/>
      <c r="WCY16"/>
      <c r="WCZ16"/>
      <c r="WDA16"/>
      <c r="WDB16"/>
      <c r="WDC16"/>
      <c r="WDD16"/>
      <c r="WDE16"/>
      <c r="WDF16"/>
      <c r="WDG16"/>
      <c r="WDH16"/>
      <c r="WDI16"/>
      <c r="WDJ16"/>
      <c r="WDK16"/>
      <c r="WDL16"/>
      <c r="WDM16"/>
      <c r="WDN16"/>
      <c r="WDO16"/>
      <c r="WDP16"/>
      <c r="WDQ16"/>
      <c r="WDR16"/>
      <c r="WDS16"/>
      <c r="WDT16"/>
      <c r="WDU16"/>
      <c r="WDV16"/>
      <c r="WDW16"/>
      <c r="WDX16"/>
      <c r="WDY16"/>
      <c r="WDZ16"/>
      <c r="WEA16"/>
      <c r="WEB16"/>
      <c r="WEC16"/>
      <c r="WED16"/>
      <c r="WEE16"/>
      <c r="WEF16"/>
      <c r="WEG16"/>
      <c r="WEH16"/>
      <c r="WEI16"/>
      <c r="WEJ16"/>
      <c r="WEK16"/>
      <c r="WEL16"/>
      <c r="WEM16"/>
      <c r="WEN16"/>
      <c r="WEO16"/>
      <c r="WEP16"/>
      <c r="WEQ16"/>
      <c r="WER16"/>
      <c r="WES16"/>
      <c r="WET16"/>
      <c r="WEU16"/>
      <c r="WEV16"/>
      <c r="WEW16"/>
      <c r="WEX16"/>
      <c r="WEY16"/>
      <c r="WEZ16"/>
      <c r="WFA16"/>
      <c r="WFB16"/>
      <c r="WFC16"/>
      <c r="WFD16"/>
      <c r="WFE16"/>
      <c r="WFF16"/>
      <c r="WFG16"/>
      <c r="WFH16"/>
      <c r="WFI16"/>
      <c r="WFJ16"/>
      <c r="WFK16"/>
      <c r="WFL16"/>
      <c r="WFM16"/>
      <c r="WFN16"/>
      <c r="WFO16"/>
      <c r="WFP16"/>
      <c r="WFQ16"/>
      <c r="WFR16"/>
      <c r="WFS16"/>
      <c r="WFT16"/>
      <c r="WFU16"/>
      <c r="WFV16"/>
      <c r="WFW16"/>
      <c r="WFX16"/>
      <c r="WFY16"/>
      <c r="WFZ16"/>
      <c r="WGA16"/>
      <c r="WGB16"/>
      <c r="WGC16"/>
      <c r="WGD16"/>
      <c r="WGE16"/>
      <c r="WGF16"/>
      <c r="WGG16"/>
      <c r="WGH16"/>
      <c r="WGI16"/>
      <c r="WGJ16"/>
      <c r="WGK16"/>
      <c r="WGL16"/>
      <c r="WGM16"/>
      <c r="WGN16"/>
      <c r="WGO16"/>
      <c r="WGP16"/>
      <c r="WGQ16"/>
      <c r="WGR16"/>
      <c r="WGS16"/>
      <c r="WGT16"/>
      <c r="WGU16"/>
      <c r="WGV16"/>
      <c r="WGW16"/>
      <c r="WGX16"/>
      <c r="WGY16"/>
      <c r="WGZ16"/>
      <c r="WHA16"/>
      <c r="WHB16"/>
      <c r="WHC16"/>
      <c r="WHD16"/>
      <c r="WHE16"/>
      <c r="WHF16"/>
      <c r="WHG16"/>
      <c r="WHH16"/>
      <c r="WHI16"/>
      <c r="WHJ16"/>
      <c r="WHK16"/>
      <c r="WHL16"/>
      <c r="WHM16"/>
      <c r="WHN16"/>
      <c r="WHO16"/>
      <c r="WHP16"/>
      <c r="WHQ16"/>
      <c r="WHR16"/>
      <c r="WHS16"/>
      <c r="WHT16"/>
      <c r="WHU16"/>
      <c r="WHV16"/>
      <c r="WHW16"/>
      <c r="WHX16"/>
      <c r="WHY16"/>
      <c r="WHZ16"/>
      <c r="WIA16"/>
      <c r="WIB16"/>
      <c r="WIC16"/>
      <c r="WID16"/>
      <c r="WIE16"/>
      <c r="WIF16"/>
      <c r="WIG16"/>
      <c r="WIH16"/>
      <c r="WII16"/>
      <c r="WIJ16"/>
      <c r="WIK16"/>
      <c r="WIL16"/>
      <c r="WIM16"/>
      <c r="WIN16"/>
      <c r="WIO16"/>
      <c r="WIP16"/>
      <c r="WIQ16"/>
      <c r="WIR16"/>
      <c r="WIS16"/>
      <c r="WIT16"/>
      <c r="WIU16"/>
      <c r="WIV16"/>
      <c r="WIW16"/>
      <c r="WIX16"/>
      <c r="WIY16"/>
      <c r="WIZ16"/>
      <c r="WJA16"/>
      <c r="WJB16"/>
      <c r="WJC16"/>
      <c r="WJD16"/>
      <c r="WJE16"/>
      <c r="WJF16"/>
      <c r="WJG16"/>
      <c r="WJH16"/>
      <c r="WJI16"/>
      <c r="WJJ16"/>
      <c r="WJK16"/>
      <c r="WJL16"/>
      <c r="WJM16"/>
      <c r="WJN16"/>
      <c r="WJO16"/>
      <c r="WJP16"/>
      <c r="WJQ16"/>
      <c r="WJR16"/>
      <c r="WJS16"/>
      <c r="WJT16"/>
      <c r="WJU16"/>
      <c r="WJV16"/>
      <c r="WJW16"/>
      <c r="WJX16"/>
      <c r="WJY16"/>
      <c r="WJZ16"/>
      <c r="WKA16"/>
      <c r="WKB16"/>
      <c r="WKC16"/>
      <c r="WKD16"/>
      <c r="WKE16"/>
      <c r="WKF16"/>
      <c r="WKG16"/>
      <c r="WKH16"/>
      <c r="WKI16"/>
      <c r="WKJ16"/>
      <c r="WKK16"/>
      <c r="WKL16"/>
      <c r="WKM16"/>
      <c r="WKN16"/>
      <c r="WKO16"/>
      <c r="WKP16"/>
      <c r="WKQ16"/>
      <c r="WKR16"/>
      <c r="WKS16"/>
      <c r="WKT16"/>
      <c r="WKU16"/>
      <c r="WKV16"/>
      <c r="WKW16"/>
      <c r="WKX16"/>
      <c r="WKY16"/>
      <c r="WKZ16"/>
      <c r="WLA16"/>
      <c r="WLB16"/>
      <c r="WLC16"/>
      <c r="WLD16"/>
      <c r="WLE16"/>
      <c r="WLF16"/>
      <c r="WLG16"/>
      <c r="WLH16"/>
      <c r="WLI16"/>
      <c r="WLJ16"/>
      <c r="WLK16"/>
      <c r="WLL16"/>
      <c r="WLM16"/>
      <c r="WLN16"/>
      <c r="WLO16"/>
      <c r="WLP16"/>
      <c r="WLQ16"/>
      <c r="WLR16"/>
      <c r="WLS16"/>
      <c r="WLT16"/>
      <c r="WLU16"/>
      <c r="WLV16"/>
      <c r="WLW16"/>
      <c r="WLX16"/>
      <c r="WLY16"/>
      <c r="WLZ16"/>
      <c r="WMA16"/>
      <c r="WMB16"/>
      <c r="WMC16"/>
      <c r="WMD16"/>
      <c r="WME16"/>
      <c r="WMF16"/>
      <c r="WMG16"/>
      <c r="WMH16"/>
      <c r="WMI16"/>
      <c r="WMJ16"/>
      <c r="WMK16"/>
      <c r="WML16"/>
      <c r="WMM16"/>
      <c r="WMN16"/>
      <c r="WMO16"/>
      <c r="WMP16"/>
      <c r="WMQ16"/>
      <c r="WMR16"/>
      <c r="WMS16"/>
      <c r="WMT16"/>
      <c r="WMU16"/>
      <c r="WMV16"/>
      <c r="WMW16"/>
      <c r="WMX16"/>
      <c r="WMY16"/>
      <c r="WMZ16"/>
      <c r="WNA16"/>
      <c r="WNB16"/>
      <c r="WNC16"/>
      <c r="WND16"/>
      <c r="WNE16"/>
      <c r="WNF16"/>
      <c r="WNG16"/>
      <c r="WNH16"/>
      <c r="WNI16"/>
      <c r="WNJ16"/>
      <c r="WNK16"/>
      <c r="WNL16"/>
      <c r="WNM16"/>
      <c r="WNN16"/>
      <c r="WNO16"/>
      <c r="WNP16"/>
      <c r="WNQ16"/>
      <c r="WNR16"/>
      <c r="WNS16"/>
      <c r="WNT16"/>
      <c r="WNU16"/>
      <c r="WNV16"/>
      <c r="WNW16"/>
      <c r="WNX16"/>
      <c r="WNY16"/>
      <c r="WNZ16"/>
      <c r="WOA16"/>
      <c r="WOB16"/>
      <c r="WOC16"/>
      <c r="WOD16"/>
      <c r="WOE16"/>
      <c r="WOF16"/>
      <c r="WOG16"/>
      <c r="WOH16"/>
      <c r="WOI16"/>
      <c r="WOJ16"/>
      <c r="WOK16"/>
      <c r="WOL16"/>
      <c r="WOM16"/>
      <c r="WON16"/>
      <c r="WOO16"/>
      <c r="WOP16"/>
      <c r="WOQ16"/>
      <c r="WOR16"/>
      <c r="WOS16"/>
      <c r="WOT16"/>
      <c r="WOU16"/>
      <c r="WOV16"/>
      <c r="WOW16"/>
      <c r="WOX16"/>
      <c r="WOY16"/>
      <c r="WOZ16"/>
      <c r="WPA16"/>
      <c r="WPB16"/>
      <c r="WPC16"/>
      <c r="WPD16"/>
      <c r="WPE16"/>
      <c r="WPF16"/>
      <c r="WPG16"/>
      <c r="WPH16"/>
      <c r="WPI16"/>
      <c r="WPJ16"/>
      <c r="WPK16"/>
      <c r="WPL16"/>
      <c r="WPM16"/>
      <c r="WPN16"/>
      <c r="WPO16"/>
      <c r="WPP16"/>
      <c r="WPQ16"/>
      <c r="WPR16"/>
      <c r="WPS16"/>
      <c r="WPT16"/>
      <c r="WPU16"/>
      <c r="WPV16"/>
      <c r="WPW16"/>
      <c r="WPX16"/>
      <c r="WPY16"/>
      <c r="WPZ16"/>
      <c r="WQA16"/>
      <c r="WQB16"/>
      <c r="WQC16"/>
      <c r="WQD16"/>
      <c r="WQE16"/>
      <c r="WQF16"/>
      <c r="WQG16"/>
      <c r="WQH16"/>
      <c r="WQI16"/>
      <c r="WQJ16"/>
      <c r="WQK16"/>
      <c r="WQL16"/>
      <c r="WQM16"/>
      <c r="WQN16"/>
      <c r="WQO16"/>
      <c r="WQP16"/>
      <c r="WQQ16"/>
      <c r="WQR16"/>
      <c r="WQS16"/>
      <c r="WQT16"/>
      <c r="WQU16"/>
      <c r="WQV16"/>
      <c r="WQW16"/>
      <c r="WQX16"/>
      <c r="WQY16"/>
      <c r="WQZ16"/>
      <c r="WRA16"/>
      <c r="WRB16"/>
      <c r="WRC16"/>
      <c r="WRD16"/>
      <c r="WRE16"/>
      <c r="WRF16"/>
      <c r="WRG16"/>
      <c r="WRH16"/>
      <c r="WRI16"/>
      <c r="WRJ16"/>
      <c r="WRK16"/>
      <c r="WRL16"/>
      <c r="WRM16"/>
      <c r="WRN16"/>
      <c r="WRO16"/>
      <c r="WRP16"/>
      <c r="WRQ16"/>
      <c r="WRR16"/>
      <c r="WRS16"/>
      <c r="WRT16"/>
      <c r="WRU16"/>
      <c r="WRV16"/>
      <c r="WRW16"/>
      <c r="WRX16"/>
      <c r="WRY16"/>
      <c r="WRZ16"/>
      <c r="WSA16"/>
      <c r="WSB16"/>
      <c r="WSC16"/>
      <c r="WSD16"/>
      <c r="WSE16"/>
      <c r="WSF16"/>
      <c r="WSG16"/>
      <c r="WSH16"/>
      <c r="WSI16"/>
      <c r="WSJ16"/>
      <c r="WSK16"/>
      <c r="WSL16"/>
      <c r="WSM16"/>
      <c r="WSN16"/>
      <c r="WSO16"/>
      <c r="WSP16"/>
      <c r="WSQ16"/>
      <c r="WSR16"/>
      <c r="WSS16"/>
      <c r="WST16"/>
      <c r="WSU16"/>
      <c r="WSV16"/>
      <c r="WSW16"/>
      <c r="WSX16"/>
      <c r="WSY16"/>
      <c r="WSZ16"/>
      <c r="WTA16"/>
      <c r="WTB16"/>
      <c r="WTC16"/>
      <c r="WTD16"/>
      <c r="WTE16"/>
      <c r="WTF16"/>
      <c r="WTG16"/>
      <c r="WTH16"/>
      <c r="WTI16"/>
      <c r="WTJ16"/>
      <c r="WTK16"/>
      <c r="WTL16"/>
      <c r="WTM16"/>
      <c r="WTN16"/>
      <c r="WTO16"/>
      <c r="WTP16"/>
      <c r="WTQ16"/>
      <c r="WTR16"/>
      <c r="WTS16"/>
      <c r="WTT16"/>
      <c r="WTU16"/>
      <c r="WTV16"/>
      <c r="WTW16"/>
      <c r="WTX16"/>
      <c r="WTY16"/>
      <c r="WTZ16"/>
      <c r="WUA16"/>
      <c r="WUB16"/>
      <c r="WUC16"/>
      <c r="WUD16"/>
      <c r="WUE16"/>
      <c r="WUF16"/>
      <c r="WUG16"/>
      <c r="WUH16"/>
      <c r="WUI16"/>
      <c r="WUJ16"/>
      <c r="WUK16"/>
      <c r="WUL16"/>
      <c r="WUM16"/>
      <c r="WUN16"/>
      <c r="WUO16"/>
      <c r="WUP16"/>
      <c r="WUQ16"/>
      <c r="WUR16"/>
      <c r="WUS16"/>
      <c r="WUT16"/>
      <c r="WUU16"/>
      <c r="WUV16"/>
      <c r="WUW16"/>
      <c r="WUX16"/>
      <c r="WUY16"/>
      <c r="WUZ16"/>
      <c r="WVA16"/>
      <c r="WVB16"/>
      <c r="WVC16"/>
      <c r="WVD16"/>
      <c r="WVE16"/>
      <c r="WVF16"/>
      <c r="WVG16"/>
      <c r="WVH16"/>
      <c r="WVI16"/>
      <c r="WVJ16"/>
      <c r="WVK16"/>
      <c r="WVL16"/>
      <c r="WVM16"/>
      <c r="WVN16"/>
      <c r="WVO16"/>
      <c r="WVP16"/>
      <c r="WVQ16"/>
      <c r="WVR16"/>
      <c r="WVS16"/>
      <c r="WVT16"/>
      <c r="WVU16"/>
      <c r="WVV16"/>
      <c r="WVW16"/>
      <c r="WVX16"/>
      <c r="WVY16"/>
      <c r="WVZ16"/>
      <c r="WWA16"/>
      <c r="WWB16"/>
      <c r="WWC16"/>
      <c r="WWD16"/>
      <c r="WWE16"/>
      <c r="WWF16"/>
      <c r="WWG16"/>
      <c r="WWH16"/>
      <c r="WWI16"/>
      <c r="WWJ16"/>
      <c r="WWK16"/>
      <c r="WWL16"/>
      <c r="WWM16"/>
      <c r="WWN16"/>
      <c r="WWO16"/>
      <c r="WWP16"/>
      <c r="WWQ16"/>
      <c r="WWR16"/>
      <c r="WWS16"/>
      <c r="WWT16"/>
      <c r="WWU16"/>
      <c r="WWV16"/>
      <c r="WWW16"/>
      <c r="WWX16"/>
      <c r="WWY16"/>
      <c r="WWZ16"/>
      <c r="WXA16"/>
      <c r="WXB16"/>
      <c r="WXC16"/>
      <c r="WXD16"/>
      <c r="WXE16"/>
      <c r="WXF16"/>
      <c r="WXG16"/>
      <c r="WXH16"/>
      <c r="WXI16"/>
      <c r="WXJ16"/>
      <c r="WXK16"/>
      <c r="WXL16"/>
      <c r="WXM16"/>
      <c r="WXN16"/>
      <c r="WXO16"/>
      <c r="WXP16"/>
      <c r="WXQ16"/>
      <c r="WXR16"/>
      <c r="WXS16"/>
      <c r="WXT16"/>
      <c r="WXU16"/>
      <c r="WXV16"/>
      <c r="WXW16"/>
      <c r="WXX16"/>
      <c r="WXY16"/>
      <c r="WXZ16"/>
      <c r="WYA16"/>
      <c r="WYB16"/>
      <c r="WYC16"/>
      <c r="WYD16"/>
      <c r="WYE16"/>
      <c r="WYF16"/>
      <c r="WYG16"/>
      <c r="WYH16"/>
      <c r="WYI16"/>
      <c r="WYJ16"/>
      <c r="WYK16"/>
      <c r="WYL16"/>
      <c r="WYM16"/>
      <c r="WYN16"/>
      <c r="WYO16"/>
      <c r="WYP16"/>
      <c r="WYQ16"/>
      <c r="WYR16"/>
      <c r="WYS16"/>
      <c r="WYT16"/>
      <c r="WYU16"/>
      <c r="WYV16"/>
      <c r="WYW16"/>
      <c r="WYX16"/>
      <c r="WYY16"/>
      <c r="WYZ16"/>
      <c r="WZA16"/>
      <c r="WZB16"/>
      <c r="WZC16"/>
      <c r="WZD16"/>
      <c r="WZE16"/>
      <c r="WZF16"/>
      <c r="WZG16"/>
      <c r="WZH16"/>
      <c r="WZI16"/>
      <c r="WZJ16"/>
      <c r="WZK16"/>
      <c r="WZL16"/>
      <c r="WZM16"/>
      <c r="WZN16"/>
      <c r="WZO16"/>
      <c r="WZP16"/>
      <c r="WZQ16"/>
      <c r="WZR16"/>
      <c r="WZS16"/>
      <c r="WZT16"/>
      <c r="WZU16"/>
      <c r="WZV16"/>
      <c r="WZW16"/>
      <c r="WZX16"/>
      <c r="WZY16"/>
      <c r="WZZ16"/>
      <c r="XAA16"/>
      <c r="XAB16"/>
      <c r="XAC16"/>
      <c r="XAD16"/>
      <c r="XAE16"/>
      <c r="XAF16"/>
      <c r="XAG16"/>
      <c r="XAH16"/>
      <c r="XAI16"/>
      <c r="XAJ16"/>
      <c r="XAK16"/>
      <c r="XAL16"/>
      <c r="XAM16"/>
      <c r="XAN16"/>
      <c r="XAO16"/>
      <c r="XAP16"/>
      <c r="XAQ16"/>
      <c r="XAR16"/>
      <c r="XAS16"/>
      <c r="XAT16"/>
      <c r="XAU16"/>
      <c r="XAV16"/>
      <c r="XAW16"/>
      <c r="XAX16"/>
      <c r="XAY16"/>
      <c r="XAZ16"/>
      <c r="XBA16"/>
      <c r="XBB16"/>
      <c r="XBC16"/>
      <c r="XBD16"/>
      <c r="XBE16"/>
      <c r="XBF16"/>
      <c r="XBG16"/>
      <c r="XBH16"/>
      <c r="XBI16"/>
      <c r="XBJ16"/>
      <c r="XBK16"/>
      <c r="XBL16"/>
      <c r="XBM16"/>
      <c r="XBN16"/>
      <c r="XBO16"/>
      <c r="XBP16"/>
      <c r="XBQ16"/>
      <c r="XBR16"/>
      <c r="XBS16"/>
      <c r="XBT16"/>
      <c r="XBU16"/>
      <c r="XBV16"/>
      <c r="XBW16"/>
      <c r="XBX16"/>
      <c r="XBY16"/>
      <c r="XBZ16"/>
      <c r="XCA16"/>
      <c r="XCB16"/>
      <c r="XCC16"/>
      <c r="XCD16"/>
      <c r="XCE16"/>
      <c r="XCF16"/>
      <c r="XCG16"/>
      <c r="XCH16"/>
      <c r="XCI16"/>
      <c r="XCJ16"/>
      <c r="XCK16"/>
      <c r="XCL16"/>
      <c r="XCM16"/>
      <c r="XCN16"/>
      <c r="XCO16"/>
      <c r="XCP16"/>
      <c r="XCQ16"/>
      <c r="XCR16"/>
      <c r="XCS16"/>
      <c r="XCT16"/>
      <c r="XCU16"/>
      <c r="XCV16"/>
      <c r="XCW16"/>
      <c r="XCX16"/>
      <c r="XCY16"/>
      <c r="XCZ16"/>
      <c r="XDA16"/>
      <c r="XDB16"/>
      <c r="XDC16"/>
      <c r="XDD16"/>
      <c r="XDE16"/>
      <c r="XDF16"/>
      <c r="XDG16"/>
      <c r="XDH16"/>
      <c r="XDI16"/>
      <c r="XDJ16"/>
      <c r="XDK16"/>
      <c r="XDL16"/>
      <c r="XDM16"/>
      <c r="XDN16"/>
      <c r="XDO16"/>
      <c r="XDP16"/>
      <c r="XDQ16"/>
      <c r="XDR16"/>
      <c r="XDS16"/>
      <c r="XDT16"/>
      <c r="XDU16"/>
      <c r="XDV16"/>
      <c r="XDW16"/>
      <c r="XDX16"/>
      <c r="XDY16"/>
      <c r="XDZ16"/>
      <c r="XEA16"/>
      <c r="XEB16"/>
      <c r="XEC16"/>
      <c r="XED16"/>
      <c r="XEE16"/>
      <c r="XEF16"/>
      <c r="XEG16"/>
      <c r="XEH16"/>
      <c r="XEI16"/>
      <c r="XEJ16"/>
      <c r="XEK16"/>
      <c r="XEL16"/>
      <c r="XEM16"/>
      <c r="XEN16"/>
      <c r="XEO16"/>
      <c r="XEP16"/>
      <c r="XEQ16"/>
      <c r="XER16"/>
      <c r="XES16"/>
      <c r="XET16"/>
      <c r="XEU16"/>
      <c r="XEV16"/>
      <c r="XEW16"/>
      <c r="XEX16"/>
      <c r="XEY16"/>
      <c r="XEZ16"/>
      <c r="XFA16"/>
      <c r="XFB16"/>
      <c r="XFC16"/>
      <c r="XFD16"/>
    </row>
    <row r="17" spans="1:154 14670:16384" s="9" customFormat="1" ht="15.75" hidden="1" thickBot="1" x14ac:dyDescent="0.3">
      <c r="A17" s="34">
        <v>3</v>
      </c>
      <c r="B17" s="30" t="s">
        <v>110</v>
      </c>
      <c r="C17" s="27" t="str">
        <f ca="1">IFERROR(IF(AND(C$13  &gt;= $AB$33, C$13 &lt;= $AB$34),VLOOKUP($G$1,INDIRECT("'" &amp;'Caller Portal Instructions'!D$25&amp;"'!$B$4:$P$200"),12, FALSE),""),"")</f>
        <v/>
      </c>
      <c r="D17" s="27" t="str">
        <f ca="1">IFERROR(IF(AND(D$13  &gt;= $AB$33, D$13 &lt;= $AB$34),VLOOKUP($G$1,INDIRECT("'" &amp;'Caller Portal Instructions'!E$25&amp;"'!$B$4:$P$200"),12, FALSE),""),"")</f>
        <v/>
      </c>
      <c r="E17" s="27" t="str">
        <f ca="1">IFERROR(IF(AND(E$13  &gt;= $AB$33, E$13 &lt;= $AB$34),VLOOKUP($G$1,INDIRECT("'" &amp;'Caller Portal Instructions'!F$25&amp;"'!$B$4:$P$200"),12, FALSE),""),"")</f>
        <v/>
      </c>
      <c r="F17" s="27" t="str">
        <f ca="1">IFERROR(IF(AND(F$13  &gt;= $AB$33, F$13 &lt;= $AB$34),VLOOKUP($G$1,INDIRECT("'" &amp;'Caller Portal Instructions'!G$25&amp;"'!$B$4:$P$200"),12, FALSE),""),"")</f>
        <v/>
      </c>
      <c r="G17" s="27" t="str">
        <f ca="1">IFERROR(IF(AND(G$13  &gt;= $AB$33, G$13 &lt;= $AB$34),VLOOKUP($G$1,INDIRECT("'" &amp;'Caller Portal Instructions'!H$25&amp;"'!$B$4:$P$200"),12, FALSE),""),"")</f>
        <v/>
      </c>
      <c r="H17" s="27" t="str">
        <f ca="1">IFERROR(IF(AND(H$13  &gt;= $AB$33, H$13 &lt;= $AB$34),VLOOKUP($G$1,INDIRECT("'" &amp;'Caller Portal Instructions'!I$25&amp;"'!$B$4:$P$200"),12, FALSE),""),"")</f>
        <v/>
      </c>
      <c r="I17" s="27" t="str">
        <f ca="1">IFERROR(IF(AND(I$13  &gt;= $AB$33, I$13 &lt;= $AB$34),VLOOKUP($G$1,INDIRECT("'" &amp;'Caller Portal Instructions'!J$25&amp;"'!$B$4:$P$200"),12, FALSE),""),"")</f>
        <v/>
      </c>
      <c r="J17" s="27" t="str">
        <f ca="1">IFERROR(IF(AND(J$13  &gt;= $AB$33, J$13 &lt;= $AB$34),VLOOKUP($G$1,INDIRECT("'" &amp;'Caller Portal Instructions'!K$25&amp;"'!$B$4:$P$200"),12, FALSE),""),"")</f>
        <v/>
      </c>
      <c r="K17" s="27" t="str">
        <f ca="1">IFERROR(IF(AND(K$13  &gt;= $AB$33, K$13 &lt;= $AB$34),VLOOKUP($G$1,INDIRECT("'" &amp;'Caller Portal Instructions'!L$25&amp;"'!$B$4:$P$200"),12, FALSE),""),"")</f>
        <v/>
      </c>
      <c r="L17" s="27" t="str">
        <f ca="1">IFERROR(IF(AND(L$13  &gt;= $AB$33, L$13 &lt;= $AB$34),VLOOKUP($G$1,INDIRECT("'" &amp;'Caller Portal Instructions'!M$25&amp;"'!$B$4:$P$200"),12, FALSE),""),"")</f>
        <v/>
      </c>
      <c r="M17" s="27" t="str">
        <f ca="1">IFERROR(IF(AND(M$13  &gt;= $AB$33, M$13 &lt;= $AB$34),VLOOKUP($G$1,INDIRECT("'" &amp;'Caller Portal Instructions'!N$25&amp;"'!$B$4:$P$200"),12, FALSE),""),"")</f>
        <v/>
      </c>
      <c r="N17" s="27" t="str">
        <f ca="1">IFERROR(IF(AND(N$13  &gt;= $AB$33, N$13 &lt;= $AB$34),VLOOKUP($G$1,INDIRECT("'" &amp;'Caller Portal Instructions'!O$25&amp;"'!$B$4:$P$200"),12, FALSE),""),"")</f>
        <v/>
      </c>
      <c r="O17" s="27" t="str">
        <f ca="1">IFERROR(IF(AND(O$13  &gt;= $AB$33, O$13 &lt;= $AB$34),VLOOKUP($G$1,INDIRECT("'" &amp;'Caller Portal Instructions'!P$25&amp;"'!$B$4:$P$200"),12, FALSE),""),"")</f>
        <v/>
      </c>
      <c r="P17" s="27" t="str">
        <f ca="1">IFERROR(IF(AND(P$13  &gt;= $AB$33, P$13 &lt;= $AB$34),VLOOKUP($G$1,INDIRECT("'" &amp;'Caller Portal Instructions'!Q$25&amp;"'!$B$4:$P$200"),12, FALSE),""),"")</f>
        <v/>
      </c>
      <c r="Q17" s="27" t="str">
        <f ca="1">IFERROR(IF(AND(Q$13  &gt;= $AB$33, Q$13 &lt;= $AB$34),VLOOKUP($G$1,INDIRECT("'" &amp;'Caller Portal Instructions'!R$25&amp;"'!$B$4:$P$200"),12, FALSE),""),"")</f>
        <v/>
      </c>
      <c r="R17" s="27" t="str">
        <f ca="1">IFERROR(IF(AND(R$13  &gt;= $AB$33, R$13 &lt;= $AB$34),VLOOKUP($G$1,INDIRECT("'" &amp;'Caller Portal Instructions'!S$25&amp;"'!$B$4:$P$200"),12, FALSE),""),"")</f>
        <v/>
      </c>
      <c r="S17" s="27" t="str">
        <f ca="1">IFERROR(IF(AND(S$13  &gt;= $AB$33, S$13 &lt;= $AB$34),VLOOKUP($G$1,INDIRECT("'" &amp;'Caller Portal Instructions'!T$25&amp;"'!$B$4:$P$200"),12, FALSE),""),"")</f>
        <v/>
      </c>
      <c r="T17" s="27" t="str">
        <f ca="1">IFERROR(IF(AND(T$13  &gt;= $AB$33, T$13 &lt;= $AB$34),VLOOKUP($G$1,INDIRECT("'" &amp;'Caller Portal Instructions'!U$25&amp;"'!$B$4:$P$200"),12, FALSE),""),"")</f>
        <v/>
      </c>
      <c r="U17" s="27" t="str">
        <f ca="1">IFERROR(IF(AND(U$13  &gt;= $AB$33, U$13 &lt;= $AB$34),VLOOKUP($G$1,INDIRECT("'" &amp;'Caller Portal Instructions'!V$25&amp;"'!$B$4:$P$200"),12, FALSE),""),"")</f>
        <v/>
      </c>
      <c r="V17" s="27" t="str">
        <f ca="1">IFERROR(IF(AND(V$13  &gt;= $AB$33, V$13 &lt;= $AB$34),VLOOKUP($G$1,INDIRECT("'" &amp;'Caller Portal Instructions'!W$25&amp;"'!$B$4:$P$200"),12, FALSE),""),"")</f>
        <v/>
      </c>
      <c r="W17" s="27" t="str">
        <f ca="1">IFERROR(IF(AND(W$13  &gt;= $AB$33, W$13 &lt;= $AB$34),VLOOKUP($G$1,INDIRECT("'" &amp;'Caller Portal Instructions'!X$25&amp;"'!$B$4:$P$200"),12, FALSE),""),"")</f>
        <v/>
      </c>
      <c r="X17" s="27" t="str">
        <f ca="1">IFERROR(IF(AND(X$13  &gt;= $AB$33, X$13 &lt;= $AB$34),VLOOKUP($G$1,INDIRECT("'" &amp;'Caller Portal Instructions'!Y$25&amp;"'!$B$4:$P$200"),12, FALSE),""),"")</f>
        <v/>
      </c>
      <c r="Y17" s="27" t="str">
        <f ca="1">IFERROR(IF(AND(Y$13  &gt;= $AB$33, Y$13 &lt;= $AB$34),VLOOKUP($G$1,INDIRECT("'" &amp;'Caller Portal Instructions'!Z$25&amp;"'!$B$4:$P$200"),12, FALSE),""),"")</f>
        <v/>
      </c>
      <c r="Z17" s="27" t="str">
        <f ca="1">IFERROR(IF(AND(Z$13  &gt;= $AB$33, Z$13 &lt;= $AB$34),VLOOKUP($G$1,INDIRECT("'" &amp;'Caller Portal Instructions'!AA$25&amp;"'!$B$4:$P$200"),12, FALSE),""),"")</f>
        <v/>
      </c>
      <c r="AA17" s="27" t="str">
        <f ca="1">IFERROR(IF(AND(AA$13  &gt;= $AB$33, AA$13 &lt;= $AB$34),VLOOKUP($G$1,INDIRECT("'" &amp;'Caller Portal Instructions'!AB$25&amp;"'!$B$4:$P$200"),12, FALSE),""),"")</f>
        <v/>
      </c>
      <c r="AB17" s="27" t="str">
        <f ca="1">IFERROR(IF(AND(AB$13  &gt;= $AB$33, AB$13 &lt;= $AB$34),VLOOKUP($G$1,INDIRECT("'" &amp;'Caller Portal Instructions'!AC$25&amp;"'!$B$4:$P$200"),12, FALSE),""),"")</f>
        <v/>
      </c>
      <c r="AC17" s="27" t="str">
        <f ca="1">IFERROR(IF(AND(AC$13  &gt;= $AB$33, AC$13 &lt;= $AB$34),VLOOKUP($G$1,INDIRECT("'" &amp;'Caller Portal Instructions'!AD$25&amp;"'!$B$4:$P$200"),12, FALSE),""),"")</f>
        <v/>
      </c>
      <c r="AD17" s="27" t="str">
        <f ca="1">IFERROR(IF(AND(AD$13  &gt;= $AB$33, AD$13 &lt;= $AB$34),VLOOKUP($G$1,INDIRECT("'" &amp;'Caller Portal Instructions'!AE$25&amp;"'!$B$4:$P$200"),12, FALSE),""),"")</f>
        <v/>
      </c>
      <c r="AE17" s="27" t="str">
        <f ca="1">IFERROR(IF(AND(AE$13  &gt;= $AB$33, AE$13 &lt;= $AB$34),VLOOKUP($G$1,INDIRECT("'" &amp;'Caller Portal Instructions'!AF$25&amp;"'!$B$4:$P$200"),12, FALSE),""),"")</f>
        <v/>
      </c>
      <c r="AF17" s="27" t="str">
        <f ca="1">IFERROR(IF(AND(AF$13  &gt;= $AB$33, AF$13 &lt;= $AB$34),VLOOKUP($G$1,INDIRECT("'" &amp;'Caller Portal Instructions'!AG$25&amp;"'!$B$4:$P$200"),12, FALSE),""),"")</f>
        <v/>
      </c>
      <c r="AG17" s="27" t="str">
        <f ca="1">IFERROR(IF(AND(AG$13  &gt;= $AB$33, AG$13 &lt;= $AB$34),VLOOKUP($G$1,INDIRECT("'" &amp;'Caller Portal Instructions'!AH$25&amp;"'!$B$4:$P$200"),12, FALSE),""),"")</f>
        <v/>
      </c>
      <c r="AH17" s="27" t="str">
        <f ca="1">IFERROR(IF(AND(AH$13  &gt;= $AB$33, AH$13 &lt;= $AB$34),VLOOKUP($G$1,INDIRECT("'" &amp;'Caller Portal Instructions'!AI$25&amp;"'!$B$4:$P$200"),12, FALSE),""),"")</f>
        <v/>
      </c>
      <c r="AI17" s="27" t="str">
        <f ca="1">IFERROR(IF(AND(AI$13  &gt;= $AB$33, AI$13 &lt;= $AB$34),VLOOKUP($G$1,INDIRECT("'" &amp;'Caller Portal Instructions'!AJ$25&amp;"'!$B$4:$P$200"),12, FALSE),""),"")</f>
        <v/>
      </c>
      <c r="AJ17" s="27" t="str">
        <f ca="1">IFERROR(IF(AND(AJ$13  &gt;= $AB$33, AJ$13 &lt;= $AB$34),VLOOKUP($G$1,INDIRECT("'" &amp;'Caller Portal Instructions'!AK$25&amp;"'!$B$4:$P$200"),12, FALSE),""),"")</f>
        <v/>
      </c>
      <c r="AK17" s="27" t="str">
        <f ca="1">IFERROR(IF(AND(AK$13  &gt;= $AB$33, AK$13 &lt;= $AB$34),VLOOKUP($G$1,INDIRECT("'" &amp;'Caller Portal Instructions'!AL$25&amp;"'!$B$4:$P$200"),12, FALSE),""),"")</f>
        <v/>
      </c>
      <c r="AL17" s="27" t="str">
        <f ca="1">IFERROR(IF(AND(AL$13  &gt;= $AB$33, AL$13 &lt;= $AB$34),VLOOKUP($G$1,INDIRECT("'" &amp;'Caller Portal Instructions'!AM$25&amp;"'!$B$4:$P$200"),12, FALSE),""),"")</f>
        <v/>
      </c>
      <c r="AM17" s="27" t="str">
        <f ca="1">IFERROR(IF(AND(AM$13  &gt;= $AB$33, AM$13 &lt;= $AB$34),VLOOKUP($G$1,INDIRECT("'" &amp;'Caller Portal Instructions'!AN$25&amp;"'!$B$4:$P$200"),12, FALSE),""),"")</f>
        <v/>
      </c>
      <c r="AN17" s="27" t="str">
        <f ca="1">IFERROR(IF(AND(AN$13  &gt;= $AB$33, AN$13 &lt;= $AB$34),VLOOKUP($G$1,INDIRECT("'" &amp;'Caller Portal Instructions'!AO$25&amp;"'!$B$4:$P$200"),12, FALSE),""),"")</f>
        <v/>
      </c>
      <c r="AO17" s="27" t="str">
        <f ca="1">IFERROR(IF(AND(AO$13  &gt;= $AB$33, AO$13 &lt;= $AB$34),VLOOKUP($G$1,INDIRECT("'" &amp;'Caller Portal Instructions'!AP$25&amp;"'!$B$4:$P$200"),12, FALSE),""),"")</f>
        <v/>
      </c>
      <c r="AP17" s="27" t="str">
        <f ca="1">IFERROR(IF(AND(AP$13  &gt;= $AB$33, AP$13 &lt;= $AB$34),VLOOKUP($G$1,INDIRECT("'" &amp;'Caller Portal Instructions'!AQ$25&amp;"'!$B$4:$P$200"),12, FALSE),""),"")</f>
        <v/>
      </c>
      <c r="AQ17" s="27" t="str">
        <f ca="1">IFERROR(IF(AND(AQ$13  &gt;= $AB$33, AQ$13 &lt;= $AB$34),VLOOKUP($G$1,INDIRECT("'" &amp;'Caller Portal Instructions'!AR$25&amp;"'!$B$4:$P$200"),12, FALSE),""),"")</f>
        <v/>
      </c>
      <c r="AR17" s="27" t="str">
        <f ca="1">IFERROR(IF(AND(AR$13  &gt;= $AB$33, AR$13 &lt;= $AB$34),VLOOKUP($G$1,INDIRECT("'" &amp;'Caller Portal Instructions'!AS$25&amp;"'!$B$4:$P$200"),12, FALSE),""),"")</f>
        <v/>
      </c>
      <c r="AS17" s="27" t="str">
        <f ca="1">IFERROR(IF(AND(AS$13  &gt;= $AB$33, AS$13 &lt;= $AB$34),VLOOKUP($G$1,INDIRECT("'" &amp;'Caller Portal Instructions'!AT$25&amp;"'!$B$4:$P$200"),12, FALSE),""),"")</f>
        <v/>
      </c>
      <c r="AT17" s="27" t="str">
        <f ca="1">IFERROR(IF(AND(AT$13  &gt;= $AB$33, AT$13 &lt;= $AB$34),VLOOKUP($G$1,INDIRECT("'" &amp;'Caller Portal Instructions'!AU$25&amp;"'!$B$4:$P$200"),12, FALSE),""),"")</f>
        <v/>
      </c>
      <c r="AU17" s="27" t="str">
        <f ca="1">IFERROR(IF(AND(AU$13  &gt;= $AB$33, AU$13 &lt;= $AB$34),VLOOKUP($G$1,INDIRECT("'" &amp;'Caller Portal Instructions'!AV$25&amp;"'!$B$4:$P$200"),12, FALSE),""),"")</f>
        <v/>
      </c>
      <c r="AV17" s="27" t="str">
        <f ca="1">IFERROR(IF(AND(AV$13  &gt;= $AB$33, AV$13 &lt;= $AB$34),VLOOKUP($G$1,INDIRECT("'" &amp;'Caller Portal Instructions'!AW$25&amp;"'!$B$4:$P$200"),12, FALSE),""),"")</f>
        <v/>
      </c>
      <c r="AW17" s="27" t="str">
        <f ca="1">IFERROR(IF(AND(AW$13  &gt;= $AB$33, AW$13 &lt;= $AB$34),VLOOKUP($G$1,INDIRECT("'" &amp;'Caller Portal Instructions'!AX$25&amp;"'!$B$4:$P$200"),12, FALSE),""),"")</f>
        <v/>
      </c>
      <c r="AX17" s="27" t="str">
        <f ca="1">IFERROR(IF(AND(AX$13  &gt;= $AB$33, AX$13 &lt;= $AB$34),VLOOKUP($G$1,INDIRECT("'" &amp;'Caller Portal Instructions'!AY$25&amp;"'!$B$4:$P$200"),12, FALSE),""),"")</f>
        <v/>
      </c>
      <c r="AY17" s="27" t="str">
        <f ca="1">IFERROR(IF(AND(AY$13  &gt;= $AB$33, AY$13 &lt;= $AB$34),VLOOKUP($G$1,INDIRECT("'" &amp;'Caller Portal Instructions'!AZ$25&amp;"'!$B$4:$P$200"),12, FALSE),""),"")</f>
        <v/>
      </c>
      <c r="AZ17" s="27" t="str">
        <f ca="1">IFERROR(IF(AND(AZ$13  &gt;= $AB$33, AZ$13 &lt;= $AB$34),VLOOKUP($G$1,INDIRECT("'" &amp;'Caller Portal Instructions'!BA$25&amp;"'!$B$4:$P$200"),12, FALSE),""),"")</f>
        <v/>
      </c>
      <c r="BA17" s="19"/>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URF17"/>
      <c r="URG17"/>
      <c r="URH17"/>
      <c r="URI17"/>
      <c r="URJ17"/>
      <c r="URK17"/>
      <c r="URL17"/>
      <c r="URM17"/>
      <c r="URN17"/>
      <c r="URO17"/>
      <c r="URP17"/>
      <c r="URQ17"/>
      <c r="URR17"/>
      <c r="URS17"/>
      <c r="URT17"/>
      <c r="URU17"/>
      <c r="URV17"/>
      <c r="URW17"/>
      <c r="URX17"/>
      <c r="URY17"/>
      <c r="URZ17"/>
      <c r="USA17"/>
      <c r="USB17"/>
      <c r="USC17"/>
      <c r="USD17"/>
      <c r="USE17"/>
      <c r="USF17"/>
      <c r="USG17"/>
      <c r="USH17"/>
      <c r="USI17"/>
      <c r="USJ17"/>
      <c r="USK17"/>
      <c r="USL17"/>
      <c r="USM17"/>
      <c r="USN17"/>
      <c r="USO17"/>
      <c r="USP17"/>
      <c r="USQ17"/>
      <c r="USR17"/>
      <c r="USS17"/>
      <c r="UST17"/>
      <c r="USU17"/>
      <c r="USV17"/>
      <c r="USW17"/>
      <c r="USX17"/>
      <c r="USY17"/>
      <c r="USZ17"/>
      <c r="UTA17"/>
      <c r="UTB17"/>
      <c r="UTC17"/>
      <c r="UTD17"/>
      <c r="UTE17"/>
      <c r="UTF17"/>
      <c r="UTG17"/>
      <c r="UTH17"/>
      <c r="UTI17"/>
      <c r="UTJ17"/>
      <c r="UTK17"/>
      <c r="UTL17"/>
      <c r="UTM17"/>
      <c r="UTN17"/>
      <c r="UTO17"/>
      <c r="UTP17"/>
      <c r="UTQ17"/>
      <c r="UTR17"/>
      <c r="UTS17"/>
      <c r="UTT17"/>
      <c r="UTU17"/>
      <c r="UTV17"/>
      <c r="UTW17"/>
      <c r="UTX17"/>
      <c r="UTY17"/>
      <c r="UTZ17"/>
      <c r="UUA17"/>
      <c r="UUB17"/>
      <c r="UUC17"/>
      <c r="UUD17"/>
      <c r="UUE17"/>
      <c r="UUF17"/>
      <c r="UUG17"/>
      <c r="UUH17"/>
      <c r="UUI17"/>
      <c r="UUJ17"/>
      <c r="UUK17"/>
      <c r="UUL17"/>
      <c r="UUM17"/>
      <c r="UUN17"/>
      <c r="UUO17"/>
      <c r="UUP17"/>
      <c r="UUQ17"/>
      <c r="UUR17"/>
      <c r="UUS17"/>
      <c r="UUT17"/>
      <c r="UUU17"/>
      <c r="UUV17"/>
      <c r="UUW17"/>
      <c r="UUX17"/>
      <c r="UUY17"/>
      <c r="UUZ17"/>
      <c r="UVA17"/>
      <c r="UVB17"/>
      <c r="UVC17"/>
      <c r="UVD17"/>
      <c r="UVE17"/>
      <c r="UVF17"/>
      <c r="UVG17"/>
      <c r="UVH17"/>
      <c r="UVI17"/>
      <c r="UVJ17"/>
      <c r="UVK17"/>
      <c r="UVL17"/>
      <c r="UVM17"/>
      <c r="UVN17"/>
      <c r="UVO17"/>
      <c r="UVP17"/>
      <c r="UVQ17"/>
      <c r="UVR17"/>
      <c r="UVS17"/>
      <c r="UVT17"/>
      <c r="UVU17"/>
      <c r="UVV17"/>
      <c r="UVW17"/>
      <c r="UVX17"/>
      <c r="UVY17"/>
      <c r="UVZ17"/>
      <c r="UWA17"/>
      <c r="UWB17"/>
      <c r="UWC17"/>
      <c r="UWD17"/>
      <c r="UWE17"/>
      <c r="UWF17"/>
      <c r="UWG17"/>
      <c r="UWH17"/>
      <c r="UWI17"/>
      <c r="UWJ17"/>
      <c r="UWK17"/>
      <c r="UWL17"/>
      <c r="UWM17"/>
      <c r="UWN17"/>
      <c r="UWO17"/>
      <c r="UWP17"/>
      <c r="UWQ17"/>
      <c r="UWR17"/>
      <c r="UWS17"/>
      <c r="UWT17"/>
      <c r="UWU17"/>
      <c r="UWV17"/>
      <c r="UWW17"/>
      <c r="UWX17"/>
      <c r="UWY17"/>
      <c r="UWZ17"/>
      <c r="UXA17"/>
      <c r="UXB17"/>
      <c r="UXC17"/>
      <c r="UXD17"/>
      <c r="UXE17"/>
      <c r="UXF17"/>
      <c r="UXG17"/>
      <c r="UXH17"/>
      <c r="UXI17"/>
      <c r="UXJ17"/>
      <c r="UXK17"/>
      <c r="UXL17"/>
      <c r="UXM17"/>
      <c r="UXN17"/>
      <c r="UXO17"/>
      <c r="UXP17"/>
      <c r="UXQ17"/>
      <c r="UXR17"/>
      <c r="UXS17"/>
      <c r="UXT17"/>
      <c r="UXU17"/>
      <c r="UXV17"/>
      <c r="UXW17"/>
      <c r="UXX17"/>
      <c r="UXY17"/>
      <c r="UXZ17"/>
      <c r="UYA17"/>
      <c r="UYB17"/>
      <c r="UYC17"/>
      <c r="UYD17"/>
      <c r="UYE17"/>
      <c r="UYF17"/>
      <c r="UYG17"/>
      <c r="UYH17"/>
      <c r="UYI17"/>
      <c r="UYJ17"/>
      <c r="UYK17"/>
      <c r="UYL17"/>
      <c r="UYM17"/>
      <c r="UYN17"/>
      <c r="UYO17"/>
      <c r="UYP17"/>
      <c r="UYQ17"/>
      <c r="UYR17"/>
      <c r="UYS17"/>
      <c r="UYT17"/>
      <c r="UYU17"/>
      <c r="UYV17"/>
      <c r="UYW17"/>
      <c r="UYX17"/>
      <c r="UYY17"/>
      <c r="UYZ17"/>
      <c r="UZA17"/>
      <c r="UZB17"/>
      <c r="UZC17"/>
      <c r="UZD17"/>
      <c r="UZE17"/>
      <c r="UZF17"/>
      <c r="UZG17"/>
      <c r="UZH17"/>
      <c r="UZI17"/>
      <c r="UZJ17"/>
      <c r="UZK17"/>
      <c r="UZL17"/>
      <c r="UZM17"/>
      <c r="UZN17"/>
      <c r="UZO17"/>
      <c r="UZP17"/>
      <c r="UZQ17"/>
      <c r="UZR17"/>
      <c r="UZS17"/>
      <c r="UZT17"/>
      <c r="UZU17"/>
      <c r="UZV17"/>
      <c r="UZW17"/>
      <c r="UZX17"/>
      <c r="UZY17"/>
      <c r="UZZ17"/>
      <c r="VAA17"/>
      <c r="VAB17"/>
      <c r="VAC17"/>
      <c r="VAD17"/>
      <c r="VAE17"/>
      <c r="VAF17"/>
      <c r="VAG17"/>
      <c r="VAH17"/>
      <c r="VAI17"/>
      <c r="VAJ17"/>
      <c r="VAK17"/>
      <c r="VAL17"/>
      <c r="VAM17"/>
      <c r="VAN17"/>
      <c r="VAO17"/>
      <c r="VAP17"/>
      <c r="VAQ17"/>
      <c r="VAR17"/>
      <c r="VAS17"/>
      <c r="VAT17"/>
      <c r="VAU17"/>
      <c r="VAV17"/>
      <c r="VAW17"/>
      <c r="VAX17"/>
      <c r="VAY17"/>
      <c r="VAZ17"/>
      <c r="VBA17"/>
      <c r="VBB17"/>
      <c r="VBC17"/>
      <c r="VBD17"/>
      <c r="VBE17"/>
      <c r="VBF17"/>
      <c r="VBG17"/>
      <c r="VBH17"/>
      <c r="VBI17"/>
      <c r="VBJ17"/>
      <c r="VBK17"/>
      <c r="VBL17"/>
      <c r="VBM17"/>
      <c r="VBN17"/>
      <c r="VBO17"/>
      <c r="VBP17"/>
      <c r="VBQ17"/>
      <c r="VBR17"/>
      <c r="VBS17"/>
      <c r="VBT17"/>
      <c r="VBU17"/>
      <c r="VBV17"/>
      <c r="VBW17"/>
      <c r="VBX17"/>
      <c r="VBY17"/>
      <c r="VBZ17"/>
      <c r="VCA17"/>
      <c r="VCB17"/>
      <c r="VCC17"/>
      <c r="VCD17"/>
      <c r="VCE17"/>
      <c r="VCF17"/>
      <c r="VCG17"/>
      <c r="VCH17"/>
      <c r="VCI17"/>
      <c r="VCJ17"/>
      <c r="VCK17"/>
      <c r="VCL17"/>
      <c r="VCM17"/>
      <c r="VCN17"/>
      <c r="VCO17"/>
      <c r="VCP17"/>
      <c r="VCQ17"/>
      <c r="VCR17"/>
      <c r="VCS17"/>
      <c r="VCT17"/>
      <c r="VCU17"/>
      <c r="VCV17"/>
      <c r="VCW17"/>
      <c r="VCX17"/>
      <c r="VCY17"/>
      <c r="VCZ17"/>
      <c r="VDA17"/>
      <c r="VDB17"/>
      <c r="VDC17"/>
      <c r="VDD17"/>
      <c r="VDE17"/>
      <c r="VDF17"/>
      <c r="VDG17"/>
      <c r="VDH17"/>
      <c r="VDI17"/>
      <c r="VDJ17"/>
      <c r="VDK17"/>
      <c r="VDL17"/>
      <c r="VDM17"/>
      <c r="VDN17"/>
      <c r="VDO17"/>
      <c r="VDP17"/>
      <c r="VDQ17"/>
      <c r="VDR17"/>
      <c r="VDS17"/>
      <c r="VDT17"/>
      <c r="VDU17"/>
      <c r="VDV17"/>
      <c r="VDW17"/>
      <c r="VDX17"/>
      <c r="VDY17"/>
      <c r="VDZ17"/>
      <c r="VEA17"/>
      <c r="VEB17"/>
      <c r="VEC17"/>
      <c r="VED17"/>
      <c r="VEE17"/>
      <c r="VEF17"/>
      <c r="VEG17"/>
      <c r="VEH17"/>
      <c r="VEI17"/>
      <c r="VEJ17"/>
      <c r="VEK17"/>
      <c r="VEL17"/>
      <c r="VEM17"/>
      <c r="VEN17"/>
      <c r="VEO17"/>
      <c r="VEP17"/>
      <c r="VEQ17"/>
      <c r="VER17"/>
      <c r="VES17"/>
      <c r="VET17"/>
      <c r="VEU17"/>
      <c r="VEV17"/>
      <c r="VEW17"/>
      <c r="VEX17"/>
      <c r="VEY17"/>
      <c r="VEZ17"/>
      <c r="VFA17"/>
      <c r="VFB17"/>
      <c r="VFC17"/>
      <c r="VFD17"/>
      <c r="VFE17"/>
      <c r="VFF17"/>
      <c r="VFG17"/>
      <c r="VFH17"/>
      <c r="VFI17"/>
      <c r="VFJ17"/>
      <c r="VFK17"/>
      <c r="VFL17"/>
      <c r="VFM17"/>
      <c r="VFN17"/>
      <c r="VFO17"/>
      <c r="VFP17"/>
      <c r="VFQ17"/>
      <c r="VFR17"/>
      <c r="VFS17"/>
      <c r="VFT17"/>
      <c r="VFU17"/>
      <c r="VFV17"/>
      <c r="VFW17"/>
      <c r="VFX17"/>
      <c r="VFY17"/>
      <c r="VFZ17"/>
      <c r="VGA17"/>
      <c r="VGB17"/>
      <c r="VGC17"/>
      <c r="VGD17"/>
      <c r="VGE17"/>
      <c r="VGF17"/>
      <c r="VGG17"/>
      <c r="VGH17"/>
      <c r="VGI17"/>
      <c r="VGJ17"/>
      <c r="VGK17"/>
      <c r="VGL17"/>
      <c r="VGM17"/>
      <c r="VGN17"/>
      <c r="VGO17"/>
      <c r="VGP17"/>
      <c r="VGQ17"/>
      <c r="VGR17"/>
      <c r="VGS17"/>
      <c r="VGT17"/>
      <c r="VGU17"/>
      <c r="VGV17"/>
      <c r="VGW17"/>
      <c r="VGX17"/>
      <c r="VGY17"/>
      <c r="VGZ17"/>
      <c r="VHA17"/>
      <c r="VHB17"/>
      <c r="VHC17"/>
      <c r="VHD17"/>
      <c r="VHE17"/>
      <c r="VHF17"/>
      <c r="VHG17"/>
      <c r="VHH17"/>
      <c r="VHI17"/>
      <c r="VHJ17"/>
      <c r="VHK17"/>
      <c r="VHL17"/>
      <c r="VHM17"/>
      <c r="VHN17"/>
      <c r="VHO17"/>
      <c r="VHP17"/>
      <c r="VHQ17"/>
      <c r="VHR17"/>
      <c r="VHS17"/>
      <c r="VHT17"/>
      <c r="VHU17"/>
      <c r="VHV17"/>
      <c r="VHW17"/>
      <c r="VHX17"/>
      <c r="VHY17"/>
      <c r="VHZ17"/>
      <c r="VIA17"/>
      <c r="VIB17"/>
      <c r="VIC17"/>
      <c r="VID17"/>
      <c r="VIE17"/>
      <c r="VIF17"/>
      <c r="VIG17"/>
      <c r="VIH17"/>
      <c r="VII17"/>
      <c r="VIJ17"/>
      <c r="VIK17"/>
      <c r="VIL17"/>
      <c r="VIM17"/>
      <c r="VIN17"/>
      <c r="VIO17"/>
      <c r="VIP17"/>
      <c r="VIQ17"/>
      <c r="VIR17"/>
      <c r="VIS17"/>
      <c r="VIT17"/>
      <c r="VIU17"/>
      <c r="VIV17"/>
      <c r="VIW17"/>
      <c r="VIX17"/>
      <c r="VIY17"/>
      <c r="VIZ17"/>
      <c r="VJA17"/>
      <c r="VJB17"/>
      <c r="VJC17"/>
      <c r="VJD17"/>
      <c r="VJE17"/>
      <c r="VJF17"/>
      <c r="VJG17"/>
      <c r="VJH17"/>
      <c r="VJI17"/>
      <c r="VJJ17"/>
      <c r="VJK17"/>
      <c r="VJL17"/>
      <c r="VJM17"/>
      <c r="VJN17"/>
      <c r="VJO17"/>
      <c r="VJP17"/>
      <c r="VJQ17"/>
      <c r="VJR17"/>
      <c r="VJS17"/>
      <c r="VJT17"/>
      <c r="VJU17"/>
      <c r="VJV17"/>
      <c r="VJW17"/>
      <c r="VJX17"/>
      <c r="VJY17"/>
      <c r="VJZ17"/>
      <c r="VKA17"/>
      <c r="VKB17"/>
      <c r="VKC17"/>
      <c r="VKD17"/>
      <c r="VKE17"/>
      <c r="VKF17"/>
      <c r="VKG17"/>
      <c r="VKH17"/>
      <c r="VKI17"/>
      <c r="VKJ17"/>
      <c r="VKK17"/>
      <c r="VKL17"/>
      <c r="VKM17"/>
      <c r="VKN17"/>
      <c r="VKO17"/>
      <c r="VKP17"/>
      <c r="VKQ17"/>
      <c r="VKR17"/>
      <c r="VKS17"/>
      <c r="VKT17"/>
      <c r="VKU17"/>
      <c r="VKV17"/>
      <c r="VKW17"/>
      <c r="VKX17"/>
      <c r="VKY17"/>
      <c r="VKZ17"/>
      <c r="VLA17"/>
      <c r="VLB17"/>
      <c r="VLC17"/>
      <c r="VLD17"/>
      <c r="VLE17"/>
      <c r="VLF17"/>
      <c r="VLG17"/>
      <c r="VLH17"/>
      <c r="VLI17"/>
      <c r="VLJ17"/>
      <c r="VLK17"/>
      <c r="VLL17"/>
      <c r="VLM17"/>
      <c r="VLN17"/>
      <c r="VLO17"/>
      <c r="VLP17"/>
      <c r="VLQ17"/>
      <c r="VLR17"/>
      <c r="VLS17"/>
      <c r="VLT17"/>
      <c r="VLU17"/>
      <c r="VLV17"/>
      <c r="VLW17"/>
      <c r="VLX17"/>
      <c r="VLY17"/>
      <c r="VLZ17"/>
      <c r="VMA17"/>
      <c r="VMB17"/>
      <c r="VMC17"/>
      <c r="VMD17"/>
      <c r="VME17"/>
      <c r="VMF17"/>
      <c r="VMG17"/>
      <c r="VMH17"/>
      <c r="VMI17"/>
      <c r="VMJ17"/>
      <c r="VMK17"/>
      <c r="VML17"/>
      <c r="VMM17"/>
      <c r="VMN17"/>
      <c r="VMO17"/>
      <c r="VMP17"/>
      <c r="VMQ17"/>
      <c r="VMR17"/>
      <c r="VMS17"/>
      <c r="VMT17"/>
      <c r="VMU17"/>
      <c r="VMV17"/>
      <c r="VMW17"/>
      <c r="VMX17"/>
      <c r="VMY17"/>
      <c r="VMZ17"/>
      <c r="VNA17"/>
      <c r="VNB17"/>
      <c r="VNC17"/>
      <c r="VND17"/>
      <c r="VNE17"/>
      <c r="VNF17"/>
      <c r="VNG17"/>
      <c r="VNH17"/>
      <c r="VNI17"/>
      <c r="VNJ17"/>
      <c r="VNK17"/>
      <c r="VNL17"/>
      <c r="VNM17"/>
      <c r="VNN17"/>
      <c r="VNO17"/>
      <c r="VNP17"/>
      <c r="VNQ17"/>
      <c r="VNR17"/>
      <c r="VNS17"/>
      <c r="VNT17"/>
      <c r="VNU17"/>
      <c r="VNV17"/>
      <c r="VNW17"/>
      <c r="VNX17"/>
      <c r="VNY17"/>
      <c r="VNZ17"/>
      <c r="VOA17"/>
      <c r="VOB17"/>
      <c r="VOC17"/>
      <c r="VOD17"/>
      <c r="VOE17"/>
      <c r="VOF17"/>
      <c r="VOG17"/>
      <c r="VOH17"/>
      <c r="VOI17"/>
      <c r="VOJ17"/>
      <c r="VOK17"/>
      <c r="VOL17"/>
      <c r="VOM17"/>
      <c r="VON17"/>
      <c r="VOO17"/>
      <c r="VOP17"/>
      <c r="VOQ17"/>
      <c r="VOR17"/>
      <c r="VOS17"/>
      <c r="VOT17"/>
      <c r="VOU17"/>
      <c r="VOV17"/>
      <c r="VOW17"/>
      <c r="VOX17"/>
      <c r="VOY17"/>
      <c r="VOZ17"/>
      <c r="VPA17"/>
      <c r="VPB17"/>
      <c r="VPC17"/>
      <c r="VPD17"/>
      <c r="VPE17"/>
      <c r="VPF17"/>
      <c r="VPG17"/>
      <c r="VPH17"/>
      <c r="VPI17"/>
      <c r="VPJ17"/>
      <c r="VPK17"/>
      <c r="VPL17"/>
      <c r="VPM17"/>
      <c r="VPN17"/>
      <c r="VPO17"/>
      <c r="VPP17"/>
      <c r="VPQ17"/>
      <c r="VPR17"/>
      <c r="VPS17"/>
      <c r="VPT17"/>
      <c r="VPU17"/>
      <c r="VPV17"/>
      <c r="VPW17"/>
      <c r="VPX17"/>
      <c r="VPY17"/>
      <c r="VPZ17"/>
      <c r="VQA17"/>
      <c r="VQB17"/>
      <c r="VQC17"/>
      <c r="VQD17"/>
      <c r="VQE17"/>
      <c r="VQF17"/>
      <c r="VQG17"/>
      <c r="VQH17"/>
      <c r="VQI17"/>
      <c r="VQJ17"/>
      <c r="VQK17"/>
      <c r="VQL17"/>
      <c r="VQM17"/>
      <c r="VQN17"/>
      <c r="VQO17"/>
      <c r="VQP17"/>
      <c r="VQQ17"/>
      <c r="VQR17"/>
      <c r="VQS17"/>
      <c r="VQT17"/>
      <c r="VQU17"/>
      <c r="VQV17"/>
      <c r="VQW17"/>
      <c r="VQX17"/>
      <c r="VQY17"/>
      <c r="VQZ17"/>
      <c r="VRA17"/>
      <c r="VRB17"/>
      <c r="VRC17"/>
      <c r="VRD17"/>
      <c r="VRE17"/>
      <c r="VRF17"/>
      <c r="VRG17"/>
      <c r="VRH17"/>
      <c r="VRI17"/>
      <c r="VRJ17"/>
      <c r="VRK17"/>
      <c r="VRL17"/>
      <c r="VRM17"/>
      <c r="VRN17"/>
      <c r="VRO17"/>
      <c r="VRP17"/>
      <c r="VRQ17"/>
      <c r="VRR17"/>
      <c r="VRS17"/>
      <c r="VRT17"/>
      <c r="VRU17"/>
      <c r="VRV17"/>
      <c r="VRW17"/>
      <c r="VRX17"/>
      <c r="VRY17"/>
      <c r="VRZ17"/>
      <c r="VSA17"/>
      <c r="VSB17"/>
      <c r="VSC17"/>
      <c r="VSD17"/>
      <c r="VSE17"/>
      <c r="VSF17"/>
      <c r="VSG17"/>
      <c r="VSH17"/>
      <c r="VSI17"/>
      <c r="VSJ17"/>
      <c r="VSK17"/>
      <c r="VSL17"/>
      <c r="VSM17"/>
      <c r="VSN17"/>
      <c r="VSO17"/>
      <c r="VSP17"/>
      <c r="VSQ17"/>
      <c r="VSR17"/>
      <c r="VSS17"/>
      <c r="VST17"/>
      <c r="VSU17"/>
      <c r="VSV17"/>
      <c r="VSW17"/>
      <c r="VSX17"/>
      <c r="VSY17"/>
      <c r="VSZ17"/>
      <c r="VTA17"/>
      <c r="VTB17"/>
      <c r="VTC17"/>
      <c r="VTD17"/>
      <c r="VTE17"/>
      <c r="VTF17"/>
      <c r="VTG17"/>
      <c r="VTH17"/>
      <c r="VTI17"/>
      <c r="VTJ17"/>
      <c r="VTK17"/>
      <c r="VTL17"/>
      <c r="VTM17"/>
      <c r="VTN17"/>
      <c r="VTO17"/>
      <c r="VTP17"/>
      <c r="VTQ17"/>
      <c r="VTR17"/>
      <c r="VTS17"/>
      <c r="VTT17"/>
      <c r="VTU17"/>
      <c r="VTV17"/>
      <c r="VTW17"/>
      <c r="VTX17"/>
      <c r="VTY17"/>
      <c r="VTZ17"/>
      <c r="VUA17"/>
      <c r="VUB17"/>
      <c r="VUC17"/>
      <c r="VUD17"/>
      <c r="VUE17"/>
      <c r="VUF17"/>
      <c r="VUG17"/>
      <c r="VUH17"/>
      <c r="VUI17"/>
      <c r="VUJ17"/>
      <c r="VUK17"/>
      <c r="VUL17"/>
      <c r="VUM17"/>
      <c r="VUN17"/>
      <c r="VUO17"/>
      <c r="VUP17"/>
      <c r="VUQ17"/>
      <c r="VUR17"/>
      <c r="VUS17"/>
      <c r="VUT17"/>
      <c r="VUU17"/>
      <c r="VUV17"/>
      <c r="VUW17"/>
      <c r="VUX17"/>
      <c r="VUY17"/>
      <c r="VUZ17"/>
      <c r="VVA17"/>
      <c r="VVB17"/>
      <c r="VVC17"/>
      <c r="VVD17"/>
      <c r="VVE17"/>
      <c r="VVF17"/>
      <c r="VVG17"/>
      <c r="VVH17"/>
      <c r="VVI17"/>
      <c r="VVJ17"/>
      <c r="VVK17"/>
      <c r="VVL17"/>
      <c r="VVM17"/>
      <c r="VVN17"/>
      <c r="VVO17"/>
      <c r="VVP17"/>
      <c r="VVQ17"/>
      <c r="VVR17"/>
      <c r="VVS17"/>
      <c r="VVT17"/>
      <c r="VVU17"/>
      <c r="VVV17"/>
      <c r="VVW17"/>
      <c r="VVX17"/>
      <c r="VVY17"/>
      <c r="VVZ17"/>
      <c r="VWA17"/>
      <c r="VWB17"/>
      <c r="VWC17"/>
      <c r="VWD17"/>
      <c r="VWE17"/>
      <c r="VWF17"/>
      <c r="VWG17"/>
      <c r="VWH17"/>
      <c r="VWI17"/>
      <c r="VWJ17"/>
      <c r="VWK17"/>
      <c r="VWL17"/>
      <c r="VWM17"/>
      <c r="VWN17"/>
      <c r="VWO17"/>
      <c r="VWP17"/>
      <c r="VWQ17"/>
      <c r="VWR17"/>
      <c r="VWS17"/>
      <c r="VWT17"/>
      <c r="VWU17"/>
      <c r="VWV17"/>
      <c r="VWW17"/>
      <c r="VWX17"/>
      <c r="VWY17"/>
      <c r="VWZ17"/>
      <c r="VXA17"/>
      <c r="VXB17"/>
      <c r="VXC17"/>
      <c r="VXD17"/>
      <c r="VXE17"/>
      <c r="VXF17"/>
      <c r="VXG17"/>
      <c r="VXH17"/>
      <c r="VXI17"/>
      <c r="VXJ17"/>
      <c r="VXK17"/>
      <c r="VXL17"/>
      <c r="VXM17"/>
      <c r="VXN17"/>
      <c r="VXO17"/>
      <c r="VXP17"/>
      <c r="VXQ17"/>
      <c r="VXR17"/>
      <c r="VXS17"/>
      <c r="VXT17"/>
      <c r="VXU17"/>
      <c r="VXV17"/>
      <c r="VXW17"/>
      <c r="VXX17"/>
      <c r="VXY17"/>
      <c r="VXZ17"/>
      <c r="VYA17"/>
      <c r="VYB17"/>
      <c r="VYC17"/>
      <c r="VYD17"/>
      <c r="VYE17"/>
      <c r="VYF17"/>
      <c r="VYG17"/>
      <c r="VYH17"/>
      <c r="VYI17"/>
      <c r="VYJ17"/>
      <c r="VYK17"/>
      <c r="VYL17"/>
      <c r="VYM17"/>
      <c r="VYN17"/>
      <c r="VYO17"/>
      <c r="VYP17"/>
      <c r="VYQ17"/>
      <c r="VYR17"/>
      <c r="VYS17"/>
      <c r="VYT17"/>
      <c r="VYU17"/>
      <c r="VYV17"/>
      <c r="VYW17"/>
      <c r="VYX17"/>
      <c r="VYY17"/>
      <c r="VYZ17"/>
      <c r="VZA17"/>
      <c r="VZB17"/>
      <c r="VZC17"/>
      <c r="VZD17"/>
      <c r="VZE17"/>
      <c r="VZF17"/>
      <c r="VZG17"/>
      <c r="VZH17"/>
      <c r="VZI17"/>
      <c r="VZJ17"/>
      <c r="VZK17"/>
      <c r="VZL17"/>
      <c r="VZM17"/>
      <c r="VZN17"/>
      <c r="VZO17"/>
      <c r="VZP17"/>
      <c r="VZQ17"/>
      <c r="VZR17"/>
      <c r="VZS17"/>
      <c r="VZT17"/>
      <c r="VZU17"/>
      <c r="VZV17"/>
      <c r="VZW17"/>
      <c r="VZX17"/>
      <c r="VZY17"/>
      <c r="VZZ17"/>
      <c r="WAA17"/>
      <c r="WAB17"/>
      <c r="WAC17"/>
      <c r="WAD17"/>
      <c r="WAE17"/>
      <c r="WAF17"/>
      <c r="WAG17"/>
      <c r="WAH17"/>
      <c r="WAI17"/>
      <c r="WAJ17"/>
      <c r="WAK17"/>
      <c r="WAL17"/>
      <c r="WAM17"/>
      <c r="WAN17"/>
      <c r="WAO17"/>
      <c r="WAP17"/>
      <c r="WAQ17"/>
      <c r="WAR17"/>
      <c r="WAS17"/>
      <c r="WAT17"/>
      <c r="WAU17"/>
      <c r="WAV17"/>
      <c r="WAW17"/>
      <c r="WAX17"/>
      <c r="WAY17"/>
      <c r="WAZ17"/>
      <c r="WBA17"/>
      <c r="WBB17"/>
      <c r="WBC17"/>
      <c r="WBD17"/>
      <c r="WBE17"/>
      <c r="WBF17"/>
      <c r="WBG17"/>
      <c r="WBH17"/>
      <c r="WBI17"/>
      <c r="WBJ17"/>
      <c r="WBK17"/>
      <c r="WBL17"/>
      <c r="WBM17"/>
      <c r="WBN17"/>
      <c r="WBO17"/>
      <c r="WBP17"/>
      <c r="WBQ17"/>
      <c r="WBR17"/>
      <c r="WBS17"/>
      <c r="WBT17"/>
      <c r="WBU17"/>
      <c r="WBV17"/>
      <c r="WBW17"/>
      <c r="WBX17"/>
      <c r="WBY17"/>
      <c r="WBZ17"/>
      <c r="WCA17"/>
      <c r="WCB17"/>
      <c r="WCC17"/>
      <c r="WCD17"/>
      <c r="WCE17"/>
      <c r="WCF17"/>
      <c r="WCG17"/>
      <c r="WCH17"/>
      <c r="WCI17"/>
      <c r="WCJ17"/>
      <c r="WCK17"/>
      <c r="WCL17"/>
      <c r="WCM17"/>
      <c r="WCN17"/>
      <c r="WCO17"/>
      <c r="WCP17"/>
      <c r="WCQ17"/>
      <c r="WCR17"/>
      <c r="WCS17"/>
      <c r="WCT17"/>
      <c r="WCU17"/>
      <c r="WCV17"/>
      <c r="WCW17"/>
      <c r="WCX17"/>
      <c r="WCY17"/>
      <c r="WCZ17"/>
      <c r="WDA17"/>
      <c r="WDB17"/>
      <c r="WDC17"/>
      <c r="WDD17"/>
      <c r="WDE17"/>
      <c r="WDF17"/>
      <c r="WDG17"/>
      <c r="WDH17"/>
      <c r="WDI17"/>
      <c r="WDJ17"/>
      <c r="WDK17"/>
      <c r="WDL17"/>
      <c r="WDM17"/>
      <c r="WDN17"/>
      <c r="WDO17"/>
      <c r="WDP17"/>
      <c r="WDQ17"/>
      <c r="WDR17"/>
      <c r="WDS17"/>
      <c r="WDT17"/>
      <c r="WDU17"/>
      <c r="WDV17"/>
      <c r="WDW17"/>
      <c r="WDX17"/>
      <c r="WDY17"/>
      <c r="WDZ17"/>
      <c r="WEA17"/>
      <c r="WEB17"/>
      <c r="WEC17"/>
      <c r="WED17"/>
      <c r="WEE17"/>
      <c r="WEF17"/>
      <c r="WEG17"/>
      <c r="WEH17"/>
      <c r="WEI17"/>
      <c r="WEJ17"/>
      <c r="WEK17"/>
      <c r="WEL17"/>
      <c r="WEM17"/>
      <c r="WEN17"/>
      <c r="WEO17"/>
      <c r="WEP17"/>
      <c r="WEQ17"/>
      <c r="WER17"/>
      <c r="WES17"/>
      <c r="WET17"/>
      <c r="WEU17"/>
      <c r="WEV17"/>
      <c r="WEW17"/>
      <c r="WEX17"/>
      <c r="WEY17"/>
      <c r="WEZ17"/>
      <c r="WFA17"/>
      <c r="WFB17"/>
      <c r="WFC17"/>
      <c r="WFD17"/>
      <c r="WFE17"/>
      <c r="WFF17"/>
      <c r="WFG17"/>
      <c r="WFH17"/>
      <c r="WFI17"/>
      <c r="WFJ17"/>
      <c r="WFK17"/>
      <c r="WFL17"/>
      <c r="WFM17"/>
      <c r="WFN17"/>
      <c r="WFO17"/>
      <c r="WFP17"/>
      <c r="WFQ17"/>
      <c r="WFR17"/>
      <c r="WFS17"/>
      <c r="WFT17"/>
      <c r="WFU17"/>
      <c r="WFV17"/>
      <c r="WFW17"/>
      <c r="WFX17"/>
      <c r="WFY17"/>
      <c r="WFZ17"/>
      <c r="WGA17"/>
      <c r="WGB17"/>
      <c r="WGC17"/>
      <c r="WGD17"/>
      <c r="WGE17"/>
      <c r="WGF17"/>
      <c r="WGG17"/>
      <c r="WGH17"/>
      <c r="WGI17"/>
      <c r="WGJ17"/>
      <c r="WGK17"/>
      <c r="WGL17"/>
      <c r="WGM17"/>
      <c r="WGN17"/>
      <c r="WGO17"/>
      <c r="WGP17"/>
      <c r="WGQ17"/>
      <c r="WGR17"/>
      <c r="WGS17"/>
      <c r="WGT17"/>
      <c r="WGU17"/>
      <c r="WGV17"/>
      <c r="WGW17"/>
      <c r="WGX17"/>
      <c r="WGY17"/>
      <c r="WGZ17"/>
      <c r="WHA17"/>
      <c r="WHB17"/>
      <c r="WHC17"/>
      <c r="WHD17"/>
      <c r="WHE17"/>
      <c r="WHF17"/>
      <c r="WHG17"/>
      <c r="WHH17"/>
      <c r="WHI17"/>
      <c r="WHJ17"/>
      <c r="WHK17"/>
      <c r="WHL17"/>
      <c r="WHM17"/>
      <c r="WHN17"/>
      <c r="WHO17"/>
      <c r="WHP17"/>
      <c r="WHQ17"/>
      <c r="WHR17"/>
      <c r="WHS17"/>
      <c r="WHT17"/>
      <c r="WHU17"/>
      <c r="WHV17"/>
      <c r="WHW17"/>
      <c r="WHX17"/>
      <c r="WHY17"/>
      <c r="WHZ17"/>
      <c r="WIA17"/>
      <c r="WIB17"/>
      <c r="WIC17"/>
      <c r="WID17"/>
      <c r="WIE17"/>
      <c r="WIF17"/>
      <c r="WIG17"/>
      <c r="WIH17"/>
      <c r="WII17"/>
      <c r="WIJ17"/>
      <c r="WIK17"/>
      <c r="WIL17"/>
      <c r="WIM17"/>
      <c r="WIN17"/>
      <c r="WIO17"/>
      <c r="WIP17"/>
      <c r="WIQ17"/>
      <c r="WIR17"/>
      <c r="WIS17"/>
      <c r="WIT17"/>
      <c r="WIU17"/>
      <c r="WIV17"/>
      <c r="WIW17"/>
      <c r="WIX17"/>
      <c r="WIY17"/>
      <c r="WIZ17"/>
      <c r="WJA17"/>
      <c r="WJB17"/>
      <c r="WJC17"/>
      <c r="WJD17"/>
      <c r="WJE17"/>
      <c r="WJF17"/>
      <c r="WJG17"/>
      <c r="WJH17"/>
      <c r="WJI17"/>
      <c r="WJJ17"/>
      <c r="WJK17"/>
      <c r="WJL17"/>
      <c r="WJM17"/>
      <c r="WJN17"/>
      <c r="WJO17"/>
      <c r="WJP17"/>
      <c r="WJQ17"/>
      <c r="WJR17"/>
      <c r="WJS17"/>
      <c r="WJT17"/>
      <c r="WJU17"/>
      <c r="WJV17"/>
      <c r="WJW17"/>
      <c r="WJX17"/>
      <c r="WJY17"/>
      <c r="WJZ17"/>
      <c r="WKA17"/>
      <c r="WKB17"/>
      <c r="WKC17"/>
      <c r="WKD17"/>
      <c r="WKE17"/>
      <c r="WKF17"/>
      <c r="WKG17"/>
      <c r="WKH17"/>
      <c r="WKI17"/>
      <c r="WKJ17"/>
      <c r="WKK17"/>
      <c r="WKL17"/>
      <c r="WKM17"/>
      <c r="WKN17"/>
      <c r="WKO17"/>
      <c r="WKP17"/>
      <c r="WKQ17"/>
      <c r="WKR17"/>
      <c r="WKS17"/>
      <c r="WKT17"/>
      <c r="WKU17"/>
      <c r="WKV17"/>
      <c r="WKW17"/>
      <c r="WKX17"/>
      <c r="WKY17"/>
      <c r="WKZ17"/>
      <c r="WLA17"/>
      <c r="WLB17"/>
      <c r="WLC17"/>
      <c r="WLD17"/>
      <c r="WLE17"/>
      <c r="WLF17"/>
      <c r="WLG17"/>
      <c r="WLH17"/>
      <c r="WLI17"/>
      <c r="WLJ17"/>
      <c r="WLK17"/>
      <c r="WLL17"/>
      <c r="WLM17"/>
      <c r="WLN17"/>
      <c r="WLO17"/>
      <c r="WLP17"/>
      <c r="WLQ17"/>
      <c r="WLR17"/>
      <c r="WLS17"/>
      <c r="WLT17"/>
      <c r="WLU17"/>
      <c r="WLV17"/>
      <c r="WLW17"/>
      <c r="WLX17"/>
      <c r="WLY17"/>
      <c r="WLZ17"/>
      <c r="WMA17"/>
      <c r="WMB17"/>
      <c r="WMC17"/>
      <c r="WMD17"/>
      <c r="WME17"/>
      <c r="WMF17"/>
      <c r="WMG17"/>
      <c r="WMH17"/>
      <c r="WMI17"/>
      <c r="WMJ17"/>
      <c r="WMK17"/>
      <c r="WML17"/>
      <c r="WMM17"/>
      <c r="WMN17"/>
      <c r="WMO17"/>
      <c r="WMP17"/>
      <c r="WMQ17"/>
      <c r="WMR17"/>
      <c r="WMS17"/>
      <c r="WMT17"/>
      <c r="WMU17"/>
      <c r="WMV17"/>
      <c r="WMW17"/>
      <c r="WMX17"/>
      <c r="WMY17"/>
      <c r="WMZ17"/>
      <c r="WNA17"/>
      <c r="WNB17"/>
      <c r="WNC17"/>
      <c r="WND17"/>
      <c r="WNE17"/>
      <c r="WNF17"/>
      <c r="WNG17"/>
      <c r="WNH17"/>
      <c r="WNI17"/>
      <c r="WNJ17"/>
      <c r="WNK17"/>
      <c r="WNL17"/>
      <c r="WNM17"/>
      <c r="WNN17"/>
      <c r="WNO17"/>
      <c r="WNP17"/>
      <c r="WNQ17"/>
      <c r="WNR17"/>
      <c r="WNS17"/>
      <c r="WNT17"/>
      <c r="WNU17"/>
      <c r="WNV17"/>
      <c r="WNW17"/>
      <c r="WNX17"/>
      <c r="WNY17"/>
      <c r="WNZ17"/>
      <c r="WOA17"/>
      <c r="WOB17"/>
      <c r="WOC17"/>
      <c r="WOD17"/>
      <c r="WOE17"/>
      <c r="WOF17"/>
      <c r="WOG17"/>
      <c r="WOH17"/>
      <c r="WOI17"/>
      <c r="WOJ17"/>
      <c r="WOK17"/>
      <c r="WOL17"/>
      <c r="WOM17"/>
      <c r="WON17"/>
      <c r="WOO17"/>
      <c r="WOP17"/>
      <c r="WOQ17"/>
      <c r="WOR17"/>
      <c r="WOS17"/>
      <c r="WOT17"/>
      <c r="WOU17"/>
      <c r="WOV17"/>
      <c r="WOW17"/>
      <c r="WOX17"/>
      <c r="WOY17"/>
      <c r="WOZ17"/>
      <c r="WPA17"/>
      <c r="WPB17"/>
      <c r="WPC17"/>
      <c r="WPD17"/>
      <c r="WPE17"/>
      <c r="WPF17"/>
      <c r="WPG17"/>
      <c r="WPH17"/>
      <c r="WPI17"/>
      <c r="WPJ17"/>
      <c r="WPK17"/>
      <c r="WPL17"/>
      <c r="WPM17"/>
      <c r="WPN17"/>
      <c r="WPO17"/>
      <c r="WPP17"/>
      <c r="WPQ17"/>
      <c r="WPR17"/>
      <c r="WPS17"/>
      <c r="WPT17"/>
      <c r="WPU17"/>
      <c r="WPV17"/>
      <c r="WPW17"/>
      <c r="WPX17"/>
      <c r="WPY17"/>
      <c r="WPZ17"/>
      <c r="WQA17"/>
      <c r="WQB17"/>
      <c r="WQC17"/>
      <c r="WQD17"/>
      <c r="WQE17"/>
      <c r="WQF17"/>
      <c r="WQG17"/>
      <c r="WQH17"/>
      <c r="WQI17"/>
      <c r="WQJ17"/>
      <c r="WQK17"/>
      <c r="WQL17"/>
      <c r="WQM17"/>
      <c r="WQN17"/>
      <c r="WQO17"/>
      <c r="WQP17"/>
      <c r="WQQ17"/>
      <c r="WQR17"/>
      <c r="WQS17"/>
      <c r="WQT17"/>
      <c r="WQU17"/>
      <c r="WQV17"/>
      <c r="WQW17"/>
      <c r="WQX17"/>
      <c r="WQY17"/>
      <c r="WQZ17"/>
      <c r="WRA17"/>
      <c r="WRB17"/>
      <c r="WRC17"/>
      <c r="WRD17"/>
      <c r="WRE17"/>
      <c r="WRF17"/>
      <c r="WRG17"/>
      <c r="WRH17"/>
      <c r="WRI17"/>
      <c r="WRJ17"/>
      <c r="WRK17"/>
      <c r="WRL17"/>
      <c r="WRM17"/>
      <c r="WRN17"/>
      <c r="WRO17"/>
      <c r="WRP17"/>
      <c r="WRQ17"/>
      <c r="WRR17"/>
      <c r="WRS17"/>
      <c r="WRT17"/>
      <c r="WRU17"/>
      <c r="WRV17"/>
      <c r="WRW17"/>
      <c r="WRX17"/>
      <c r="WRY17"/>
      <c r="WRZ17"/>
      <c r="WSA17"/>
      <c r="WSB17"/>
      <c r="WSC17"/>
      <c r="WSD17"/>
      <c r="WSE17"/>
      <c r="WSF17"/>
      <c r="WSG17"/>
      <c r="WSH17"/>
      <c r="WSI17"/>
      <c r="WSJ17"/>
      <c r="WSK17"/>
      <c r="WSL17"/>
      <c r="WSM17"/>
      <c r="WSN17"/>
      <c r="WSO17"/>
      <c r="WSP17"/>
      <c r="WSQ17"/>
      <c r="WSR17"/>
      <c r="WSS17"/>
      <c r="WST17"/>
      <c r="WSU17"/>
      <c r="WSV17"/>
      <c r="WSW17"/>
      <c r="WSX17"/>
      <c r="WSY17"/>
      <c r="WSZ17"/>
      <c r="WTA17"/>
      <c r="WTB17"/>
      <c r="WTC17"/>
      <c r="WTD17"/>
      <c r="WTE17"/>
      <c r="WTF17"/>
      <c r="WTG17"/>
      <c r="WTH17"/>
      <c r="WTI17"/>
      <c r="WTJ17"/>
      <c r="WTK17"/>
      <c r="WTL17"/>
      <c r="WTM17"/>
      <c r="WTN17"/>
      <c r="WTO17"/>
      <c r="WTP17"/>
      <c r="WTQ17"/>
      <c r="WTR17"/>
      <c r="WTS17"/>
      <c r="WTT17"/>
      <c r="WTU17"/>
      <c r="WTV17"/>
      <c r="WTW17"/>
      <c r="WTX17"/>
      <c r="WTY17"/>
      <c r="WTZ17"/>
      <c r="WUA17"/>
      <c r="WUB17"/>
      <c r="WUC17"/>
      <c r="WUD17"/>
      <c r="WUE17"/>
      <c r="WUF17"/>
      <c r="WUG17"/>
      <c r="WUH17"/>
      <c r="WUI17"/>
      <c r="WUJ17"/>
      <c r="WUK17"/>
      <c r="WUL17"/>
      <c r="WUM17"/>
      <c r="WUN17"/>
      <c r="WUO17"/>
      <c r="WUP17"/>
      <c r="WUQ17"/>
      <c r="WUR17"/>
      <c r="WUS17"/>
      <c r="WUT17"/>
      <c r="WUU17"/>
      <c r="WUV17"/>
      <c r="WUW17"/>
      <c r="WUX17"/>
      <c r="WUY17"/>
      <c r="WUZ17"/>
      <c r="WVA17"/>
      <c r="WVB17"/>
      <c r="WVC17"/>
      <c r="WVD17"/>
      <c r="WVE17"/>
      <c r="WVF17"/>
      <c r="WVG17"/>
      <c r="WVH17"/>
      <c r="WVI17"/>
      <c r="WVJ17"/>
      <c r="WVK17"/>
      <c r="WVL17"/>
      <c r="WVM17"/>
      <c r="WVN17"/>
      <c r="WVO17"/>
      <c r="WVP17"/>
      <c r="WVQ17"/>
      <c r="WVR17"/>
      <c r="WVS17"/>
      <c r="WVT17"/>
      <c r="WVU17"/>
      <c r="WVV17"/>
      <c r="WVW17"/>
      <c r="WVX17"/>
      <c r="WVY17"/>
      <c r="WVZ17"/>
      <c r="WWA17"/>
      <c r="WWB17"/>
      <c r="WWC17"/>
      <c r="WWD17"/>
      <c r="WWE17"/>
      <c r="WWF17"/>
      <c r="WWG17"/>
      <c r="WWH17"/>
      <c r="WWI17"/>
      <c r="WWJ17"/>
      <c r="WWK17"/>
      <c r="WWL17"/>
      <c r="WWM17"/>
      <c r="WWN17"/>
      <c r="WWO17"/>
      <c r="WWP17"/>
      <c r="WWQ17"/>
      <c r="WWR17"/>
      <c r="WWS17"/>
      <c r="WWT17"/>
      <c r="WWU17"/>
      <c r="WWV17"/>
      <c r="WWW17"/>
      <c r="WWX17"/>
      <c r="WWY17"/>
      <c r="WWZ17"/>
      <c r="WXA17"/>
      <c r="WXB17"/>
      <c r="WXC17"/>
      <c r="WXD17"/>
      <c r="WXE17"/>
      <c r="WXF17"/>
      <c r="WXG17"/>
      <c r="WXH17"/>
      <c r="WXI17"/>
      <c r="WXJ17"/>
      <c r="WXK17"/>
      <c r="WXL17"/>
      <c r="WXM17"/>
      <c r="WXN17"/>
      <c r="WXO17"/>
      <c r="WXP17"/>
      <c r="WXQ17"/>
      <c r="WXR17"/>
      <c r="WXS17"/>
      <c r="WXT17"/>
      <c r="WXU17"/>
      <c r="WXV17"/>
      <c r="WXW17"/>
      <c r="WXX17"/>
      <c r="WXY17"/>
      <c r="WXZ17"/>
      <c r="WYA17"/>
      <c r="WYB17"/>
      <c r="WYC17"/>
      <c r="WYD17"/>
      <c r="WYE17"/>
      <c r="WYF17"/>
      <c r="WYG17"/>
      <c r="WYH17"/>
      <c r="WYI17"/>
      <c r="WYJ17"/>
      <c r="WYK17"/>
      <c r="WYL17"/>
      <c r="WYM17"/>
      <c r="WYN17"/>
      <c r="WYO17"/>
      <c r="WYP17"/>
      <c r="WYQ17"/>
      <c r="WYR17"/>
      <c r="WYS17"/>
      <c r="WYT17"/>
      <c r="WYU17"/>
      <c r="WYV17"/>
      <c r="WYW17"/>
      <c r="WYX17"/>
      <c r="WYY17"/>
      <c r="WYZ17"/>
      <c r="WZA17"/>
      <c r="WZB17"/>
      <c r="WZC17"/>
      <c r="WZD17"/>
      <c r="WZE17"/>
      <c r="WZF17"/>
      <c r="WZG17"/>
      <c r="WZH17"/>
      <c r="WZI17"/>
      <c r="WZJ17"/>
      <c r="WZK17"/>
      <c r="WZL17"/>
      <c r="WZM17"/>
      <c r="WZN17"/>
      <c r="WZO17"/>
      <c r="WZP17"/>
      <c r="WZQ17"/>
      <c r="WZR17"/>
      <c r="WZS17"/>
      <c r="WZT17"/>
      <c r="WZU17"/>
      <c r="WZV17"/>
      <c r="WZW17"/>
      <c r="WZX17"/>
      <c r="WZY17"/>
      <c r="WZZ17"/>
      <c r="XAA17"/>
      <c r="XAB17"/>
      <c r="XAC17"/>
      <c r="XAD17"/>
      <c r="XAE17"/>
      <c r="XAF17"/>
      <c r="XAG17"/>
      <c r="XAH17"/>
      <c r="XAI17"/>
      <c r="XAJ17"/>
      <c r="XAK17"/>
      <c r="XAL17"/>
      <c r="XAM17"/>
      <c r="XAN17"/>
      <c r="XAO17"/>
      <c r="XAP17"/>
      <c r="XAQ17"/>
      <c r="XAR17"/>
      <c r="XAS17"/>
      <c r="XAT17"/>
      <c r="XAU17"/>
      <c r="XAV17"/>
      <c r="XAW17"/>
      <c r="XAX17"/>
      <c r="XAY17"/>
      <c r="XAZ17"/>
      <c r="XBA17"/>
      <c r="XBB17"/>
      <c r="XBC17"/>
      <c r="XBD17"/>
      <c r="XBE17"/>
      <c r="XBF17"/>
      <c r="XBG17"/>
      <c r="XBH17"/>
      <c r="XBI17"/>
      <c r="XBJ17"/>
      <c r="XBK17"/>
      <c r="XBL17"/>
      <c r="XBM17"/>
      <c r="XBN17"/>
      <c r="XBO17"/>
      <c r="XBP17"/>
      <c r="XBQ17"/>
      <c r="XBR17"/>
      <c r="XBS17"/>
      <c r="XBT17"/>
      <c r="XBU17"/>
      <c r="XBV17"/>
      <c r="XBW17"/>
      <c r="XBX17"/>
      <c r="XBY17"/>
      <c r="XBZ17"/>
      <c r="XCA17"/>
      <c r="XCB17"/>
      <c r="XCC17"/>
      <c r="XCD17"/>
      <c r="XCE17"/>
      <c r="XCF17"/>
      <c r="XCG17"/>
      <c r="XCH17"/>
      <c r="XCI17"/>
      <c r="XCJ17"/>
      <c r="XCK17"/>
      <c r="XCL17"/>
      <c r="XCM17"/>
      <c r="XCN17"/>
      <c r="XCO17"/>
      <c r="XCP17"/>
      <c r="XCQ17"/>
      <c r="XCR17"/>
      <c r="XCS17"/>
      <c r="XCT17"/>
      <c r="XCU17"/>
      <c r="XCV17"/>
      <c r="XCW17"/>
      <c r="XCX17"/>
      <c r="XCY17"/>
      <c r="XCZ17"/>
      <c r="XDA17"/>
      <c r="XDB17"/>
      <c r="XDC17"/>
      <c r="XDD17"/>
      <c r="XDE17"/>
      <c r="XDF17"/>
      <c r="XDG17"/>
      <c r="XDH17"/>
      <c r="XDI17"/>
      <c r="XDJ17"/>
      <c r="XDK17"/>
      <c r="XDL17"/>
      <c r="XDM17"/>
      <c r="XDN17"/>
      <c r="XDO17"/>
      <c r="XDP17"/>
      <c r="XDQ17"/>
      <c r="XDR17"/>
      <c r="XDS17"/>
      <c r="XDT17"/>
      <c r="XDU17"/>
      <c r="XDV17"/>
      <c r="XDW17"/>
      <c r="XDX17"/>
      <c r="XDY17"/>
      <c r="XDZ17"/>
      <c r="XEA17"/>
      <c r="XEB17"/>
      <c r="XEC17"/>
      <c r="XED17"/>
      <c r="XEE17"/>
      <c r="XEF17"/>
      <c r="XEG17"/>
      <c r="XEH17"/>
      <c r="XEI17"/>
      <c r="XEJ17"/>
      <c r="XEK17"/>
      <c r="XEL17"/>
      <c r="XEM17"/>
      <c r="XEN17"/>
      <c r="XEO17"/>
      <c r="XEP17"/>
      <c r="XEQ17"/>
      <c r="XER17"/>
      <c r="XES17"/>
      <c r="XET17"/>
      <c r="XEU17"/>
      <c r="XEV17"/>
      <c r="XEW17"/>
      <c r="XEX17"/>
      <c r="XEY17"/>
      <c r="XEZ17"/>
      <c r="XFA17"/>
      <c r="XFB17"/>
      <c r="XFC17"/>
      <c r="XFD17"/>
    </row>
    <row r="18" spans="1:154 14670:16384" s="9" customFormat="1" ht="15.75" hidden="1" thickBot="1" x14ac:dyDescent="0.3">
      <c r="A18" s="34">
        <v>4</v>
      </c>
      <c r="B18" s="33" t="s">
        <v>113</v>
      </c>
      <c r="C18" s="27" t="str">
        <f ca="1">IFERROR(IF(AND(C$13  &gt;= $AB$33, C$13 &lt;= $AB$34),VLOOKUP($G$1,INDIRECT("'" &amp;'Caller Portal Instructions'!D$25&amp;"'!$B$4:$P$200"),13, FALSE),""),"")</f>
        <v/>
      </c>
      <c r="D18" s="27" t="str">
        <f ca="1">IFERROR(IF(AND(D$13  &gt;= $AB$33, D$13 &lt;= $AB$34),VLOOKUP($G$1,INDIRECT("'" &amp;'Caller Portal Instructions'!E$25&amp;"'!$B$4:$P$200"),13, FALSE),""),"")</f>
        <v/>
      </c>
      <c r="E18" s="27" t="str">
        <f ca="1">IFERROR(IF(AND(E$13  &gt;= $AB$33, E$13 &lt;= $AB$34),VLOOKUP($G$1,INDIRECT("'" &amp;'Caller Portal Instructions'!F$25&amp;"'!$B$4:$P$200"),13, FALSE),""),"")</f>
        <v/>
      </c>
      <c r="F18" s="27" t="str">
        <f ca="1">IFERROR(IF(AND(F$13  &gt;= $AB$33, F$13 &lt;= $AB$34),VLOOKUP($G$1,INDIRECT("'" &amp;'Caller Portal Instructions'!G$25&amp;"'!$B$4:$P$200"),13, FALSE),""),"")</f>
        <v/>
      </c>
      <c r="G18" s="27" t="str">
        <f ca="1">IFERROR(IF(AND(G$13  &gt;= $AB$33, G$13 &lt;= $AB$34),VLOOKUP($G$1,INDIRECT("'" &amp;'Caller Portal Instructions'!H$25&amp;"'!$B$4:$P$200"),13, FALSE),""),"")</f>
        <v/>
      </c>
      <c r="H18" s="27" t="str">
        <f ca="1">IFERROR(IF(AND(H$13  &gt;= $AB$33, H$13 &lt;= $AB$34),VLOOKUP($G$1,INDIRECT("'" &amp;'Caller Portal Instructions'!I$25&amp;"'!$B$4:$P$200"),13, FALSE),""),"")</f>
        <v/>
      </c>
      <c r="I18" s="27" t="str">
        <f ca="1">IFERROR(IF(AND(I$13  &gt;= $AB$33, I$13 &lt;= $AB$34),VLOOKUP($G$1,INDIRECT("'" &amp;'Caller Portal Instructions'!J$25&amp;"'!$B$4:$P$200"),13, FALSE),""),"")</f>
        <v/>
      </c>
      <c r="J18" s="27" t="str">
        <f ca="1">IFERROR(IF(AND(J$13  &gt;= $AB$33, J$13 &lt;= $AB$34),VLOOKUP($G$1,INDIRECT("'" &amp;'Caller Portal Instructions'!K$25&amp;"'!$B$4:$P$200"),13, FALSE),""),"")</f>
        <v/>
      </c>
      <c r="K18" s="27" t="str">
        <f ca="1">IFERROR(IF(AND(K$13  &gt;= $AB$33, K$13 &lt;= $AB$34),VLOOKUP($G$1,INDIRECT("'" &amp;'Caller Portal Instructions'!L$25&amp;"'!$B$4:$P$200"),13, FALSE),""),"")</f>
        <v/>
      </c>
      <c r="L18" s="27" t="str">
        <f ca="1">IFERROR(IF(AND(L$13  &gt;= $AB$33, L$13 &lt;= $AB$34),VLOOKUP($G$1,INDIRECT("'" &amp;'Caller Portal Instructions'!M$25&amp;"'!$B$4:$P$200"),13, FALSE),""),"")</f>
        <v/>
      </c>
      <c r="M18" s="27" t="str">
        <f ca="1">IFERROR(IF(AND(M$13  &gt;= $AB$33, M$13 &lt;= $AB$34),VLOOKUP($G$1,INDIRECT("'" &amp;'Caller Portal Instructions'!N$25&amp;"'!$B$4:$P$200"),13, FALSE),""),"")</f>
        <v/>
      </c>
      <c r="N18" s="27" t="str">
        <f ca="1">IFERROR(IF(AND(N$13  &gt;= $AB$33, N$13 &lt;= $AB$34),VLOOKUP($G$1,INDIRECT("'" &amp;'Caller Portal Instructions'!O$25&amp;"'!$B$4:$P$200"),13, FALSE),""),"")</f>
        <v/>
      </c>
      <c r="O18" s="27" t="str">
        <f ca="1">IFERROR(IF(AND(O$13  &gt;= $AB$33, O$13 &lt;= $AB$34),VLOOKUP($G$1,INDIRECT("'" &amp;'Caller Portal Instructions'!P$25&amp;"'!$B$4:$P$200"),13, FALSE),""),"")</f>
        <v/>
      </c>
      <c r="P18" s="27" t="str">
        <f ca="1">IFERROR(IF(AND(P$13  &gt;= $AB$33, P$13 &lt;= $AB$34),VLOOKUP($G$1,INDIRECT("'" &amp;'Caller Portal Instructions'!Q$25&amp;"'!$B$4:$P$200"),13, FALSE),""),"")</f>
        <v/>
      </c>
      <c r="Q18" s="27" t="str">
        <f ca="1">IFERROR(IF(AND(Q$13  &gt;= $AB$33, Q$13 &lt;= $AB$34),VLOOKUP($G$1,INDIRECT("'" &amp;'Caller Portal Instructions'!R$25&amp;"'!$B$4:$P$200"),13, FALSE),""),"")</f>
        <v/>
      </c>
      <c r="R18" s="27" t="str">
        <f ca="1">IFERROR(IF(AND(R$13  &gt;= $AB$33, R$13 &lt;= $AB$34),VLOOKUP($G$1,INDIRECT("'" &amp;'Caller Portal Instructions'!S$25&amp;"'!$B$4:$P$200"),13, FALSE),""),"")</f>
        <v/>
      </c>
      <c r="S18" s="27" t="str">
        <f ca="1">IFERROR(IF(AND(S$13  &gt;= $AB$33, S$13 &lt;= $AB$34),VLOOKUP($G$1,INDIRECT("'" &amp;'Caller Portal Instructions'!T$25&amp;"'!$B$4:$P$200"),13, FALSE),""),"")</f>
        <v/>
      </c>
      <c r="T18" s="27" t="str">
        <f ca="1">IFERROR(IF(AND(T$13  &gt;= $AB$33, T$13 &lt;= $AB$34),VLOOKUP($G$1,INDIRECT("'" &amp;'Caller Portal Instructions'!U$25&amp;"'!$B$4:$P$200"),13, FALSE),""),"")</f>
        <v/>
      </c>
      <c r="U18" s="27" t="str">
        <f ca="1">IFERROR(IF(AND(U$13  &gt;= $AB$33, U$13 &lt;= $AB$34),VLOOKUP($G$1,INDIRECT("'" &amp;'Caller Portal Instructions'!V$25&amp;"'!$B$4:$P$200"),13, FALSE),""),"")</f>
        <v/>
      </c>
      <c r="V18" s="27" t="str">
        <f ca="1">IFERROR(IF(AND(V$13  &gt;= $AB$33, V$13 &lt;= $AB$34),VLOOKUP($G$1,INDIRECT("'" &amp;'Caller Portal Instructions'!W$25&amp;"'!$B$4:$P$200"),13, FALSE),""),"")</f>
        <v/>
      </c>
      <c r="W18" s="27" t="str">
        <f ca="1">IFERROR(IF(AND(W$13  &gt;= $AB$33, W$13 &lt;= $AB$34),VLOOKUP($G$1,INDIRECT("'" &amp;'Caller Portal Instructions'!X$25&amp;"'!$B$4:$P$200"),13, FALSE),""),"")</f>
        <v/>
      </c>
      <c r="X18" s="27" t="str">
        <f ca="1">IFERROR(IF(AND(X$13  &gt;= $AB$33, X$13 &lt;= $AB$34),VLOOKUP($G$1,INDIRECT("'" &amp;'Caller Portal Instructions'!Y$25&amp;"'!$B$4:$P$200"),13, FALSE),""),"")</f>
        <v/>
      </c>
      <c r="Y18" s="27" t="str">
        <f ca="1">IFERROR(IF(AND(Y$13  &gt;= $AB$33, Y$13 &lt;= $AB$34),VLOOKUP($G$1,INDIRECT("'" &amp;'Caller Portal Instructions'!Z$25&amp;"'!$B$4:$P$200"),13, FALSE),""),"")</f>
        <v/>
      </c>
      <c r="Z18" s="27" t="str">
        <f ca="1">IFERROR(IF(AND(Z$13  &gt;= $AB$33, Z$13 &lt;= $AB$34),VLOOKUP($G$1,INDIRECT("'" &amp;'Caller Portal Instructions'!AA$25&amp;"'!$B$4:$P$200"),13, FALSE),""),"")</f>
        <v/>
      </c>
      <c r="AA18" s="27" t="str">
        <f ca="1">IFERROR(IF(AND(AA$13  &gt;= $AB$33, AA$13 &lt;= $AB$34),VLOOKUP($G$1,INDIRECT("'" &amp;'Caller Portal Instructions'!AB$25&amp;"'!$B$4:$P$200"),13, FALSE),""),"")</f>
        <v/>
      </c>
      <c r="AB18" s="27" t="str">
        <f ca="1">IFERROR(IF(AND(AB$13  &gt;= $AB$33, AB$13 &lt;= $AB$34),VLOOKUP($G$1,INDIRECT("'" &amp;'Caller Portal Instructions'!AC$25&amp;"'!$B$4:$P$200"),13, FALSE),""),"")</f>
        <v/>
      </c>
      <c r="AC18" s="27" t="str">
        <f ca="1">IFERROR(IF(AND(AC$13  &gt;= $AB$33, AC$13 &lt;= $AB$34),VLOOKUP($G$1,INDIRECT("'" &amp;'Caller Portal Instructions'!AD$25&amp;"'!$B$4:$P$200"),13, FALSE),""),"")</f>
        <v/>
      </c>
      <c r="AD18" s="27" t="str">
        <f ca="1">IFERROR(IF(AND(AD$13  &gt;= $AB$33, AD$13 &lt;= $AB$34),VLOOKUP($G$1,INDIRECT("'" &amp;'Caller Portal Instructions'!AE$25&amp;"'!$B$4:$P$200"),13, FALSE),""),"")</f>
        <v/>
      </c>
      <c r="AE18" s="27" t="str">
        <f ca="1">IFERROR(IF(AND(AE$13  &gt;= $AB$33, AE$13 &lt;= $AB$34),VLOOKUP($G$1,INDIRECT("'" &amp;'Caller Portal Instructions'!AF$25&amp;"'!$B$4:$P$200"),13, FALSE),""),"")</f>
        <v/>
      </c>
      <c r="AF18" s="27" t="str">
        <f ca="1">IFERROR(IF(AND(AF$13  &gt;= $AB$33, AF$13 &lt;= $AB$34),VLOOKUP($G$1,INDIRECT("'" &amp;'Caller Portal Instructions'!AG$25&amp;"'!$B$4:$P$200"),13, FALSE),""),"")</f>
        <v/>
      </c>
      <c r="AG18" s="27" t="str">
        <f ca="1">IFERROR(IF(AND(AG$13  &gt;= $AB$33, AG$13 &lt;= $AB$34),VLOOKUP($G$1,INDIRECT("'" &amp;'Caller Portal Instructions'!AH$25&amp;"'!$B$4:$P$200"),13, FALSE),""),"")</f>
        <v/>
      </c>
      <c r="AH18" s="27" t="str">
        <f ca="1">IFERROR(IF(AND(AH$13  &gt;= $AB$33, AH$13 &lt;= $AB$34),VLOOKUP($G$1,INDIRECT("'" &amp;'Caller Portal Instructions'!AI$25&amp;"'!$B$4:$P$200"),13, FALSE),""),"")</f>
        <v/>
      </c>
      <c r="AI18" s="27" t="str">
        <f ca="1">IFERROR(IF(AND(AI$13  &gt;= $AB$33, AI$13 &lt;= $AB$34),VLOOKUP($G$1,INDIRECT("'" &amp;'Caller Portal Instructions'!AJ$25&amp;"'!$B$4:$P$200"),13, FALSE),""),"")</f>
        <v/>
      </c>
      <c r="AJ18" s="27" t="str">
        <f ca="1">IFERROR(IF(AND(AJ$13  &gt;= $AB$33, AJ$13 &lt;= $AB$34),VLOOKUP($G$1,INDIRECT("'" &amp;'Caller Portal Instructions'!AK$25&amp;"'!$B$4:$P$200"),13, FALSE),""),"")</f>
        <v/>
      </c>
      <c r="AK18" s="27" t="str">
        <f ca="1">IFERROR(IF(AND(AK$13  &gt;= $AB$33, AK$13 &lt;= $AB$34),VLOOKUP($G$1,INDIRECT("'" &amp;'Caller Portal Instructions'!AL$25&amp;"'!$B$4:$P$200"),13, FALSE),""),"")</f>
        <v/>
      </c>
      <c r="AL18" s="27" t="str">
        <f ca="1">IFERROR(IF(AND(AL$13  &gt;= $AB$33, AL$13 &lt;= $AB$34),VLOOKUP($G$1,INDIRECT("'" &amp;'Caller Portal Instructions'!AM$25&amp;"'!$B$4:$P$200"),13, FALSE),""),"")</f>
        <v/>
      </c>
      <c r="AM18" s="27" t="str">
        <f ca="1">IFERROR(IF(AND(AM$13  &gt;= $AB$33, AM$13 &lt;= $AB$34),VLOOKUP($G$1,INDIRECT("'" &amp;'Caller Portal Instructions'!AN$25&amp;"'!$B$4:$P$200"),13, FALSE),""),"")</f>
        <v/>
      </c>
      <c r="AN18" s="27" t="str">
        <f ca="1">IFERROR(IF(AND(AN$13  &gt;= $AB$33, AN$13 &lt;= $AB$34),VLOOKUP($G$1,INDIRECT("'" &amp;'Caller Portal Instructions'!AO$25&amp;"'!$B$4:$P$200"),13, FALSE),""),"")</f>
        <v/>
      </c>
      <c r="AO18" s="27" t="str">
        <f ca="1">IFERROR(IF(AND(AO$13  &gt;= $AB$33, AO$13 &lt;= $AB$34),VLOOKUP($G$1,INDIRECT("'" &amp;'Caller Portal Instructions'!AP$25&amp;"'!$B$4:$P$200"),13, FALSE),""),"")</f>
        <v/>
      </c>
      <c r="AP18" s="27" t="str">
        <f ca="1">IFERROR(IF(AND(AP$13  &gt;= $AB$33, AP$13 &lt;= $AB$34),VLOOKUP($G$1,INDIRECT("'" &amp;'Caller Portal Instructions'!AQ$25&amp;"'!$B$4:$P$200"),13, FALSE),""),"")</f>
        <v/>
      </c>
      <c r="AQ18" s="27" t="str">
        <f ca="1">IFERROR(IF(AND(AQ$13  &gt;= $AB$33, AQ$13 &lt;= $AB$34),VLOOKUP($G$1,INDIRECT("'" &amp;'Caller Portal Instructions'!AR$25&amp;"'!$B$4:$P$200"),13, FALSE),""),"")</f>
        <v/>
      </c>
      <c r="AR18" s="27" t="str">
        <f ca="1">IFERROR(IF(AND(AR$13  &gt;= $AB$33, AR$13 &lt;= $AB$34),VLOOKUP($G$1,INDIRECT("'" &amp;'Caller Portal Instructions'!AS$25&amp;"'!$B$4:$P$200"),13, FALSE),""),"")</f>
        <v/>
      </c>
      <c r="AS18" s="27" t="str">
        <f ca="1">IFERROR(IF(AND(AS$13  &gt;= $AB$33, AS$13 &lt;= $AB$34),VLOOKUP($G$1,INDIRECT("'" &amp;'Caller Portal Instructions'!AT$25&amp;"'!$B$4:$P$200"),13, FALSE),""),"")</f>
        <v/>
      </c>
      <c r="AT18" s="27" t="str">
        <f ca="1">IFERROR(IF(AND(AT$13  &gt;= $AB$33, AT$13 &lt;= $AB$34),VLOOKUP($G$1,INDIRECT("'" &amp;'Caller Portal Instructions'!AU$25&amp;"'!$B$4:$P$200"),13, FALSE),""),"")</f>
        <v/>
      </c>
      <c r="AU18" s="27" t="str">
        <f ca="1">IFERROR(IF(AND(AU$13  &gt;= $AB$33, AU$13 &lt;= $AB$34),VLOOKUP($G$1,INDIRECT("'" &amp;'Caller Portal Instructions'!AV$25&amp;"'!$B$4:$P$200"),13, FALSE),""),"")</f>
        <v/>
      </c>
      <c r="AV18" s="27" t="str">
        <f ca="1">IFERROR(IF(AND(AV$13  &gt;= $AB$33, AV$13 &lt;= $AB$34),VLOOKUP($G$1,INDIRECT("'" &amp;'Caller Portal Instructions'!AW$25&amp;"'!$B$4:$P$200"),13, FALSE),""),"")</f>
        <v/>
      </c>
      <c r="AW18" s="27" t="str">
        <f ca="1">IFERROR(IF(AND(AW$13  &gt;= $AB$33, AW$13 &lt;= $AB$34),VLOOKUP($G$1,INDIRECT("'" &amp;'Caller Portal Instructions'!AX$25&amp;"'!$B$4:$P$200"),13, FALSE),""),"")</f>
        <v/>
      </c>
      <c r="AX18" s="27" t="str">
        <f ca="1">IFERROR(IF(AND(AX$13  &gt;= $AB$33, AX$13 &lt;= $AB$34),VLOOKUP($G$1,INDIRECT("'" &amp;'Caller Portal Instructions'!AY$25&amp;"'!$B$4:$P$200"),13, FALSE),""),"")</f>
        <v/>
      </c>
      <c r="AY18" s="27" t="str">
        <f ca="1">IFERROR(IF(AND(AY$13  &gt;= $AB$33, AY$13 &lt;= $AB$34),VLOOKUP($G$1,INDIRECT("'" &amp;'Caller Portal Instructions'!AZ$25&amp;"'!$B$4:$P$200"),13, FALSE),""),"")</f>
        <v/>
      </c>
      <c r="AZ18" s="27" t="str">
        <f ca="1">IFERROR(IF(AND(AZ$13  &gt;= $AB$33, AZ$13 &lt;= $AB$34),VLOOKUP($G$1,INDIRECT("'" &amp;'Caller Portal Instructions'!BA$25&amp;"'!$B$4:$P$200"),13, FALSE),""),"")</f>
        <v/>
      </c>
      <c r="BA18" s="19"/>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URF18"/>
      <c r="URG18"/>
      <c r="URH18"/>
      <c r="URI18"/>
      <c r="URJ18"/>
      <c r="URK18"/>
      <c r="URL18"/>
      <c r="URM18"/>
      <c r="URN18"/>
      <c r="URO18"/>
      <c r="URP18"/>
      <c r="URQ18"/>
      <c r="URR18"/>
      <c r="URS18"/>
      <c r="URT18"/>
      <c r="URU18"/>
      <c r="URV18"/>
      <c r="URW18"/>
      <c r="URX18"/>
      <c r="URY18"/>
      <c r="URZ18"/>
      <c r="USA18"/>
      <c r="USB18"/>
      <c r="USC18"/>
      <c r="USD18"/>
      <c r="USE18"/>
      <c r="USF18"/>
      <c r="USG18"/>
      <c r="USH18"/>
      <c r="USI18"/>
      <c r="USJ18"/>
      <c r="USK18"/>
      <c r="USL18"/>
      <c r="USM18"/>
      <c r="USN18"/>
      <c r="USO18"/>
      <c r="USP18"/>
      <c r="USQ18"/>
      <c r="USR18"/>
      <c r="USS18"/>
      <c r="UST18"/>
      <c r="USU18"/>
      <c r="USV18"/>
      <c r="USW18"/>
      <c r="USX18"/>
      <c r="USY18"/>
      <c r="USZ18"/>
      <c r="UTA18"/>
      <c r="UTB18"/>
      <c r="UTC18"/>
      <c r="UTD18"/>
      <c r="UTE18"/>
      <c r="UTF18"/>
      <c r="UTG18"/>
      <c r="UTH18"/>
      <c r="UTI18"/>
      <c r="UTJ18"/>
      <c r="UTK18"/>
      <c r="UTL18"/>
      <c r="UTM18"/>
      <c r="UTN18"/>
      <c r="UTO18"/>
      <c r="UTP18"/>
      <c r="UTQ18"/>
      <c r="UTR18"/>
      <c r="UTS18"/>
      <c r="UTT18"/>
      <c r="UTU18"/>
      <c r="UTV18"/>
      <c r="UTW18"/>
      <c r="UTX18"/>
      <c r="UTY18"/>
      <c r="UTZ18"/>
      <c r="UUA18"/>
      <c r="UUB18"/>
      <c r="UUC18"/>
      <c r="UUD18"/>
      <c r="UUE18"/>
      <c r="UUF18"/>
      <c r="UUG18"/>
      <c r="UUH18"/>
      <c r="UUI18"/>
      <c r="UUJ18"/>
      <c r="UUK18"/>
      <c r="UUL18"/>
      <c r="UUM18"/>
      <c r="UUN18"/>
      <c r="UUO18"/>
      <c r="UUP18"/>
      <c r="UUQ18"/>
      <c r="UUR18"/>
      <c r="UUS18"/>
      <c r="UUT18"/>
      <c r="UUU18"/>
      <c r="UUV18"/>
      <c r="UUW18"/>
      <c r="UUX18"/>
      <c r="UUY18"/>
      <c r="UUZ18"/>
      <c r="UVA18"/>
      <c r="UVB18"/>
      <c r="UVC18"/>
      <c r="UVD18"/>
      <c r="UVE18"/>
      <c r="UVF18"/>
      <c r="UVG18"/>
      <c r="UVH18"/>
      <c r="UVI18"/>
      <c r="UVJ18"/>
      <c r="UVK18"/>
      <c r="UVL18"/>
      <c r="UVM18"/>
      <c r="UVN18"/>
      <c r="UVO18"/>
      <c r="UVP18"/>
      <c r="UVQ18"/>
      <c r="UVR18"/>
      <c r="UVS18"/>
      <c r="UVT18"/>
      <c r="UVU18"/>
      <c r="UVV18"/>
      <c r="UVW18"/>
      <c r="UVX18"/>
      <c r="UVY18"/>
      <c r="UVZ18"/>
      <c r="UWA18"/>
      <c r="UWB18"/>
      <c r="UWC18"/>
      <c r="UWD18"/>
      <c r="UWE18"/>
      <c r="UWF18"/>
      <c r="UWG18"/>
      <c r="UWH18"/>
      <c r="UWI18"/>
      <c r="UWJ18"/>
      <c r="UWK18"/>
      <c r="UWL18"/>
      <c r="UWM18"/>
      <c r="UWN18"/>
      <c r="UWO18"/>
      <c r="UWP18"/>
      <c r="UWQ18"/>
      <c r="UWR18"/>
      <c r="UWS18"/>
      <c r="UWT18"/>
      <c r="UWU18"/>
      <c r="UWV18"/>
      <c r="UWW18"/>
      <c r="UWX18"/>
      <c r="UWY18"/>
      <c r="UWZ18"/>
      <c r="UXA18"/>
      <c r="UXB18"/>
      <c r="UXC18"/>
      <c r="UXD18"/>
      <c r="UXE18"/>
      <c r="UXF18"/>
      <c r="UXG18"/>
      <c r="UXH18"/>
      <c r="UXI18"/>
      <c r="UXJ18"/>
      <c r="UXK18"/>
      <c r="UXL18"/>
      <c r="UXM18"/>
      <c r="UXN18"/>
      <c r="UXO18"/>
      <c r="UXP18"/>
      <c r="UXQ18"/>
      <c r="UXR18"/>
      <c r="UXS18"/>
      <c r="UXT18"/>
      <c r="UXU18"/>
      <c r="UXV18"/>
      <c r="UXW18"/>
      <c r="UXX18"/>
      <c r="UXY18"/>
      <c r="UXZ18"/>
      <c r="UYA18"/>
      <c r="UYB18"/>
      <c r="UYC18"/>
      <c r="UYD18"/>
      <c r="UYE18"/>
      <c r="UYF18"/>
      <c r="UYG18"/>
      <c r="UYH18"/>
      <c r="UYI18"/>
      <c r="UYJ18"/>
      <c r="UYK18"/>
      <c r="UYL18"/>
      <c r="UYM18"/>
      <c r="UYN18"/>
      <c r="UYO18"/>
      <c r="UYP18"/>
      <c r="UYQ18"/>
      <c r="UYR18"/>
      <c r="UYS18"/>
      <c r="UYT18"/>
      <c r="UYU18"/>
      <c r="UYV18"/>
      <c r="UYW18"/>
      <c r="UYX18"/>
      <c r="UYY18"/>
      <c r="UYZ18"/>
      <c r="UZA18"/>
      <c r="UZB18"/>
      <c r="UZC18"/>
      <c r="UZD18"/>
      <c r="UZE18"/>
      <c r="UZF18"/>
      <c r="UZG18"/>
      <c r="UZH18"/>
      <c r="UZI18"/>
      <c r="UZJ18"/>
      <c r="UZK18"/>
      <c r="UZL18"/>
      <c r="UZM18"/>
      <c r="UZN18"/>
      <c r="UZO18"/>
      <c r="UZP18"/>
      <c r="UZQ18"/>
      <c r="UZR18"/>
      <c r="UZS18"/>
      <c r="UZT18"/>
      <c r="UZU18"/>
      <c r="UZV18"/>
      <c r="UZW18"/>
      <c r="UZX18"/>
      <c r="UZY18"/>
      <c r="UZZ18"/>
      <c r="VAA18"/>
      <c r="VAB18"/>
      <c r="VAC18"/>
      <c r="VAD18"/>
      <c r="VAE18"/>
      <c r="VAF18"/>
      <c r="VAG18"/>
      <c r="VAH18"/>
      <c r="VAI18"/>
      <c r="VAJ18"/>
      <c r="VAK18"/>
      <c r="VAL18"/>
      <c r="VAM18"/>
      <c r="VAN18"/>
      <c r="VAO18"/>
      <c r="VAP18"/>
      <c r="VAQ18"/>
      <c r="VAR18"/>
      <c r="VAS18"/>
      <c r="VAT18"/>
      <c r="VAU18"/>
      <c r="VAV18"/>
      <c r="VAW18"/>
      <c r="VAX18"/>
      <c r="VAY18"/>
      <c r="VAZ18"/>
      <c r="VBA18"/>
      <c r="VBB18"/>
      <c r="VBC18"/>
      <c r="VBD18"/>
      <c r="VBE18"/>
      <c r="VBF18"/>
      <c r="VBG18"/>
      <c r="VBH18"/>
      <c r="VBI18"/>
      <c r="VBJ18"/>
      <c r="VBK18"/>
      <c r="VBL18"/>
      <c r="VBM18"/>
      <c r="VBN18"/>
      <c r="VBO18"/>
      <c r="VBP18"/>
      <c r="VBQ18"/>
      <c r="VBR18"/>
      <c r="VBS18"/>
      <c r="VBT18"/>
      <c r="VBU18"/>
      <c r="VBV18"/>
      <c r="VBW18"/>
      <c r="VBX18"/>
      <c r="VBY18"/>
      <c r="VBZ18"/>
      <c r="VCA18"/>
      <c r="VCB18"/>
      <c r="VCC18"/>
      <c r="VCD18"/>
      <c r="VCE18"/>
      <c r="VCF18"/>
      <c r="VCG18"/>
      <c r="VCH18"/>
      <c r="VCI18"/>
      <c r="VCJ18"/>
      <c r="VCK18"/>
      <c r="VCL18"/>
      <c r="VCM18"/>
      <c r="VCN18"/>
      <c r="VCO18"/>
      <c r="VCP18"/>
      <c r="VCQ18"/>
      <c r="VCR18"/>
      <c r="VCS18"/>
      <c r="VCT18"/>
      <c r="VCU18"/>
      <c r="VCV18"/>
      <c r="VCW18"/>
      <c r="VCX18"/>
      <c r="VCY18"/>
      <c r="VCZ18"/>
      <c r="VDA18"/>
      <c r="VDB18"/>
      <c r="VDC18"/>
      <c r="VDD18"/>
      <c r="VDE18"/>
      <c r="VDF18"/>
      <c r="VDG18"/>
      <c r="VDH18"/>
      <c r="VDI18"/>
      <c r="VDJ18"/>
      <c r="VDK18"/>
      <c r="VDL18"/>
      <c r="VDM18"/>
      <c r="VDN18"/>
      <c r="VDO18"/>
      <c r="VDP18"/>
      <c r="VDQ18"/>
      <c r="VDR18"/>
      <c r="VDS18"/>
      <c r="VDT18"/>
      <c r="VDU18"/>
      <c r="VDV18"/>
      <c r="VDW18"/>
      <c r="VDX18"/>
      <c r="VDY18"/>
      <c r="VDZ18"/>
      <c r="VEA18"/>
      <c r="VEB18"/>
      <c r="VEC18"/>
      <c r="VED18"/>
      <c r="VEE18"/>
      <c r="VEF18"/>
      <c r="VEG18"/>
      <c r="VEH18"/>
      <c r="VEI18"/>
      <c r="VEJ18"/>
      <c r="VEK18"/>
      <c r="VEL18"/>
      <c r="VEM18"/>
      <c r="VEN18"/>
      <c r="VEO18"/>
      <c r="VEP18"/>
      <c r="VEQ18"/>
      <c r="VER18"/>
      <c r="VES18"/>
      <c r="VET18"/>
      <c r="VEU18"/>
      <c r="VEV18"/>
      <c r="VEW18"/>
      <c r="VEX18"/>
      <c r="VEY18"/>
      <c r="VEZ18"/>
      <c r="VFA18"/>
      <c r="VFB18"/>
      <c r="VFC18"/>
      <c r="VFD18"/>
      <c r="VFE18"/>
      <c r="VFF18"/>
      <c r="VFG18"/>
      <c r="VFH18"/>
      <c r="VFI18"/>
      <c r="VFJ18"/>
      <c r="VFK18"/>
      <c r="VFL18"/>
      <c r="VFM18"/>
      <c r="VFN18"/>
      <c r="VFO18"/>
      <c r="VFP18"/>
      <c r="VFQ18"/>
      <c r="VFR18"/>
      <c r="VFS18"/>
      <c r="VFT18"/>
      <c r="VFU18"/>
      <c r="VFV18"/>
      <c r="VFW18"/>
      <c r="VFX18"/>
      <c r="VFY18"/>
      <c r="VFZ18"/>
      <c r="VGA18"/>
      <c r="VGB18"/>
      <c r="VGC18"/>
      <c r="VGD18"/>
      <c r="VGE18"/>
      <c r="VGF18"/>
      <c r="VGG18"/>
      <c r="VGH18"/>
      <c r="VGI18"/>
      <c r="VGJ18"/>
      <c r="VGK18"/>
      <c r="VGL18"/>
      <c r="VGM18"/>
      <c r="VGN18"/>
      <c r="VGO18"/>
      <c r="VGP18"/>
      <c r="VGQ18"/>
      <c r="VGR18"/>
      <c r="VGS18"/>
      <c r="VGT18"/>
      <c r="VGU18"/>
      <c r="VGV18"/>
      <c r="VGW18"/>
      <c r="VGX18"/>
      <c r="VGY18"/>
      <c r="VGZ18"/>
      <c r="VHA18"/>
      <c r="VHB18"/>
      <c r="VHC18"/>
      <c r="VHD18"/>
      <c r="VHE18"/>
      <c r="VHF18"/>
      <c r="VHG18"/>
      <c r="VHH18"/>
      <c r="VHI18"/>
      <c r="VHJ18"/>
      <c r="VHK18"/>
      <c r="VHL18"/>
      <c r="VHM18"/>
      <c r="VHN18"/>
      <c r="VHO18"/>
      <c r="VHP18"/>
      <c r="VHQ18"/>
      <c r="VHR18"/>
      <c r="VHS18"/>
      <c r="VHT18"/>
      <c r="VHU18"/>
      <c r="VHV18"/>
      <c r="VHW18"/>
      <c r="VHX18"/>
      <c r="VHY18"/>
      <c r="VHZ18"/>
      <c r="VIA18"/>
      <c r="VIB18"/>
      <c r="VIC18"/>
      <c r="VID18"/>
      <c r="VIE18"/>
      <c r="VIF18"/>
      <c r="VIG18"/>
      <c r="VIH18"/>
      <c r="VII18"/>
      <c r="VIJ18"/>
      <c r="VIK18"/>
      <c r="VIL18"/>
      <c r="VIM18"/>
      <c r="VIN18"/>
      <c r="VIO18"/>
      <c r="VIP18"/>
      <c r="VIQ18"/>
      <c r="VIR18"/>
      <c r="VIS18"/>
      <c r="VIT18"/>
      <c r="VIU18"/>
      <c r="VIV18"/>
      <c r="VIW18"/>
      <c r="VIX18"/>
      <c r="VIY18"/>
      <c r="VIZ18"/>
      <c r="VJA18"/>
      <c r="VJB18"/>
      <c r="VJC18"/>
      <c r="VJD18"/>
      <c r="VJE18"/>
      <c r="VJF18"/>
      <c r="VJG18"/>
      <c r="VJH18"/>
      <c r="VJI18"/>
      <c r="VJJ18"/>
      <c r="VJK18"/>
      <c r="VJL18"/>
      <c r="VJM18"/>
      <c r="VJN18"/>
      <c r="VJO18"/>
      <c r="VJP18"/>
      <c r="VJQ18"/>
      <c r="VJR18"/>
      <c r="VJS18"/>
      <c r="VJT18"/>
      <c r="VJU18"/>
      <c r="VJV18"/>
      <c r="VJW18"/>
      <c r="VJX18"/>
      <c r="VJY18"/>
      <c r="VJZ18"/>
      <c r="VKA18"/>
      <c r="VKB18"/>
      <c r="VKC18"/>
      <c r="VKD18"/>
      <c r="VKE18"/>
      <c r="VKF18"/>
      <c r="VKG18"/>
      <c r="VKH18"/>
      <c r="VKI18"/>
      <c r="VKJ18"/>
      <c r="VKK18"/>
      <c r="VKL18"/>
      <c r="VKM18"/>
      <c r="VKN18"/>
      <c r="VKO18"/>
      <c r="VKP18"/>
      <c r="VKQ18"/>
      <c r="VKR18"/>
      <c r="VKS18"/>
      <c r="VKT18"/>
      <c r="VKU18"/>
      <c r="VKV18"/>
      <c r="VKW18"/>
      <c r="VKX18"/>
      <c r="VKY18"/>
      <c r="VKZ18"/>
      <c r="VLA18"/>
      <c r="VLB18"/>
      <c r="VLC18"/>
      <c r="VLD18"/>
      <c r="VLE18"/>
      <c r="VLF18"/>
      <c r="VLG18"/>
      <c r="VLH18"/>
      <c r="VLI18"/>
      <c r="VLJ18"/>
      <c r="VLK18"/>
      <c r="VLL18"/>
      <c r="VLM18"/>
      <c r="VLN18"/>
      <c r="VLO18"/>
      <c r="VLP18"/>
      <c r="VLQ18"/>
      <c r="VLR18"/>
      <c r="VLS18"/>
      <c r="VLT18"/>
      <c r="VLU18"/>
      <c r="VLV18"/>
      <c r="VLW18"/>
      <c r="VLX18"/>
      <c r="VLY18"/>
      <c r="VLZ18"/>
      <c r="VMA18"/>
      <c r="VMB18"/>
      <c r="VMC18"/>
      <c r="VMD18"/>
      <c r="VME18"/>
      <c r="VMF18"/>
      <c r="VMG18"/>
      <c r="VMH18"/>
      <c r="VMI18"/>
      <c r="VMJ18"/>
      <c r="VMK18"/>
      <c r="VML18"/>
      <c r="VMM18"/>
      <c r="VMN18"/>
      <c r="VMO18"/>
      <c r="VMP18"/>
      <c r="VMQ18"/>
      <c r="VMR18"/>
      <c r="VMS18"/>
      <c r="VMT18"/>
      <c r="VMU18"/>
      <c r="VMV18"/>
      <c r="VMW18"/>
      <c r="VMX18"/>
      <c r="VMY18"/>
      <c r="VMZ18"/>
      <c r="VNA18"/>
      <c r="VNB18"/>
      <c r="VNC18"/>
      <c r="VND18"/>
      <c r="VNE18"/>
      <c r="VNF18"/>
      <c r="VNG18"/>
      <c r="VNH18"/>
      <c r="VNI18"/>
      <c r="VNJ18"/>
      <c r="VNK18"/>
      <c r="VNL18"/>
      <c r="VNM18"/>
      <c r="VNN18"/>
      <c r="VNO18"/>
      <c r="VNP18"/>
      <c r="VNQ18"/>
      <c r="VNR18"/>
      <c r="VNS18"/>
      <c r="VNT18"/>
      <c r="VNU18"/>
      <c r="VNV18"/>
      <c r="VNW18"/>
      <c r="VNX18"/>
      <c r="VNY18"/>
      <c r="VNZ18"/>
      <c r="VOA18"/>
      <c r="VOB18"/>
      <c r="VOC18"/>
      <c r="VOD18"/>
      <c r="VOE18"/>
      <c r="VOF18"/>
      <c r="VOG18"/>
      <c r="VOH18"/>
      <c r="VOI18"/>
      <c r="VOJ18"/>
      <c r="VOK18"/>
      <c r="VOL18"/>
      <c r="VOM18"/>
      <c r="VON18"/>
      <c r="VOO18"/>
      <c r="VOP18"/>
      <c r="VOQ18"/>
      <c r="VOR18"/>
      <c r="VOS18"/>
      <c r="VOT18"/>
      <c r="VOU18"/>
      <c r="VOV18"/>
      <c r="VOW18"/>
      <c r="VOX18"/>
      <c r="VOY18"/>
      <c r="VOZ18"/>
      <c r="VPA18"/>
      <c r="VPB18"/>
      <c r="VPC18"/>
      <c r="VPD18"/>
      <c r="VPE18"/>
      <c r="VPF18"/>
      <c r="VPG18"/>
      <c r="VPH18"/>
      <c r="VPI18"/>
      <c r="VPJ18"/>
      <c r="VPK18"/>
      <c r="VPL18"/>
      <c r="VPM18"/>
      <c r="VPN18"/>
      <c r="VPO18"/>
      <c r="VPP18"/>
      <c r="VPQ18"/>
      <c r="VPR18"/>
      <c r="VPS18"/>
      <c r="VPT18"/>
      <c r="VPU18"/>
      <c r="VPV18"/>
      <c r="VPW18"/>
      <c r="VPX18"/>
      <c r="VPY18"/>
      <c r="VPZ18"/>
      <c r="VQA18"/>
      <c r="VQB18"/>
      <c r="VQC18"/>
      <c r="VQD18"/>
      <c r="VQE18"/>
      <c r="VQF18"/>
      <c r="VQG18"/>
      <c r="VQH18"/>
      <c r="VQI18"/>
      <c r="VQJ18"/>
      <c r="VQK18"/>
      <c r="VQL18"/>
      <c r="VQM18"/>
      <c r="VQN18"/>
      <c r="VQO18"/>
      <c r="VQP18"/>
      <c r="VQQ18"/>
      <c r="VQR18"/>
      <c r="VQS18"/>
      <c r="VQT18"/>
      <c r="VQU18"/>
      <c r="VQV18"/>
      <c r="VQW18"/>
      <c r="VQX18"/>
      <c r="VQY18"/>
      <c r="VQZ18"/>
      <c r="VRA18"/>
      <c r="VRB18"/>
      <c r="VRC18"/>
      <c r="VRD18"/>
      <c r="VRE18"/>
      <c r="VRF18"/>
      <c r="VRG18"/>
      <c r="VRH18"/>
      <c r="VRI18"/>
      <c r="VRJ18"/>
      <c r="VRK18"/>
      <c r="VRL18"/>
      <c r="VRM18"/>
      <c r="VRN18"/>
      <c r="VRO18"/>
      <c r="VRP18"/>
      <c r="VRQ18"/>
      <c r="VRR18"/>
      <c r="VRS18"/>
      <c r="VRT18"/>
      <c r="VRU18"/>
      <c r="VRV18"/>
      <c r="VRW18"/>
      <c r="VRX18"/>
      <c r="VRY18"/>
      <c r="VRZ18"/>
      <c r="VSA18"/>
      <c r="VSB18"/>
      <c r="VSC18"/>
      <c r="VSD18"/>
      <c r="VSE18"/>
      <c r="VSF18"/>
      <c r="VSG18"/>
      <c r="VSH18"/>
      <c r="VSI18"/>
      <c r="VSJ18"/>
      <c r="VSK18"/>
      <c r="VSL18"/>
      <c r="VSM18"/>
      <c r="VSN18"/>
      <c r="VSO18"/>
      <c r="VSP18"/>
      <c r="VSQ18"/>
      <c r="VSR18"/>
      <c r="VSS18"/>
      <c r="VST18"/>
      <c r="VSU18"/>
      <c r="VSV18"/>
      <c r="VSW18"/>
      <c r="VSX18"/>
      <c r="VSY18"/>
      <c r="VSZ18"/>
      <c r="VTA18"/>
      <c r="VTB18"/>
      <c r="VTC18"/>
      <c r="VTD18"/>
      <c r="VTE18"/>
      <c r="VTF18"/>
      <c r="VTG18"/>
      <c r="VTH18"/>
      <c r="VTI18"/>
      <c r="VTJ18"/>
      <c r="VTK18"/>
      <c r="VTL18"/>
      <c r="VTM18"/>
      <c r="VTN18"/>
      <c r="VTO18"/>
      <c r="VTP18"/>
      <c r="VTQ18"/>
      <c r="VTR18"/>
      <c r="VTS18"/>
      <c r="VTT18"/>
      <c r="VTU18"/>
      <c r="VTV18"/>
      <c r="VTW18"/>
      <c r="VTX18"/>
      <c r="VTY18"/>
      <c r="VTZ18"/>
      <c r="VUA18"/>
      <c r="VUB18"/>
      <c r="VUC18"/>
      <c r="VUD18"/>
      <c r="VUE18"/>
      <c r="VUF18"/>
      <c r="VUG18"/>
      <c r="VUH18"/>
      <c r="VUI18"/>
      <c r="VUJ18"/>
      <c r="VUK18"/>
      <c r="VUL18"/>
      <c r="VUM18"/>
      <c r="VUN18"/>
      <c r="VUO18"/>
      <c r="VUP18"/>
      <c r="VUQ18"/>
      <c r="VUR18"/>
      <c r="VUS18"/>
      <c r="VUT18"/>
      <c r="VUU18"/>
      <c r="VUV18"/>
      <c r="VUW18"/>
      <c r="VUX18"/>
      <c r="VUY18"/>
      <c r="VUZ18"/>
      <c r="VVA18"/>
      <c r="VVB18"/>
      <c r="VVC18"/>
      <c r="VVD18"/>
      <c r="VVE18"/>
      <c r="VVF18"/>
      <c r="VVG18"/>
      <c r="VVH18"/>
      <c r="VVI18"/>
      <c r="VVJ18"/>
      <c r="VVK18"/>
      <c r="VVL18"/>
      <c r="VVM18"/>
      <c r="VVN18"/>
      <c r="VVO18"/>
      <c r="VVP18"/>
      <c r="VVQ18"/>
      <c r="VVR18"/>
      <c r="VVS18"/>
      <c r="VVT18"/>
      <c r="VVU18"/>
      <c r="VVV18"/>
      <c r="VVW18"/>
      <c r="VVX18"/>
      <c r="VVY18"/>
      <c r="VVZ18"/>
      <c r="VWA18"/>
      <c r="VWB18"/>
      <c r="VWC18"/>
      <c r="VWD18"/>
      <c r="VWE18"/>
      <c r="VWF18"/>
      <c r="VWG18"/>
      <c r="VWH18"/>
      <c r="VWI18"/>
      <c r="VWJ18"/>
      <c r="VWK18"/>
      <c r="VWL18"/>
      <c r="VWM18"/>
      <c r="VWN18"/>
      <c r="VWO18"/>
      <c r="VWP18"/>
      <c r="VWQ18"/>
      <c r="VWR18"/>
      <c r="VWS18"/>
      <c r="VWT18"/>
      <c r="VWU18"/>
      <c r="VWV18"/>
      <c r="VWW18"/>
      <c r="VWX18"/>
      <c r="VWY18"/>
      <c r="VWZ18"/>
      <c r="VXA18"/>
      <c r="VXB18"/>
      <c r="VXC18"/>
      <c r="VXD18"/>
      <c r="VXE18"/>
      <c r="VXF18"/>
      <c r="VXG18"/>
      <c r="VXH18"/>
      <c r="VXI18"/>
      <c r="VXJ18"/>
      <c r="VXK18"/>
      <c r="VXL18"/>
      <c r="VXM18"/>
      <c r="VXN18"/>
      <c r="VXO18"/>
      <c r="VXP18"/>
      <c r="VXQ18"/>
      <c r="VXR18"/>
      <c r="VXS18"/>
      <c r="VXT18"/>
      <c r="VXU18"/>
      <c r="VXV18"/>
      <c r="VXW18"/>
      <c r="VXX18"/>
      <c r="VXY18"/>
      <c r="VXZ18"/>
      <c r="VYA18"/>
      <c r="VYB18"/>
      <c r="VYC18"/>
      <c r="VYD18"/>
      <c r="VYE18"/>
      <c r="VYF18"/>
      <c r="VYG18"/>
      <c r="VYH18"/>
      <c r="VYI18"/>
      <c r="VYJ18"/>
      <c r="VYK18"/>
      <c r="VYL18"/>
      <c r="VYM18"/>
      <c r="VYN18"/>
      <c r="VYO18"/>
      <c r="VYP18"/>
      <c r="VYQ18"/>
      <c r="VYR18"/>
      <c r="VYS18"/>
      <c r="VYT18"/>
      <c r="VYU18"/>
      <c r="VYV18"/>
      <c r="VYW18"/>
      <c r="VYX18"/>
      <c r="VYY18"/>
      <c r="VYZ18"/>
      <c r="VZA18"/>
      <c r="VZB18"/>
      <c r="VZC18"/>
      <c r="VZD18"/>
      <c r="VZE18"/>
      <c r="VZF18"/>
      <c r="VZG18"/>
      <c r="VZH18"/>
      <c r="VZI18"/>
      <c r="VZJ18"/>
      <c r="VZK18"/>
      <c r="VZL18"/>
      <c r="VZM18"/>
      <c r="VZN18"/>
      <c r="VZO18"/>
      <c r="VZP18"/>
      <c r="VZQ18"/>
      <c r="VZR18"/>
      <c r="VZS18"/>
      <c r="VZT18"/>
      <c r="VZU18"/>
      <c r="VZV18"/>
      <c r="VZW18"/>
      <c r="VZX18"/>
      <c r="VZY18"/>
      <c r="VZZ18"/>
      <c r="WAA18"/>
      <c r="WAB18"/>
      <c r="WAC18"/>
      <c r="WAD18"/>
      <c r="WAE18"/>
      <c r="WAF18"/>
      <c r="WAG18"/>
      <c r="WAH18"/>
      <c r="WAI18"/>
      <c r="WAJ18"/>
      <c r="WAK18"/>
      <c r="WAL18"/>
      <c r="WAM18"/>
      <c r="WAN18"/>
      <c r="WAO18"/>
      <c r="WAP18"/>
      <c r="WAQ18"/>
      <c r="WAR18"/>
      <c r="WAS18"/>
      <c r="WAT18"/>
      <c r="WAU18"/>
      <c r="WAV18"/>
      <c r="WAW18"/>
      <c r="WAX18"/>
      <c r="WAY18"/>
      <c r="WAZ18"/>
      <c r="WBA18"/>
      <c r="WBB18"/>
      <c r="WBC18"/>
      <c r="WBD18"/>
      <c r="WBE18"/>
      <c r="WBF18"/>
      <c r="WBG18"/>
      <c r="WBH18"/>
      <c r="WBI18"/>
      <c r="WBJ18"/>
      <c r="WBK18"/>
      <c r="WBL18"/>
      <c r="WBM18"/>
      <c r="WBN18"/>
      <c r="WBO18"/>
      <c r="WBP18"/>
      <c r="WBQ18"/>
      <c r="WBR18"/>
      <c r="WBS18"/>
      <c r="WBT18"/>
      <c r="WBU18"/>
      <c r="WBV18"/>
      <c r="WBW18"/>
      <c r="WBX18"/>
      <c r="WBY18"/>
      <c r="WBZ18"/>
      <c r="WCA18"/>
      <c r="WCB18"/>
      <c r="WCC18"/>
      <c r="WCD18"/>
      <c r="WCE18"/>
      <c r="WCF18"/>
      <c r="WCG18"/>
      <c r="WCH18"/>
      <c r="WCI18"/>
      <c r="WCJ18"/>
      <c r="WCK18"/>
      <c r="WCL18"/>
      <c r="WCM18"/>
      <c r="WCN18"/>
      <c r="WCO18"/>
      <c r="WCP18"/>
      <c r="WCQ18"/>
      <c r="WCR18"/>
      <c r="WCS18"/>
      <c r="WCT18"/>
      <c r="WCU18"/>
      <c r="WCV18"/>
      <c r="WCW18"/>
      <c r="WCX18"/>
      <c r="WCY18"/>
      <c r="WCZ18"/>
      <c r="WDA18"/>
      <c r="WDB18"/>
      <c r="WDC18"/>
      <c r="WDD18"/>
      <c r="WDE18"/>
      <c r="WDF18"/>
      <c r="WDG18"/>
      <c r="WDH18"/>
      <c r="WDI18"/>
      <c r="WDJ18"/>
      <c r="WDK18"/>
      <c r="WDL18"/>
      <c r="WDM18"/>
      <c r="WDN18"/>
      <c r="WDO18"/>
      <c r="WDP18"/>
      <c r="WDQ18"/>
      <c r="WDR18"/>
      <c r="WDS18"/>
      <c r="WDT18"/>
      <c r="WDU18"/>
      <c r="WDV18"/>
      <c r="WDW18"/>
      <c r="WDX18"/>
      <c r="WDY18"/>
      <c r="WDZ18"/>
      <c r="WEA18"/>
      <c r="WEB18"/>
      <c r="WEC18"/>
      <c r="WED18"/>
      <c r="WEE18"/>
      <c r="WEF18"/>
      <c r="WEG18"/>
      <c r="WEH18"/>
      <c r="WEI18"/>
      <c r="WEJ18"/>
      <c r="WEK18"/>
      <c r="WEL18"/>
      <c r="WEM18"/>
      <c r="WEN18"/>
      <c r="WEO18"/>
      <c r="WEP18"/>
      <c r="WEQ18"/>
      <c r="WER18"/>
      <c r="WES18"/>
      <c r="WET18"/>
      <c r="WEU18"/>
      <c r="WEV18"/>
      <c r="WEW18"/>
      <c r="WEX18"/>
      <c r="WEY18"/>
      <c r="WEZ18"/>
      <c r="WFA18"/>
      <c r="WFB18"/>
      <c r="WFC18"/>
      <c r="WFD18"/>
      <c r="WFE18"/>
      <c r="WFF18"/>
      <c r="WFG18"/>
      <c r="WFH18"/>
      <c r="WFI18"/>
      <c r="WFJ18"/>
      <c r="WFK18"/>
      <c r="WFL18"/>
      <c r="WFM18"/>
      <c r="WFN18"/>
      <c r="WFO18"/>
      <c r="WFP18"/>
      <c r="WFQ18"/>
      <c r="WFR18"/>
      <c r="WFS18"/>
      <c r="WFT18"/>
      <c r="WFU18"/>
      <c r="WFV18"/>
      <c r="WFW18"/>
      <c r="WFX18"/>
      <c r="WFY18"/>
      <c r="WFZ18"/>
      <c r="WGA18"/>
      <c r="WGB18"/>
      <c r="WGC18"/>
      <c r="WGD18"/>
      <c r="WGE18"/>
      <c r="WGF18"/>
      <c r="WGG18"/>
      <c r="WGH18"/>
      <c r="WGI18"/>
      <c r="WGJ18"/>
      <c r="WGK18"/>
      <c r="WGL18"/>
      <c r="WGM18"/>
      <c r="WGN18"/>
      <c r="WGO18"/>
      <c r="WGP18"/>
      <c r="WGQ18"/>
      <c r="WGR18"/>
      <c r="WGS18"/>
      <c r="WGT18"/>
      <c r="WGU18"/>
      <c r="WGV18"/>
      <c r="WGW18"/>
      <c r="WGX18"/>
      <c r="WGY18"/>
      <c r="WGZ18"/>
      <c r="WHA18"/>
      <c r="WHB18"/>
      <c r="WHC18"/>
      <c r="WHD18"/>
      <c r="WHE18"/>
      <c r="WHF18"/>
      <c r="WHG18"/>
      <c r="WHH18"/>
      <c r="WHI18"/>
      <c r="WHJ18"/>
      <c r="WHK18"/>
      <c r="WHL18"/>
      <c r="WHM18"/>
      <c r="WHN18"/>
      <c r="WHO18"/>
      <c r="WHP18"/>
      <c r="WHQ18"/>
      <c r="WHR18"/>
      <c r="WHS18"/>
      <c r="WHT18"/>
      <c r="WHU18"/>
      <c r="WHV18"/>
      <c r="WHW18"/>
      <c r="WHX18"/>
      <c r="WHY18"/>
      <c r="WHZ18"/>
      <c r="WIA18"/>
      <c r="WIB18"/>
      <c r="WIC18"/>
      <c r="WID18"/>
      <c r="WIE18"/>
      <c r="WIF18"/>
      <c r="WIG18"/>
      <c r="WIH18"/>
      <c r="WII18"/>
      <c r="WIJ18"/>
      <c r="WIK18"/>
      <c r="WIL18"/>
      <c r="WIM18"/>
      <c r="WIN18"/>
      <c r="WIO18"/>
      <c r="WIP18"/>
      <c r="WIQ18"/>
      <c r="WIR18"/>
      <c r="WIS18"/>
      <c r="WIT18"/>
      <c r="WIU18"/>
      <c r="WIV18"/>
      <c r="WIW18"/>
      <c r="WIX18"/>
      <c r="WIY18"/>
      <c r="WIZ18"/>
      <c r="WJA18"/>
      <c r="WJB18"/>
      <c r="WJC18"/>
      <c r="WJD18"/>
      <c r="WJE18"/>
      <c r="WJF18"/>
      <c r="WJG18"/>
      <c r="WJH18"/>
      <c r="WJI18"/>
      <c r="WJJ18"/>
      <c r="WJK18"/>
      <c r="WJL18"/>
      <c r="WJM18"/>
      <c r="WJN18"/>
      <c r="WJO18"/>
      <c r="WJP18"/>
      <c r="WJQ18"/>
      <c r="WJR18"/>
      <c r="WJS18"/>
      <c r="WJT18"/>
      <c r="WJU18"/>
      <c r="WJV18"/>
      <c r="WJW18"/>
      <c r="WJX18"/>
      <c r="WJY18"/>
      <c r="WJZ18"/>
      <c r="WKA18"/>
      <c r="WKB18"/>
      <c r="WKC18"/>
      <c r="WKD18"/>
      <c r="WKE18"/>
      <c r="WKF18"/>
      <c r="WKG18"/>
      <c r="WKH18"/>
      <c r="WKI18"/>
      <c r="WKJ18"/>
      <c r="WKK18"/>
      <c r="WKL18"/>
      <c r="WKM18"/>
      <c r="WKN18"/>
      <c r="WKO18"/>
      <c r="WKP18"/>
      <c r="WKQ18"/>
      <c r="WKR18"/>
      <c r="WKS18"/>
      <c r="WKT18"/>
      <c r="WKU18"/>
      <c r="WKV18"/>
      <c r="WKW18"/>
      <c r="WKX18"/>
      <c r="WKY18"/>
      <c r="WKZ18"/>
      <c r="WLA18"/>
      <c r="WLB18"/>
      <c r="WLC18"/>
      <c r="WLD18"/>
      <c r="WLE18"/>
      <c r="WLF18"/>
      <c r="WLG18"/>
      <c r="WLH18"/>
      <c r="WLI18"/>
      <c r="WLJ18"/>
      <c r="WLK18"/>
      <c r="WLL18"/>
      <c r="WLM18"/>
      <c r="WLN18"/>
      <c r="WLO18"/>
      <c r="WLP18"/>
      <c r="WLQ18"/>
      <c r="WLR18"/>
      <c r="WLS18"/>
      <c r="WLT18"/>
      <c r="WLU18"/>
      <c r="WLV18"/>
      <c r="WLW18"/>
      <c r="WLX18"/>
      <c r="WLY18"/>
      <c r="WLZ18"/>
      <c r="WMA18"/>
      <c r="WMB18"/>
      <c r="WMC18"/>
      <c r="WMD18"/>
      <c r="WME18"/>
      <c r="WMF18"/>
      <c r="WMG18"/>
      <c r="WMH18"/>
      <c r="WMI18"/>
      <c r="WMJ18"/>
      <c r="WMK18"/>
      <c r="WML18"/>
      <c r="WMM18"/>
      <c r="WMN18"/>
      <c r="WMO18"/>
      <c r="WMP18"/>
      <c r="WMQ18"/>
      <c r="WMR18"/>
      <c r="WMS18"/>
      <c r="WMT18"/>
      <c r="WMU18"/>
      <c r="WMV18"/>
      <c r="WMW18"/>
      <c r="WMX18"/>
      <c r="WMY18"/>
      <c r="WMZ18"/>
      <c r="WNA18"/>
      <c r="WNB18"/>
      <c r="WNC18"/>
      <c r="WND18"/>
      <c r="WNE18"/>
      <c r="WNF18"/>
      <c r="WNG18"/>
      <c r="WNH18"/>
      <c r="WNI18"/>
      <c r="WNJ18"/>
      <c r="WNK18"/>
      <c r="WNL18"/>
      <c r="WNM18"/>
      <c r="WNN18"/>
      <c r="WNO18"/>
      <c r="WNP18"/>
      <c r="WNQ18"/>
      <c r="WNR18"/>
      <c r="WNS18"/>
      <c r="WNT18"/>
      <c r="WNU18"/>
      <c r="WNV18"/>
      <c r="WNW18"/>
      <c r="WNX18"/>
      <c r="WNY18"/>
      <c r="WNZ18"/>
      <c r="WOA18"/>
      <c r="WOB18"/>
      <c r="WOC18"/>
      <c r="WOD18"/>
      <c r="WOE18"/>
      <c r="WOF18"/>
      <c r="WOG18"/>
      <c r="WOH18"/>
      <c r="WOI18"/>
      <c r="WOJ18"/>
      <c r="WOK18"/>
      <c r="WOL18"/>
      <c r="WOM18"/>
      <c r="WON18"/>
      <c r="WOO18"/>
      <c r="WOP18"/>
      <c r="WOQ18"/>
      <c r="WOR18"/>
      <c r="WOS18"/>
      <c r="WOT18"/>
      <c r="WOU18"/>
      <c r="WOV18"/>
      <c r="WOW18"/>
      <c r="WOX18"/>
      <c r="WOY18"/>
      <c r="WOZ18"/>
      <c r="WPA18"/>
      <c r="WPB18"/>
      <c r="WPC18"/>
      <c r="WPD18"/>
      <c r="WPE18"/>
      <c r="WPF18"/>
      <c r="WPG18"/>
      <c r="WPH18"/>
      <c r="WPI18"/>
      <c r="WPJ18"/>
      <c r="WPK18"/>
      <c r="WPL18"/>
      <c r="WPM18"/>
      <c r="WPN18"/>
      <c r="WPO18"/>
      <c r="WPP18"/>
      <c r="WPQ18"/>
      <c r="WPR18"/>
      <c r="WPS18"/>
      <c r="WPT18"/>
      <c r="WPU18"/>
      <c r="WPV18"/>
      <c r="WPW18"/>
      <c r="WPX18"/>
      <c r="WPY18"/>
      <c r="WPZ18"/>
      <c r="WQA18"/>
      <c r="WQB18"/>
      <c r="WQC18"/>
      <c r="WQD18"/>
      <c r="WQE18"/>
      <c r="WQF18"/>
      <c r="WQG18"/>
      <c r="WQH18"/>
      <c r="WQI18"/>
      <c r="WQJ18"/>
      <c r="WQK18"/>
      <c r="WQL18"/>
      <c r="WQM18"/>
      <c r="WQN18"/>
      <c r="WQO18"/>
      <c r="WQP18"/>
      <c r="WQQ18"/>
      <c r="WQR18"/>
      <c r="WQS18"/>
      <c r="WQT18"/>
      <c r="WQU18"/>
      <c r="WQV18"/>
      <c r="WQW18"/>
      <c r="WQX18"/>
      <c r="WQY18"/>
      <c r="WQZ18"/>
      <c r="WRA18"/>
      <c r="WRB18"/>
      <c r="WRC18"/>
      <c r="WRD18"/>
      <c r="WRE18"/>
      <c r="WRF18"/>
      <c r="WRG18"/>
      <c r="WRH18"/>
      <c r="WRI18"/>
      <c r="WRJ18"/>
      <c r="WRK18"/>
      <c r="WRL18"/>
      <c r="WRM18"/>
      <c r="WRN18"/>
      <c r="WRO18"/>
      <c r="WRP18"/>
      <c r="WRQ18"/>
      <c r="WRR18"/>
      <c r="WRS18"/>
      <c r="WRT18"/>
      <c r="WRU18"/>
      <c r="WRV18"/>
      <c r="WRW18"/>
      <c r="WRX18"/>
      <c r="WRY18"/>
      <c r="WRZ18"/>
      <c r="WSA18"/>
      <c r="WSB18"/>
      <c r="WSC18"/>
      <c r="WSD18"/>
      <c r="WSE18"/>
      <c r="WSF18"/>
      <c r="WSG18"/>
      <c r="WSH18"/>
      <c r="WSI18"/>
      <c r="WSJ18"/>
      <c r="WSK18"/>
      <c r="WSL18"/>
      <c r="WSM18"/>
      <c r="WSN18"/>
      <c r="WSO18"/>
      <c r="WSP18"/>
      <c r="WSQ18"/>
      <c r="WSR18"/>
      <c r="WSS18"/>
      <c r="WST18"/>
      <c r="WSU18"/>
      <c r="WSV18"/>
      <c r="WSW18"/>
      <c r="WSX18"/>
      <c r="WSY18"/>
      <c r="WSZ18"/>
      <c r="WTA18"/>
      <c r="WTB18"/>
      <c r="WTC18"/>
      <c r="WTD18"/>
      <c r="WTE18"/>
      <c r="WTF18"/>
      <c r="WTG18"/>
      <c r="WTH18"/>
      <c r="WTI18"/>
      <c r="WTJ18"/>
      <c r="WTK18"/>
      <c r="WTL18"/>
      <c r="WTM18"/>
      <c r="WTN18"/>
      <c r="WTO18"/>
      <c r="WTP18"/>
      <c r="WTQ18"/>
      <c r="WTR18"/>
      <c r="WTS18"/>
      <c r="WTT18"/>
      <c r="WTU18"/>
      <c r="WTV18"/>
      <c r="WTW18"/>
      <c r="WTX18"/>
      <c r="WTY18"/>
      <c r="WTZ18"/>
      <c r="WUA18"/>
      <c r="WUB18"/>
      <c r="WUC18"/>
      <c r="WUD18"/>
      <c r="WUE18"/>
      <c r="WUF18"/>
      <c r="WUG18"/>
      <c r="WUH18"/>
      <c r="WUI18"/>
      <c r="WUJ18"/>
      <c r="WUK18"/>
      <c r="WUL18"/>
      <c r="WUM18"/>
      <c r="WUN18"/>
      <c r="WUO18"/>
      <c r="WUP18"/>
      <c r="WUQ18"/>
      <c r="WUR18"/>
      <c r="WUS18"/>
      <c r="WUT18"/>
      <c r="WUU18"/>
      <c r="WUV18"/>
      <c r="WUW18"/>
      <c r="WUX18"/>
      <c r="WUY18"/>
      <c r="WUZ18"/>
      <c r="WVA18"/>
      <c r="WVB18"/>
      <c r="WVC18"/>
      <c r="WVD18"/>
      <c r="WVE18"/>
      <c r="WVF18"/>
      <c r="WVG18"/>
      <c r="WVH18"/>
      <c r="WVI18"/>
      <c r="WVJ18"/>
      <c r="WVK18"/>
      <c r="WVL18"/>
      <c r="WVM18"/>
      <c r="WVN18"/>
      <c r="WVO18"/>
      <c r="WVP18"/>
      <c r="WVQ18"/>
      <c r="WVR18"/>
      <c r="WVS18"/>
      <c r="WVT18"/>
      <c r="WVU18"/>
      <c r="WVV18"/>
      <c r="WVW18"/>
      <c r="WVX18"/>
      <c r="WVY18"/>
      <c r="WVZ18"/>
      <c r="WWA18"/>
      <c r="WWB18"/>
      <c r="WWC18"/>
      <c r="WWD18"/>
      <c r="WWE18"/>
      <c r="WWF18"/>
      <c r="WWG18"/>
      <c r="WWH18"/>
      <c r="WWI18"/>
      <c r="WWJ18"/>
      <c r="WWK18"/>
      <c r="WWL18"/>
      <c r="WWM18"/>
      <c r="WWN18"/>
      <c r="WWO18"/>
      <c r="WWP18"/>
      <c r="WWQ18"/>
      <c r="WWR18"/>
      <c r="WWS18"/>
      <c r="WWT18"/>
      <c r="WWU18"/>
      <c r="WWV18"/>
      <c r="WWW18"/>
      <c r="WWX18"/>
      <c r="WWY18"/>
      <c r="WWZ18"/>
      <c r="WXA18"/>
      <c r="WXB18"/>
      <c r="WXC18"/>
      <c r="WXD18"/>
      <c r="WXE18"/>
      <c r="WXF18"/>
      <c r="WXG18"/>
      <c r="WXH18"/>
      <c r="WXI18"/>
      <c r="WXJ18"/>
      <c r="WXK18"/>
      <c r="WXL18"/>
      <c r="WXM18"/>
      <c r="WXN18"/>
      <c r="WXO18"/>
      <c r="WXP18"/>
      <c r="WXQ18"/>
      <c r="WXR18"/>
      <c r="WXS18"/>
      <c r="WXT18"/>
      <c r="WXU18"/>
      <c r="WXV18"/>
      <c r="WXW18"/>
      <c r="WXX18"/>
      <c r="WXY18"/>
      <c r="WXZ18"/>
      <c r="WYA18"/>
      <c r="WYB18"/>
      <c r="WYC18"/>
      <c r="WYD18"/>
      <c r="WYE18"/>
      <c r="WYF18"/>
      <c r="WYG18"/>
      <c r="WYH18"/>
      <c r="WYI18"/>
      <c r="WYJ18"/>
      <c r="WYK18"/>
      <c r="WYL18"/>
      <c r="WYM18"/>
      <c r="WYN18"/>
      <c r="WYO18"/>
      <c r="WYP18"/>
      <c r="WYQ18"/>
      <c r="WYR18"/>
      <c r="WYS18"/>
      <c r="WYT18"/>
      <c r="WYU18"/>
      <c r="WYV18"/>
      <c r="WYW18"/>
      <c r="WYX18"/>
      <c r="WYY18"/>
      <c r="WYZ18"/>
      <c r="WZA18"/>
      <c r="WZB18"/>
      <c r="WZC18"/>
      <c r="WZD18"/>
      <c r="WZE18"/>
      <c r="WZF18"/>
      <c r="WZG18"/>
      <c r="WZH18"/>
      <c r="WZI18"/>
      <c r="WZJ18"/>
      <c r="WZK18"/>
      <c r="WZL18"/>
      <c r="WZM18"/>
      <c r="WZN18"/>
      <c r="WZO18"/>
      <c r="WZP18"/>
      <c r="WZQ18"/>
      <c r="WZR18"/>
      <c r="WZS18"/>
      <c r="WZT18"/>
      <c r="WZU18"/>
      <c r="WZV18"/>
      <c r="WZW18"/>
      <c r="WZX18"/>
      <c r="WZY18"/>
      <c r="WZZ18"/>
      <c r="XAA18"/>
      <c r="XAB18"/>
      <c r="XAC18"/>
      <c r="XAD18"/>
      <c r="XAE18"/>
      <c r="XAF18"/>
      <c r="XAG18"/>
      <c r="XAH18"/>
      <c r="XAI18"/>
      <c r="XAJ18"/>
      <c r="XAK18"/>
      <c r="XAL18"/>
      <c r="XAM18"/>
      <c r="XAN18"/>
      <c r="XAO18"/>
      <c r="XAP18"/>
      <c r="XAQ18"/>
      <c r="XAR18"/>
      <c r="XAS18"/>
      <c r="XAT18"/>
      <c r="XAU18"/>
      <c r="XAV18"/>
      <c r="XAW18"/>
      <c r="XAX18"/>
      <c r="XAY18"/>
      <c r="XAZ18"/>
      <c r="XBA18"/>
      <c r="XBB18"/>
      <c r="XBC18"/>
      <c r="XBD18"/>
      <c r="XBE18"/>
      <c r="XBF18"/>
      <c r="XBG18"/>
      <c r="XBH18"/>
      <c r="XBI18"/>
      <c r="XBJ18"/>
      <c r="XBK18"/>
      <c r="XBL18"/>
      <c r="XBM18"/>
      <c r="XBN18"/>
      <c r="XBO18"/>
      <c r="XBP18"/>
      <c r="XBQ18"/>
      <c r="XBR18"/>
      <c r="XBS18"/>
      <c r="XBT18"/>
      <c r="XBU18"/>
      <c r="XBV18"/>
      <c r="XBW18"/>
      <c r="XBX18"/>
      <c r="XBY18"/>
      <c r="XBZ18"/>
      <c r="XCA18"/>
      <c r="XCB18"/>
      <c r="XCC18"/>
      <c r="XCD18"/>
      <c r="XCE18"/>
      <c r="XCF18"/>
      <c r="XCG18"/>
      <c r="XCH18"/>
      <c r="XCI18"/>
      <c r="XCJ18"/>
      <c r="XCK18"/>
      <c r="XCL18"/>
      <c r="XCM18"/>
      <c r="XCN18"/>
      <c r="XCO18"/>
      <c r="XCP18"/>
      <c r="XCQ18"/>
      <c r="XCR18"/>
      <c r="XCS18"/>
      <c r="XCT18"/>
      <c r="XCU18"/>
      <c r="XCV18"/>
      <c r="XCW18"/>
      <c r="XCX18"/>
      <c r="XCY18"/>
      <c r="XCZ18"/>
      <c r="XDA18"/>
      <c r="XDB18"/>
      <c r="XDC18"/>
      <c r="XDD18"/>
      <c r="XDE18"/>
      <c r="XDF18"/>
      <c r="XDG18"/>
      <c r="XDH18"/>
      <c r="XDI18"/>
      <c r="XDJ18"/>
      <c r="XDK18"/>
      <c r="XDL18"/>
      <c r="XDM18"/>
      <c r="XDN18"/>
      <c r="XDO18"/>
      <c r="XDP18"/>
      <c r="XDQ18"/>
      <c r="XDR18"/>
      <c r="XDS18"/>
      <c r="XDT18"/>
      <c r="XDU18"/>
      <c r="XDV18"/>
      <c r="XDW18"/>
      <c r="XDX18"/>
      <c r="XDY18"/>
      <c r="XDZ18"/>
      <c r="XEA18"/>
      <c r="XEB18"/>
      <c r="XEC18"/>
      <c r="XED18"/>
      <c r="XEE18"/>
      <c r="XEF18"/>
      <c r="XEG18"/>
      <c r="XEH18"/>
      <c r="XEI18"/>
      <c r="XEJ18"/>
      <c r="XEK18"/>
      <c r="XEL18"/>
      <c r="XEM18"/>
      <c r="XEN18"/>
      <c r="XEO18"/>
      <c r="XEP18"/>
      <c r="XEQ18"/>
      <c r="XER18"/>
      <c r="XES18"/>
      <c r="XET18"/>
      <c r="XEU18"/>
      <c r="XEV18"/>
      <c r="XEW18"/>
      <c r="XEX18"/>
      <c r="XEY18"/>
      <c r="XEZ18"/>
      <c r="XFA18"/>
      <c r="XFB18"/>
      <c r="XFC18"/>
      <c r="XFD18"/>
    </row>
    <row r="19" spans="1:154 14670:16384" s="9" customFormat="1" ht="15.75" hidden="1" thickBot="1" x14ac:dyDescent="0.3">
      <c r="A19" s="34">
        <v>5</v>
      </c>
      <c r="B19" s="31" t="s">
        <v>112</v>
      </c>
      <c r="C19" s="28" t="str">
        <f ca="1">IFERROR(IF(AND(C$13  &gt;= $AB$33, C$13 &lt;= $AB$34),VLOOKUP($G$1,INDIRECT("'" &amp;'Caller Portal Instructions'!D$25&amp;"'!$B$4:$P$200"),14, FALSE),""),"")</f>
        <v/>
      </c>
      <c r="D19" s="28" t="str">
        <f ca="1">IFERROR(IF(AND(D$13  &gt;= $AB$33, D$13 &lt;= $AB$34),VLOOKUP($G$1,INDIRECT("'" &amp;'Caller Portal Instructions'!E$25&amp;"'!$B$4:$P$200"),14, FALSE),""),"")</f>
        <v/>
      </c>
      <c r="E19" s="28" t="str">
        <f ca="1">IFERROR(IF(AND(E$13  &gt;= $AB$33, E$13 &lt;= $AB$34),VLOOKUP($G$1,INDIRECT("'" &amp;'Caller Portal Instructions'!F$25&amp;"'!$B$4:$P$200"),14, FALSE),""),"")</f>
        <v/>
      </c>
      <c r="F19" s="28" t="str">
        <f ca="1">IFERROR(IF(AND(F$13  &gt;= $AB$33, F$13 &lt;= $AB$34),VLOOKUP($G$1,INDIRECT("'" &amp;'Caller Portal Instructions'!G$25&amp;"'!$B$4:$P$200"),14, FALSE),""),"")</f>
        <v/>
      </c>
      <c r="G19" s="28" t="str">
        <f ca="1">IFERROR(IF(AND(G$13  &gt;= $AB$33, G$13 &lt;= $AB$34),VLOOKUP($G$1,INDIRECT("'" &amp;'Caller Portal Instructions'!H$25&amp;"'!$B$4:$P$200"),14, FALSE),""),"")</f>
        <v/>
      </c>
      <c r="H19" s="28" t="str">
        <f ca="1">IFERROR(IF(AND(H$13  &gt;= $AB$33, H$13 &lt;= $AB$34),VLOOKUP($G$1,INDIRECT("'" &amp;'Caller Portal Instructions'!I$25&amp;"'!$B$4:$P$200"),14, FALSE),""),"")</f>
        <v/>
      </c>
      <c r="I19" s="28" t="str">
        <f ca="1">IFERROR(IF(AND(I$13  &gt;= $AB$33, I$13 &lt;= $AB$34),VLOOKUP($G$1,INDIRECT("'" &amp;'Caller Portal Instructions'!J$25&amp;"'!$B$4:$P$200"),14, FALSE),""),"")</f>
        <v/>
      </c>
      <c r="J19" s="28" t="str">
        <f ca="1">IFERROR(IF(AND(J$13  &gt;= $AB$33, J$13 &lt;= $AB$34),VLOOKUP($G$1,INDIRECT("'" &amp;'Caller Portal Instructions'!K$25&amp;"'!$B$4:$P$200"),14, FALSE),""),"")</f>
        <v/>
      </c>
      <c r="K19" s="28" t="str">
        <f ca="1">IFERROR(IF(AND(K$13  &gt;= $AB$33, K$13 &lt;= $AB$34),VLOOKUP($G$1,INDIRECT("'" &amp;'Caller Portal Instructions'!L$25&amp;"'!$B$4:$P$200"),14, FALSE),""),"")</f>
        <v/>
      </c>
      <c r="L19" s="28" t="str">
        <f ca="1">IFERROR(IF(AND(L$13  &gt;= $AB$33, L$13 &lt;= $AB$34),VLOOKUP($G$1,INDIRECT("'" &amp;'Caller Portal Instructions'!M$25&amp;"'!$B$4:$P$200"),14, FALSE),""),"")</f>
        <v/>
      </c>
      <c r="M19" s="28" t="str">
        <f ca="1">IFERROR(IF(AND(M$13  &gt;= $AB$33, M$13 &lt;= $AB$34),VLOOKUP($G$1,INDIRECT("'" &amp;'Caller Portal Instructions'!N$25&amp;"'!$B$4:$P$200"),14, FALSE),""),"")</f>
        <v/>
      </c>
      <c r="N19" s="28" t="str">
        <f ca="1">IFERROR(IF(AND(N$13  &gt;= $AB$33, N$13 &lt;= $AB$34),VLOOKUP($G$1,INDIRECT("'" &amp;'Caller Portal Instructions'!O$25&amp;"'!$B$4:$P$200"),14, FALSE),""),"")</f>
        <v/>
      </c>
      <c r="O19" s="28" t="str">
        <f ca="1">IFERROR(IF(AND(O$13  &gt;= $AB$33, O$13 &lt;= $AB$34),VLOOKUP($G$1,INDIRECT("'" &amp;'Caller Portal Instructions'!P$25&amp;"'!$B$4:$P$200"),14, FALSE),""),"")</f>
        <v/>
      </c>
      <c r="P19" s="28" t="str">
        <f ca="1">IFERROR(IF(AND(P$13  &gt;= $AB$33, P$13 &lt;= $AB$34),VLOOKUP($G$1,INDIRECT("'" &amp;'Caller Portal Instructions'!Q$25&amp;"'!$B$4:$P$200"),14, FALSE),""),"")</f>
        <v/>
      </c>
      <c r="Q19" s="28" t="str">
        <f ca="1">IFERROR(IF(AND(Q$13  &gt;= $AB$33, Q$13 &lt;= $AB$34),VLOOKUP($G$1,INDIRECT("'" &amp;'Caller Portal Instructions'!R$25&amp;"'!$B$4:$P$200"),14, FALSE),""),"")</f>
        <v/>
      </c>
      <c r="R19" s="28" t="str">
        <f ca="1">IFERROR(IF(AND(R$13  &gt;= $AB$33, R$13 &lt;= $AB$34),VLOOKUP($G$1,INDIRECT("'" &amp;'Caller Portal Instructions'!S$25&amp;"'!$B$4:$P$200"),14, FALSE),""),"")</f>
        <v/>
      </c>
      <c r="S19" s="28" t="str">
        <f ca="1">IFERROR(IF(AND(S$13  &gt;= $AB$33, S$13 &lt;= $AB$34),VLOOKUP($G$1,INDIRECT("'" &amp;'Caller Portal Instructions'!T$25&amp;"'!$B$4:$P$200"),14, FALSE),""),"")</f>
        <v/>
      </c>
      <c r="T19" s="28" t="str">
        <f ca="1">IFERROR(IF(AND(T$13  &gt;= $AB$33, T$13 &lt;= $AB$34),VLOOKUP($G$1,INDIRECT("'" &amp;'Caller Portal Instructions'!U$25&amp;"'!$B$4:$P$200"),14, FALSE),""),"")</f>
        <v/>
      </c>
      <c r="U19" s="28" t="str">
        <f ca="1">IFERROR(IF(AND(U$13  &gt;= $AB$33, U$13 &lt;= $AB$34),VLOOKUP($G$1,INDIRECT("'" &amp;'Caller Portal Instructions'!V$25&amp;"'!$B$4:$P$200"),14, FALSE),""),"")</f>
        <v/>
      </c>
      <c r="V19" s="28" t="str">
        <f ca="1">IFERROR(IF(AND(V$13  &gt;= $AB$33, V$13 &lt;= $AB$34),VLOOKUP($G$1,INDIRECT("'" &amp;'Caller Portal Instructions'!W$25&amp;"'!$B$4:$P$200"),14, FALSE),""),"")</f>
        <v/>
      </c>
      <c r="W19" s="28" t="str">
        <f ca="1">IFERROR(IF(AND(W$13  &gt;= $AB$33, W$13 &lt;= $AB$34),VLOOKUP($G$1,INDIRECT("'" &amp;'Caller Portal Instructions'!X$25&amp;"'!$B$4:$P$200"),14, FALSE),""),"")</f>
        <v/>
      </c>
      <c r="X19" s="28" t="str">
        <f ca="1">IFERROR(IF(AND(X$13  &gt;= $AB$33, X$13 &lt;= $AB$34),VLOOKUP($G$1,INDIRECT("'" &amp;'Caller Portal Instructions'!Y$25&amp;"'!$B$4:$P$200"),14, FALSE),""),"")</f>
        <v/>
      </c>
      <c r="Y19" s="28" t="str">
        <f ca="1">IFERROR(IF(AND(Y$13  &gt;= $AB$33, Y$13 &lt;= $AB$34),VLOOKUP($G$1,INDIRECT("'" &amp;'Caller Portal Instructions'!Z$25&amp;"'!$B$4:$P$200"),14, FALSE),""),"")</f>
        <v/>
      </c>
      <c r="Z19" s="28" t="str">
        <f ca="1">IFERROR(IF(AND(Z$13  &gt;= $AB$33, Z$13 &lt;= $AB$34),VLOOKUP($G$1,INDIRECT("'" &amp;'Caller Portal Instructions'!AA$25&amp;"'!$B$4:$P$200"),14, FALSE),""),"")</f>
        <v/>
      </c>
      <c r="AA19" s="28" t="str">
        <f ca="1">IFERROR(IF(AND(AA$13  &gt;= $AB$33, AA$13 &lt;= $AB$34),VLOOKUP($G$1,INDIRECT("'" &amp;'Caller Portal Instructions'!AB$25&amp;"'!$B$4:$P$200"),14, FALSE),""),"")</f>
        <v/>
      </c>
      <c r="AB19" s="28" t="str">
        <f ca="1">IFERROR(IF(AND(AB$13  &gt;= $AB$33, AB$13 &lt;= $AB$34),VLOOKUP($G$1,INDIRECT("'" &amp;'Caller Portal Instructions'!AC$25&amp;"'!$B$4:$P$200"),14, FALSE),""),"")</f>
        <v/>
      </c>
      <c r="AC19" s="28" t="str">
        <f ca="1">IFERROR(IF(AND(AC$13  &gt;= $AB$33, AC$13 &lt;= $AB$34),VLOOKUP($G$1,INDIRECT("'" &amp;'Caller Portal Instructions'!AD$25&amp;"'!$B$4:$P$200"),14, FALSE),""),"")</f>
        <v/>
      </c>
      <c r="AD19" s="28" t="str">
        <f ca="1">IFERROR(IF(AND(AD$13  &gt;= $AB$33, AD$13 &lt;= $AB$34),VLOOKUP($G$1,INDIRECT("'" &amp;'Caller Portal Instructions'!AE$25&amp;"'!$B$4:$P$200"),14, FALSE),""),"")</f>
        <v/>
      </c>
      <c r="AE19" s="28" t="str">
        <f ca="1">IFERROR(IF(AND(AE$13  &gt;= $AB$33, AE$13 &lt;= $AB$34),VLOOKUP($G$1,INDIRECT("'" &amp;'Caller Portal Instructions'!AF$25&amp;"'!$B$4:$P$200"),14, FALSE),""),"")</f>
        <v/>
      </c>
      <c r="AF19" s="28" t="str">
        <f ca="1">IFERROR(IF(AND(AF$13  &gt;= $AB$33, AF$13 &lt;= $AB$34),VLOOKUP($G$1,INDIRECT("'" &amp;'Caller Portal Instructions'!AG$25&amp;"'!$B$4:$P$200"),14, FALSE),""),"")</f>
        <v/>
      </c>
      <c r="AG19" s="28" t="str">
        <f ca="1">IFERROR(IF(AND(AG$13  &gt;= $AB$33, AG$13 &lt;= $AB$34),VLOOKUP($G$1,INDIRECT("'" &amp;'Caller Portal Instructions'!AH$25&amp;"'!$B$4:$P$200"),14, FALSE),""),"")</f>
        <v/>
      </c>
      <c r="AH19" s="28" t="str">
        <f ca="1">IFERROR(IF(AND(AH$13  &gt;= $AB$33, AH$13 &lt;= $AB$34),VLOOKUP($G$1,INDIRECT("'" &amp;'Caller Portal Instructions'!AI$25&amp;"'!$B$4:$P$200"),14, FALSE),""),"")</f>
        <v/>
      </c>
      <c r="AI19" s="28" t="str">
        <f ca="1">IFERROR(IF(AND(AI$13  &gt;= $AB$33, AI$13 &lt;= $AB$34),VLOOKUP($G$1,INDIRECT("'" &amp;'Caller Portal Instructions'!AJ$25&amp;"'!$B$4:$P$200"),14, FALSE),""),"")</f>
        <v/>
      </c>
      <c r="AJ19" s="28" t="str">
        <f ca="1">IFERROR(IF(AND(AJ$13  &gt;= $AB$33, AJ$13 &lt;= $AB$34),VLOOKUP($G$1,INDIRECT("'" &amp;'Caller Portal Instructions'!AK$25&amp;"'!$B$4:$P$200"),14, FALSE),""),"")</f>
        <v/>
      </c>
      <c r="AK19" s="28" t="str">
        <f ca="1">IFERROR(IF(AND(AK$13  &gt;= $AB$33, AK$13 &lt;= $AB$34),VLOOKUP($G$1,INDIRECT("'" &amp;'Caller Portal Instructions'!AL$25&amp;"'!$B$4:$P$200"),14, FALSE),""),"")</f>
        <v/>
      </c>
      <c r="AL19" s="28" t="str">
        <f ca="1">IFERROR(IF(AND(AL$13  &gt;= $AB$33, AL$13 &lt;= $AB$34),VLOOKUP($G$1,INDIRECT("'" &amp;'Caller Portal Instructions'!AM$25&amp;"'!$B$4:$P$200"),14, FALSE),""),"")</f>
        <v/>
      </c>
      <c r="AM19" s="28" t="str">
        <f ca="1">IFERROR(IF(AND(AM$13  &gt;= $AB$33, AM$13 &lt;= $AB$34),VLOOKUP($G$1,INDIRECT("'" &amp;'Caller Portal Instructions'!AN$25&amp;"'!$B$4:$P$200"),14, FALSE),""),"")</f>
        <v/>
      </c>
      <c r="AN19" s="28" t="str">
        <f ca="1">IFERROR(IF(AND(AN$13  &gt;= $AB$33, AN$13 &lt;= $AB$34),VLOOKUP($G$1,INDIRECT("'" &amp;'Caller Portal Instructions'!AO$25&amp;"'!$B$4:$P$200"),14, FALSE),""),"")</f>
        <v/>
      </c>
      <c r="AO19" s="28" t="str">
        <f ca="1">IFERROR(IF(AND(AO$13  &gt;= $AB$33, AO$13 &lt;= $AB$34),VLOOKUP($G$1,INDIRECT("'" &amp;'Caller Portal Instructions'!AP$25&amp;"'!$B$4:$P$200"),14, FALSE),""),"")</f>
        <v/>
      </c>
      <c r="AP19" s="28" t="str">
        <f ca="1">IFERROR(IF(AND(AP$13  &gt;= $AB$33, AP$13 &lt;= $AB$34),VLOOKUP($G$1,INDIRECT("'" &amp;'Caller Portal Instructions'!AQ$25&amp;"'!$B$4:$P$200"),14, FALSE),""),"")</f>
        <v/>
      </c>
      <c r="AQ19" s="28" t="str">
        <f ca="1">IFERROR(IF(AND(AQ$13  &gt;= $AB$33, AQ$13 &lt;= $AB$34),VLOOKUP($G$1,INDIRECT("'" &amp;'Caller Portal Instructions'!AR$25&amp;"'!$B$4:$P$200"),14, FALSE),""),"")</f>
        <v/>
      </c>
      <c r="AR19" s="28" t="str">
        <f ca="1">IFERROR(IF(AND(AR$13  &gt;= $AB$33, AR$13 &lt;= $AB$34),VLOOKUP($G$1,INDIRECT("'" &amp;'Caller Portal Instructions'!AS$25&amp;"'!$B$4:$P$200"),14, FALSE),""),"")</f>
        <v/>
      </c>
      <c r="AS19" s="28" t="str">
        <f ca="1">IFERROR(IF(AND(AS$13  &gt;= $AB$33, AS$13 &lt;= $AB$34),VLOOKUP($G$1,INDIRECT("'" &amp;'Caller Portal Instructions'!AT$25&amp;"'!$B$4:$P$200"),14, FALSE),""),"")</f>
        <v/>
      </c>
      <c r="AT19" s="28" t="str">
        <f ca="1">IFERROR(IF(AND(AT$13  &gt;= $AB$33, AT$13 &lt;= $AB$34),VLOOKUP($G$1,INDIRECT("'" &amp;'Caller Portal Instructions'!AU$25&amp;"'!$B$4:$P$200"),14, FALSE),""),"")</f>
        <v/>
      </c>
      <c r="AU19" s="28" t="str">
        <f ca="1">IFERROR(IF(AND(AU$13  &gt;= $AB$33, AU$13 &lt;= $AB$34),VLOOKUP($G$1,INDIRECT("'" &amp;'Caller Portal Instructions'!AV$25&amp;"'!$B$4:$P$200"),14, FALSE),""),"")</f>
        <v/>
      </c>
      <c r="AV19" s="28" t="str">
        <f ca="1">IFERROR(IF(AND(AV$13  &gt;= $AB$33, AV$13 &lt;= $AB$34),VLOOKUP($G$1,INDIRECT("'" &amp;'Caller Portal Instructions'!AW$25&amp;"'!$B$4:$P$200"),14, FALSE),""),"")</f>
        <v/>
      </c>
      <c r="AW19" s="28" t="str">
        <f ca="1">IFERROR(IF(AND(AW$13  &gt;= $AB$33, AW$13 &lt;= $AB$34),VLOOKUP($G$1,INDIRECT("'" &amp;'Caller Portal Instructions'!AX$25&amp;"'!$B$4:$P$200"),14, FALSE),""),"")</f>
        <v/>
      </c>
      <c r="AX19" s="28" t="str">
        <f ca="1">IFERROR(IF(AND(AX$13  &gt;= $AB$33, AX$13 &lt;= $AB$34),VLOOKUP($G$1,INDIRECT("'" &amp;'Caller Portal Instructions'!AY$25&amp;"'!$B$4:$P$200"),14, FALSE),""),"")</f>
        <v/>
      </c>
      <c r="AY19" s="28" t="str">
        <f ca="1">IFERROR(IF(AND(AY$13  &gt;= $AB$33, AY$13 &lt;= $AB$34),VLOOKUP($G$1,INDIRECT("'" &amp;'Caller Portal Instructions'!AZ$25&amp;"'!$B$4:$P$200"),14, FALSE),""),"")</f>
        <v/>
      </c>
      <c r="AZ19" s="28" t="str">
        <f ca="1">IFERROR(IF(AND(AZ$13  &gt;= $AB$33, AZ$13 &lt;= $AB$34),VLOOKUP($G$1,INDIRECT("'" &amp;'Caller Portal Instructions'!BA$25&amp;"'!$B$4:$P$200"),14, FALSE),""),"")</f>
        <v/>
      </c>
      <c r="BA19" s="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URF19"/>
      <c r="URG19"/>
      <c r="URH19"/>
      <c r="URI19"/>
      <c r="URJ19"/>
      <c r="URK19"/>
      <c r="URL19"/>
      <c r="URM19"/>
      <c r="URN19"/>
      <c r="URO19"/>
      <c r="URP19"/>
      <c r="URQ19"/>
      <c r="URR19"/>
      <c r="URS19"/>
      <c r="URT19"/>
      <c r="URU19"/>
      <c r="URV19"/>
      <c r="URW19"/>
      <c r="URX19"/>
      <c r="URY19"/>
      <c r="URZ19"/>
      <c r="USA19"/>
      <c r="USB19"/>
      <c r="USC19"/>
      <c r="USD19"/>
      <c r="USE19"/>
      <c r="USF19"/>
      <c r="USG19"/>
      <c r="USH19"/>
      <c r="USI19"/>
      <c r="USJ19"/>
      <c r="USK19"/>
      <c r="USL19"/>
      <c r="USM19"/>
      <c r="USN19"/>
      <c r="USO19"/>
      <c r="USP19"/>
      <c r="USQ19"/>
      <c r="USR19"/>
      <c r="USS19"/>
      <c r="UST19"/>
      <c r="USU19"/>
      <c r="USV19"/>
      <c r="USW19"/>
      <c r="USX19"/>
      <c r="USY19"/>
      <c r="USZ19"/>
      <c r="UTA19"/>
      <c r="UTB19"/>
      <c r="UTC19"/>
      <c r="UTD19"/>
      <c r="UTE19"/>
      <c r="UTF19"/>
      <c r="UTG19"/>
      <c r="UTH19"/>
      <c r="UTI19"/>
      <c r="UTJ19"/>
      <c r="UTK19"/>
      <c r="UTL19"/>
      <c r="UTM19"/>
      <c r="UTN19"/>
      <c r="UTO19"/>
      <c r="UTP19"/>
      <c r="UTQ19"/>
      <c r="UTR19"/>
      <c r="UTS19"/>
      <c r="UTT19"/>
      <c r="UTU19"/>
      <c r="UTV19"/>
      <c r="UTW19"/>
      <c r="UTX19"/>
      <c r="UTY19"/>
      <c r="UTZ19"/>
      <c r="UUA19"/>
      <c r="UUB19"/>
      <c r="UUC19"/>
      <c r="UUD19"/>
      <c r="UUE19"/>
      <c r="UUF19"/>
      <c r="UUG19"/>
      <c r="UUH19"/>
      <c r="UUI19"/>
      <c r="UUJ19"/>
      <c r="UUK19"/>
      <c r="UUL19"/>
      <c r="UUM19"/>
      <c r="UUN19"/>
      <c r="UUO19"/>
      <c r="UUP19"/>
      <c r="UUQ19"/>
      <c r="UUR19"/>
      <c r="UUS19"/>
      <c r="UUT19"/>
      <c r="UUU19"/>
      <c r="UUV19"/>
      <c r="UUW19"/>
      <c r="UUX19"/>
      <c r="UUY19"/>
      <c r="UUZ19"/>
      <c r="UVA19"/>
      <c r="UVB19"/>
      <c r="UVC19"/>
      <c r="UVD19"/>
      <c r="UVE19"/>
      <c r="UVF19"/>
      <c r="UVG19"/>
      <c r="UVH19"/>
      <c r="UVI19"/>
      <c r="UVJ19"/>
      <c r="UVK19"/>
      <c r="UVL19"/>
      <c r="UVM19"/>
      <c r="UVN19"/>
      <c r="UVO19"/>
      <c r="UVP19"/>
      <c r="UVQ19"/>
      <c r="UVR19"/>
      <c r="UVS19"/>
      <c r="UVT19"/>
      <c r="UVU19"/>
      <c r="UVV19"/>
      <c r="UVW19"/>
      <c r="UVX19"/>
      <c r="UVY19"/>
      <c r="UVZ19"/>
      <c r="UWA19"/>
      <c r="UWB19"/>
      <c r="UWC19"/>
      <c r="UWD19"/>
      <c r="UWE19"/>
      <c r="UWF19"/>
      <c r="UWG19"/>
      <c r="UWH19"/>
      <c r="UWI19"/>
      <c r="UWJ19"/>
      <c r="UWK19"/>
      <c r="UWL19"/>
      <c r="UWM19"/>
      <c r="UWN19"/>
      <c r="UWO19"/>
      <c r="UWP19"/>
      <c r="UWQ19"/>
      <c r="UWR19"/>
      <c r="UWS19"/>
      <c r="UWT19"/>
      <c r="UWU19"/>
      <c r="UWV19"/>
      <c r="UWW19"/>
      <c r="UWX19"/>
      <c r="UWY19"/>
      <c r="UWZ19"/>
      <c r="UXA19"/>
      <c r="UXB19"/>
      <c r="UXC19"/>
      <c r="UXD19"/>
      <c r="UXE19"/>
      <c r="UXF19"/>
      <c r="UXG19"/>
      <c r="UXH19"/>
      <c r="UXI19"/>
      <c r="UXJ19"/>
      <c r="UXK19"/>
      <c r="UXL19"/>
      <c r="UXM19"/>
      <c r="UXN19"/>
      <c r="UXO19"/>
      <c r="UXP19"/>
      <c r="UXQ19"/>
      <c r="UXR19"/>
      <c r="UXS19"/>
      <c r="UXT19"/>
      <c r="UXU19"/>
      <c r="UXV19"/>
      <c r="UXW19"/>
      <c r="UXX19"/>
      <c r="UXY19"/>
      <c r="UXZ19"/>
      <c r="UYA19"/>
      <c r="UYB19"/>
      <c r="UYC19"/>
      <c r="UYD19"/>
      <c r="UYE19"/>
      <c r="UYF19"/>
      <c r="UYG19"/>
      <c r="UYH19"/>
      <c r="UYI19"/>
      <c r="UYJ19"/>
      <c r="UYK19"/>
      <c r="UYL19"/>
      <c r="UYM19"/>
      <c r="UYN19"/>
      <c r="UYO19"/>
      <c r="UYP19"/>
      <c r="UYQ19"/>
      <c r="UYR19"/>
      <c r="UYS19"/>
      <c r="UYT19"/>
      <c r="UYU19"/>
      <c r="UYV19"/>
      <c r="UYW19"/>
      <c r="UYX19"/>
      <c r="UYY19"/>
      <c r="UYZ19"/>
      <c r="UZA19"/>
      <c r="UZB19"/>
      <c r="UZC19"/>
      <c r="UZD19"/>
      <c r="UZE19"/>
      <c r="UZF19"/>
      <c r="UZG19"/>
      <c r="UZH19"/>
      <c r="UZI19"/>
      <c r="UZJ19"/>
      <c r="UZK19"/>
      <c r="UZL19"/>
      <c r="UZM19"/>
      <c r="UZN19"/>
      <c r="UZO19"/>
      <c r="UZP19"/>
      <c r="UZQ19"/>
      <c r="UZR19"/>
      <c r="UZS19"/>
      <c r="UZT19"/>
      <c r="UZU19"/>
      <c r="UZV19"/>
      <c r="UZW19"/>
      <c r="UZX19"/>
      <c r="UZY19"/>
      <c r="UZZ19"/>
      <c r="VAA19"/>
      <c r="VAB19"/>
      <c r="VAC19"/>
      <c r="VAD19"/>
      <c r="VAE19"/>
      <c r="VAF19"/>
      <c r="VAG19"/>
      <c r="VAH19"/>
      <c r="VAI19"/>
      <c r="VAJ19"/>
      <c r="VAK19"/>
      <c r="VAL19"/>
      <c r="VAM19"/>
      <c r="VAN19"/>
      <c r="VAO19"/>
      <c r="VAP19"/>
      <c r="VAQ19"/>
      <c r="VAR19"/>
      <c r="VAS19"/>
      <c r="VAT19"/>
      <c r="VAU19"/>
      <c r="VAV19"/>
      <c r="VAW19"/>
      <c r="VAX19"/>
      <c r="VAY19"/>
      <c r="VAZ19"/>
      <c r="VBA19"/>
      <c r="VBB19"/>
      <c r="VBC19"/>
      <c r="VBD19"/>
      <c r="VBE19"/>
      <c r="VBF19"/>
      <c r="VBG19"/>
      <c r="VBH19"/>
      <c r="VBI19"/>
      <c r="VBJ19"/>
      <c r="VBK19"/>
      <c r="VBL19"/>
      <c r="VBM19"/>
      <c r="VBN19"/>
      <c r="VBO19"/>
      <c r="VBP19"/>
      <c r="VBQ19"/>
      <c r="VBR19"/>
      <c r="VBS19"/>
      <c r="VBT19"/>
      <c r="VBU19"/>
      <c r="VBV19"/>
      <c r="VBW19"/>
      <c r="VBX19"/>
      <c r="VBY19"/>
      <c r="VBZ19"/>
      <c r="VCA19"/>
      <c r="VCB19"/>
      <c r="VCC19"/>
      <c r="VCD19"/>
      <c r="VCE19"/>
      <c r="VCF19"/>
      <c r="VCG19"/>
      <c r="VCH19"/>
      <c r="VCI19"/>
      <c r="VCJ19"/>
      <c r="VCK19"/>
      <c r="VCL19"/>
      <c r="VCM19"/>
      <c r="VCN19"/>
      <c r="VCO19"/>
      <c r="VCP19"/>
      <c r="VCQ19"/>
      <c r="VCR19"/>
      <c r="VCS19"/>
      <c r="VCT19"/>
      <c r="VCU19"/>
      <c r="VCV19"/>
      <c r="VCW19"/>
      <c r="VCX19"/>
      <c r="VCY19"/>
      <c r="VCZ19"/>
      <c r="VDA19"/>
      <c r="VDB19"/>
      <c r="VDC19"/>
      <c r="VDD19"/>
      <c r="VDE19"/>
      <c r="VDF19"/>
      <c r="VDG19"/>
      <c r="VDH19"/>
      <c r="VDI19"/>
      <c r="VDJ19"/>
      <c r="VDK19"/>
      <c r="VDL19"/>
      <c r="VDM19"/>
      <c r="VDN19"/>
      <c r="VDO19"/>
      <c r="VDP19"/>
      <c r="VDQ19"/>
      <c r="VDR19"/>
      <c r="VDS19"/>
      <c r="VDT19"/>
      <c r="VDU19"/>
      <c r="VDV19"/>
      <c r="VDW19"/>
      <c r="VDX19"/>
      <c r="VDY19"/>
      <c r="VDZ19"/>
      <c r="VEA19"/>
      <c r="VEB19"/>
      <c r="VEC19"/>
      <c r="VED19"/>
      <c r="VEE19"/>
      <c r="VEF19"/>
      <c r="VEG19"/>
      <c r="VEH19"/>
      <c r="VEI19"/>
      <c r="VEJ19"/>
      <c r="VEK19"/>
      <c r="VEL19"/>
      <c r="VEM19"/>
      <c r="VEN19"/>
      <c r="VEO19"/>
      <c r="VEP19"/>
      <c r="VEQ19"/>
      <c r="VER19"/>
      <c r="VES19"/>
      <c r="VET19"/>
      <c r="VEU19"/>
      <c r="VEV19"/>
      <c r="VEW19"/>
      <c r="VEX19"/>
      <c r="VEY19"/>
      <c r="VEZ19"/>
      <c r="VFA19"/>
      <c r="VFB19"/>
      <c r="VFC19"/>
      <c r="VFD19"/>
      <c r="VFE19"/>
      <c r="VFF19"/>
      <c r="VFG19"/>
      <c r="VFH19"/>
      <c r="VFI19"/>
      <c r="VFJ19"/>
      <c r="VFK19"/>
      <c r="VFL19"/>
      <c r="VFM19"/>
      <c r="VFN19"/>
      <c r="VFO19"/>
      <c r="VFP19"/>
      <c r="VFQ19"/>
      <c r="VFR19"/>
      <c r="VFS19"/>
      <c r="VFT19"/>
      <c r="VFU19"/>
      <c r="VFV19"/>
      <c r="VFW19"/>
      <c r="VFX19"/>
      <c r="VFY19"/>
      <c r="VFZ19"/>
      <c r="VGA19"/>
      <c r="VGB19"/>
      <c r="VGC19"/>
      <c r="VGD19"/>
      <c r="VGE19"/>
      <c r="VGF19"/>
      <c r="VGG19"/>
      <c r="VGH19"/>
      <c r="VGI19"/>
      <c r="VGJ19"/>
      <c r="VGK19"/>
      <c r="VGL19"/>
      <c r="VGM19"/>
      <c r="VGN19"/>
      <c r="VGO19"/>
      <c r="VGP19"/>
      <c r="VGQ19"/>
      <c r="VGR19"/>
      <c r="VGS19"/>
      <c r="VGT19"/>
      <c r="VGU19"/>
      <c r="VGV19"/>
      <c r="VGW19"/>
      <c r="VGX19"/>
      <c r="VGY19"/>
      <c r="VGZ19"/>
      <c r="VHA19"/>
      <c r="VHB19"/>
      <c r="VHC19"/>
      <c r="VHD19"/>
      <c r="VHE19"/>
      <c r="VHF19"/>
      <c r="VHG19"/>
      <c r="VHH19"/>
      <c r="VHI19"/>
      <c r="VHJ19"/>
      <c r="VHK19"/>
      <c r="VHL19"/>
      <c r="VHM19"/>
      <c r="VHN19"/>
      <c r="VHO19"/>
      <c r="VHP19"/>
      <c r="VHQ19"/>
      <c r="VHR19"/>
      <c r="VHS19"/>
      <c r="VHT19"/>
      <c r="VHU19"/>
      <c r="VHV19"/>
      <c r="VHW19"/>
      <c r="VHX19"/>
      <c r="VHY19"/>
      <c r="VHZ19"/>
      <c r="VIA19"/>
      <c r="VIB19"/>
      <c r="VIC19"/>
      <c r="VID19"/>
      <c r="VIE19"/>
      <c r="VIF19"/>
      <c r="VIG19"/>
      <c r="VIH19"/>
      <c r="VII19"/>
      <c r="VIJ19"/>
      <c r="VIK19"/>
      <c r="VIL19"/>
      <c r="VIM19"/>
      <c r="VIN19"/>
      <c r="VIO19"/>
      <c r="VIP19"/>
      <c r="VIQ19"/>
      <c r="VIR19"/>
      <c r="VIS19"/>
      <c r="VIT19"/>
      <c r="VIU19"/>
      <c r="VIV19"/>
      <c r="VIW19"/>
      <c r="VIX19"/>
      <c r="VIY19"/>
      <c r="VIZ19"/>
      <c r="VJA19"/>
      <c r="VJB19"/>
      <c r="VJC19"/>
      <c r="VJD19"/>
      <c r="VJE19"/>
      <c r="VJF19"/>
      <c r="VJG19"/>
      <c r="VJH19"/>
      <c r="VJI19"/>
      <c r="VJJ19"/>
      <c r="VJK19"/>
      <c r="VJL19"/>
      <c r="VJM19"/>
      <c r="VJN19"/>
      <c r="VJO19"/>
      <c r="VJP19"/>
      <c r="VJQ19"/>
      <c r="VJR19"/>
      <c r="VJS19"/>
      <c r="VJT19"/>
      <c r="VJU19"/>
      <c r="VJV19"/>
      <c r="VJW19"/>
      <c r="VJX19"/>
      <c r="VJY19"/>
      <c r="VJZ19"/>
      <c r="VKA19"/>
      <c r="VKB19"/>
      <c r="VKC19"/>
      <c r="VKD19"/>
      <c r="VKE19"/>
      <c r="VKF19"/>
      <c r="VKG19"/>
      <c r="VKH19"/>
      <c r="VKI19"/>
      <c r="VKJ19"/>
      <c r="VKK19"/>
      <c r="VKL19"/>
      <c r="VKM19"/>
      <c r="VKN19"/>
      <c r="VKO19"/>
      <c r="VKP19"/>
      <c r="VKQ19"/>
      <c r="VKR19"/>
      <c r="VKS19"/>
      <c r="VKT19"/>
      <c r="VKU19"/>
      <c r="VKV19"/>
      <c r="VKW19"/>
      <c r="VKX19"/>
      <c r="VKY19"/>
      <c r="VKZ19"/>
      <c r="VLA19"/>
      <c r="VLB19"/>
      <c r="VLC19"/>
      <c r="VLD19"/>
      <c r="VLE19"/>
      <c r="VLF19"/>
      <c r="VLG19"/>
      <c r="VLH19"/>
      <c r="VLI19"/>
      <c r="VLJ19"/>
      <c r="VLK19"/>
      <c r="VLL19"/>
      <c r="VLM19"/>
      <c r="VLN19"/>
      <c r="VLO19"/>
      <c r="VLP19"/>
      <c r="VLQ19"/>
      <c r="VLR19"/>
      <c r="VLS19"/>
      <c r="VLT19"/>
      <c r="VLU19"/>
      <c r="VLV19"/>
      <c r="VLW19"/>
      <c r="VLX19"/>
      <c r="VLY19"/>
      <c r="VLZ19"/>
      <c r="VMA19"/>
      <c r="VMB19"/>
      <c r="VMC19"/>
      <c r="VMD19"/>
      <c r="VME19"/>
      <c r="VMF19"/>
      <c r="VMG19"/>
      <c r="VMH19"/>
      <c r="VMI19"/>
      <c r="VMJ19"/>
      <c r="VMK19"/>
      <c r="VML19"/>
      <c r="VMM19"/>
      <c r="VMN19"/>
      <c r="VMO19"/>
      <c r="VMP19"/>
      <c r="VMQ19"/>
      <c r="VMR19"/>
      <c r="VMS19"/>
      <c r="VMT19"/>
      <c r="VMU19"/>
      <c r="VMV19"/>
      <c r="VMW19"/>
      <c r="VMX19"/>
      <c r="VMY19"/>
      <c r="VMZ19"/>
      <c r="VNA19"/>
      <c r="VNB19"/>
      <c r="VNC19"/>
      <c r="VND19"/>
      <c r="VNE19"/>
      <c r="VNF19"/>
      <c r="VNG19"/>
      <c r="VNH19"/>
      <c r="VNI19"/>
      <c r="VNJ19"/>
      <c r="VNK19"/>
      <c r="VNL19"/>
      <c r="VNM19"/>
      <c r="VNN19"/>
      <c r="VNO19"/>
      <c r="VNP19"/>
      <c r="VNQ19"/>
      <c r="VNR19"/>
      <c r="VNS19"/>
      <c r="VNT19"/>
      <c r="VNU19"/>
      <c r="VNV19"/>
      <c r="VNW19"/>
      <c r="VNX19"/>
      <c r="VNY19"/>
      <c r="VNZ19"/>
      <c r="VOA19"/>
      <c r="VOB19"/>
      <c r="VOC19"/>
      <c r="VOD19"/>
      <c r="VOE19"/>
      <c r="VOF19"/>
      <c r="VOG19"/>
      <c r="VOH19"/>
      <c r="VOI19"/>
      <c r="VOJ19"/>
      <c r="VOK19"/>
      <c r="VOL19"/>
      <c r="VOM19"/>
      <c r="VON19"/>
      <c r="VOO19"/>
      <c r="VOP19"/>
      <c r="VOQ19"/>
      <c r="VOR19"/>
      <c r="VOS19"/>
      <c r="VOT19"/>
      <c r="VOU19"/>
      <c r="VOV19"/>
      <c r="VOW19"/>
      <c r="VOX19"/>
      <c r="VOY19"/>
      <c r="VOZ19"/>
      <c r="VPA19"/>
      <c r="VPB19"/>
      <c r="VPC19"/>
      <c r="VPD19"/>
      <c r="VPE19"/>
      <c r="VPF19"/>
      <c r="VPG19"/>
      <c r="VPH19"/>
      <c r="VPI19"/>
      <c r="VPJ19"/>
      <c r="VPK19"/>
      <c r="VPL19"/>
      <c r="VPM19"/>
      <c r="VPN19"/>
      <c r="VPO19"/>
      <c r="VPP19"/>
      <c r="VPQ19"/>
      <c r="VPR19"/>
      <c r="VPS19"/>
      <c r="VPT19"/>
      <c r="VPU19"/>
      <c r="VPV19"/>
      <c r="VPW19"/>
      <c r="VPX19"/>
      <c r="VPY19"/>
      <c r="VPZ19"/>
      <c r="VQA19"/>
      <c r="VQB19"/>
      <c r="VQC19"/>
      <c r="VQD19"/>
      <c r="VQE19"/>
      <c r="VQF19"/>
      <c r="VQG19"/>
      <c r="VQH19"/>
      <c r="VQI19"/>
      <c r="VQJ19"/>
      <c r="VQK19"/>
      <c r="VQL19"/>
      <c r="VQM19"/>
      <c r="VQN19"/>
      <c r="VQO19"/>
      <c r="VQP19"/>
      <c r="VQQ19"/>
      <c r="VQR19"/>
      <c r="VQS19"/>
      <c r="VQT19"/>
      <c r="VQU19"/>
      <c r="VQV19"/>
      <c r="VQW19"/>
      <c r="VQX19"/>
      <c r="VQY19"/>
      <c r="VQZ19"/>
      <c r="VRA19"/>
      <c r="VRB19"/>
      <c r="VRC19"/>
      <c r="VRD19"/>
      <c r="VRE19"/>
      <c r="VRF19"/>
      <c r="VRG19"/>
      <c r="VRH19"/>
      <c r="VRI19"/>
      <c r="VRJ19"/>
      <c r="VRK19"/>
      <c r="VRL19"/>
      <c r="VRM19"/>
      <c r="VRN19"/>
      <c r="VRO19"/>
      <c r="VRP19"/>
      <c r="VRQ19"/>
      <c r="VRR19"/>
      <c r="VRS19"/>
      <c r="VRT19"/>
      <c r="VRU19"/>
      <c r="VRV19"/>
      <c r="VRW19"/>
      <c r="VRX19"/>
      <c r="VRY19"/>
      <c r="VRZ19"/>
      <c r="VSA19"/>
      <c r="VSB19"/>
      <c r="VSC19"/>
      <c r="VSD19"/>
      <c r="VSE19"/>
      <c r="VSF19"/>
      <c r="VSG19"/>
      <c r="VSH19"/>
      <c r="VSI19"/>
      <c r="VSJ19"/>
      <c r="VSK19"/>
      <c r="VSL19"/>
      <c r="VSM19"/>
      <c r="VSN19"/>
      <c r="VSO19"/>
      <c r="VSP19"/>
      <c r="VSQ19"/>
      <c r="VSR19"/>
      <c r="VSS19"/>
      <c r="VST19"/>
      <c r="VSU19"/>
      <c r="VSV19"/>
      <c r="VSW19"/>
      <c r="VSX19"/>
      <c r="VSY19"/>
      <c r="VSZ19"/>
      <c r="VTA19"/>
      <c r="VTB19"/>
      <c r="VTC19"/>
      <c r="VTD19"/>
      <c r="VTE19"/>
      <c r="VTF19"/>
      <c r="VTG19"/>
      <c r="VTH19"/>
      <c r="VTI19"/>
      <c r="VTJ19"/>
      <c r="VTK19"/>
      <c r="VTL19"/>
      <c r="VTM19"/>
      <c r="VTN19"/>
      <c r="VTO19"/>
      <c r="VTP19"/>
      <c r="VTQ19"/>
      <c r="VTR19"/>
      <c r="VTS19"/>
      <c r="VTT19"/>
      <c r="VTU19"/>
      <c r="VTV19"/>
      <c r="VTW19"/>
      <c r="VTX19"/>
      <c r="VTY19"/>
      <c r="VTZ19"/>
      <c r="VUA19"/>
      <c r="VUB19"/>
      <c r="VUC19"/>
      <c r="VUD19"/>
      <c r="VUE19"/>
      <c r="VUF19"/>
      <c r="VUG19"/>
      <c r="VUH19"/>
      <c r="VUI19"/>
      <c r="VUJ19"/>
      <c r="VUK19"/>
      <c r="VUL19"/>
      <c r="VUM19"/>
      <c r="VUN19"/>
      <c r="VUO19"/>
      <c r="VUP19"/>
      <c r="VUQ19"/>
      <c r="VUR19"/>
      <c r="VUS19"/>
      <c r="VUT19"/>
      <c r="VUU19"/>
      <c r="VUV19"/>
      <c r="VUW19"/>
      <c r="VUX19"/>
      <c r="VUY19"/>
      <c r="VUZ19"/>
      <c r="VVA19"/>
      <c r="VVB19"/>
      <c r="VVC19"/>
      <c r="VVD19"/>
      <c r="VVE19"/>
      <c r="VVF19"/>
      <c r="VVG19"/>
      <c r="VVH19"/>
      <c r="VVI19"/>
      <c r="VVJ19"/>
      <c r="VVK19"/>
      <c r="VVL19"/>
      <c r="VVM19"/>
      <c r="VVN19"/>
      <c r="VVO19"/>
      <c r="VVP19"/>
      <c r="VVQ19"/>
      <c r="VVR19"/>
      <c r="VVS19"/>
      <c r="VVT19"/>
      <c r="VVU19"/>
      <c r="VVV19"/>
      <c r="VVW19"/>
      <c r="VVX19"/>
      <c r="VVY19"/>
      <c r="VVZ19"/>
      <c r="VWA19"/>
      <c r="VWB19"/>
      <c r="VWC19"/>
      <c r="VWD19"/>
      <c r="VWE19"/>
      <c r="VWF19"/>
      <c r="VWG19"/>
      <c r="VWH19"/>
      <c r="VWI19"/>
      <c r="VWJ19"/>
      <c r="VWK19"/>
      <c r="VWL19"/>
      <c r="VWM19"/>
      <c r="VWN19"/>
      <c r="VWO19"/>
      <c r="VWP19"/>
      <c r="VWQ19"/>
      <c r="VWR19"/>
      <c r="VWS19"/>
      <c r="VWT19"/>
      <c r="VWU19"/>
      <c r="VWV19"/>
      <c r="VWW19"/>
      <c r="VWX19"/>
      <c r="VWY19"/>
      <c r="VWZ19"/>
      <c r="VXA19"/>
      <c r="VXB19"/>
      <c r="VXC19"/>
      <c r="VXD19"/>
      <c r="VXE19"/>
      <c r="VXF19"/>
      <c r="VXG19"/>
      <c r="VXH19"/>
      <c r="VXI19"/>
      <c r="VXJ19"/>
      <c r="VXK19"/>
      <c r="VXL19"/>
      <c r="VXM19"/>
      <c r="VXN19"/>
      <c r="VXO19"/>
      <c r="VXP19"/>
      <c r="VXQ19"/>
      <c r="VXR19"/>
      <c r="VXS19"/>
      <c r="VXT19"/>
      <c r="VXU19"/>
      <c r="VXV19"/>
      <c r="VXW19"/>
      <c r="VXX19"/>
      <c r="VXY19"/>
      <c r="VXZ19"/>
      <c r="VYA19"/>
      <c r="VYB19"/>
      <c r="VYC19"/>
      <c r="VYD19"/>
      <c r="VYE19"/>
      <c r="VYF19"/>
      <c r="VYG19"/>
      <c r="VYH19"/>
      <c r="VYI19"/>
      <c r="VYJ19"/>
      <c r="VYK19"/>
      <c r="VYL19"/>
      <c r="VYM19"/>
      <c r="VYN19"/>
      <c r="VYO19"/>
      <c r="VYP19"/>
      <c r="VYQ19"/>
      <c r="VYR19"/>
      <c r="VYS19"/>
      <c r="VYT19"/>
      <c r="VYU19"/>
      <c r="VYV19"/>
      <c r="VYW19"/>
      <c r="VYX19"/>
      <c r="VYY19"/>
      <c r="VYZ19"/>
      <c r="VZA19"/>
      <c r="VZB19"/>
      <c r="VZC19"/>
      <c r="VZD19"/>
      <c r="VZE19"/>
      <c r="VZF19"/>
      <c r="VZG19"/>
      <c r="VZH19"/>
      <c r="VZI19"/>
      <c r="VZJ19"/>
      <c r="VZK19"/>
      <c r="VZL19"/>
      <c r="VZM19"/>
      <c r="VZN19"/>
      <c r="VZO19"/>
      <c r="VZP19"/>
      <c r="VZQ19"/>
      <c r="VZR19"/>
      <c r="VZS19"/>
      <c r="VZT19"/>
      <c r="VZU19"/>
      <c r="VZV19"/>
      <c r="VZW19"/>
      <c r="VZX19"/>
      <c r="VZY19"/>
      <c r="VZZ19"/>
      <c r="WAA19"/>
      <c r="WAB19"/>
      <c r="WAC19"/>
      <c r="WAD19"/>
      <c r="WAE19"/>
      <c r="WAF19"/>
      <c r="WAG19"/>
      <c r="WAH19"/>
      <c r="WAI19"/>
      <c r="WAJ19"/>
      <c r="WAK19"/>
      <c r="WAL19"/>
      <c r="WAM19"/>
      <c r="WAN19"/>
      <c r="WAO19"/>
      <c r="WAP19"/>
      <c r="WAQ19"/>
      <c r="WAR19"/>
      <c r="WAS19"/>
      <c r="WAT19"/>
      <c r="WAU19"/>
      <c r="WAV19"/>
      <c r="WAW19"/>
      <c r="WAX19"/>
      <c r="WAY19"/>
      <c r="WAZ19"/>
      <c r="WBA19"/>
      <c r="WBB19"/>
      <c r="WBC19"/>
      <c r="WBD19"/>
      <c r="WBE19"/>
      <c r="WBF19"/>
      <c r="WBG19"/>
      <c r="WBH19"/>
      <c r="WBI19"/>
      <c r="WBJ19"/>
      <c r="WBK19"/>
      <c r="WBL19"/>
      <c r="WBM19"/>
      <c r="WBN19"/>
      <c r="WBO19"/>
      <c r="WBP19"/>
      <c r="WBQ19"/>
      <c r="WBR19"/>
      <c r="WBS19"/>
      <c r="WBT19"/>
      <c r="WBU19"/>
      <c r="WBV19"/>
      <c r="WBW19"/>
      <c r="WBX19"/>
      <c r="WBY19"/>
      <c r="WBZ19"/>
      <c r="WCA19"/>
      <c r="WCB19"/>
      <c r="WCC19"/>
      <c r="WCD19"/>
      <c r="WCE19"/>
      <c r="WCF19"/>
      <c r="WCG19"/>
      <c r="WCH19"/>
      <c r="WCI19"/>
      <c r="WCJ19"/>
      <c r="WCK19"/>
      <c r="WCL19"/>
      <c r="WCM19"/>
      <c r="WCN19"/>
      <c r="WCO19"/>
      <c r="WCP19"/>
      <c r="WCQ19"/>
      <c r="WCR19"/>
      <c r="WCS19"/>
      <c r="WCT19"/>
      <c r="WCU19"/>
      <c r="WCV19"/>
      <c r="WCW19"/>
      <c r="WCX19"/>
      <c r="WCY19"/>
      <c r="WCZ19"/>
      <c r="WDA19"/>
      <c r="WDB19"/>
      <c r="WDC19"/>
      <c r="WDD19"/>
      <c r="WDE19"/>
      <c r="WDF19"/>
      <c r="WDG19"/>
      <c r="WDH19"/>
      <c r="WDI19"/>
      <c r="WDJ19"/>
      <c r="WDK19"/>
      <c r="WDL19"/>
      <c r="WDM19"/>
      <c r="WDN19"/>
      <c r="WDO19"/>
      <c r="WDP19"/>
      <c r="WDQ19"/>
      <c r="WDR19"/>
      <c r="WDS19"/>
      <c r="WDT19"/>
      <c r="WDU19"/>
      <c r="WDV19"/>
      <c r="WDW19"/>
      <c r="WDX19"/>
      <c r="WDY19"/>
      <c r="WDZ19"/>
      <c r="WEA19"/>
      <c r="WEB19"/>
      <c r="WEC19"/>
      <c r="WED19"/>
      <c r="WEE19"/>
      <c r="WEF19"/>
      <c r="WEG19"/>
      <c r="WEH19"/>
      <c r="WEI19"/>
      <c r="WEJ19"/>
      <c r="WEK19"/>
      <c r="WEL19"/>
      <c r="WEM19"/>
      <c r="WEN19"/>
      <c r="WEO19"/>
      <c r="WEP19"/>
      <c r="WEQ19"/>
      <c r="WER19"/>
      <c r="WES19"/>
      <c r="WET19"/>
      <c r="WEU19"/>
      <c r="WEV19"/>
      <c r="WEW19"/>
      <c r="WEX19"/>
      <c r="WEY19"/>
      <c r="WEZ19"/>
      <c r="WFA19"/>
      <c r="WFB19"/>
      <c r="WFC19"/>
      <c r="WFD19"/>
      <c r="WFE19"/>
      <c r="WFF19"/>
      <c r="WFG19"/>
      <c r="WFH19"/>
      <c r="WFI19"/>
      <c r="WFJ19"/>
      <c r="WFK19"/>
      <c r="WFL19"/>
      <c r="WFM19"/>
      <c r="WFN19"/>
      <c r="WFO19"/>
      <c r="WFP19"/>
      <c r="WFQ19"/>
      <c r="WFR19"/>
      <c r="WFS19"/>
      <c r="WFT19"/>
      <c r="WFU19"/>
      <c r="WFV19"/>
      <c r="WFW19"/>
      <c r="WFX19"/>
      <c r="WFY19"/>
      <c r="WFZ19"/>
      <c r="WGA19"/>
      <c r="WGB19"/>
      <c r="WGC19"/>
      <c r="WGD19"/>
      <c r="WGE19"/>
      <c r="WGF19"/>
      <c r="WGG19"/>
      <c r="WGH19"/>
      <c r="WGI19"/>
      <c r="WGJ19"/>
      <c r="WGK19"/>
      <c r="WGL19"/>
      <c r="WGM19"/>
      <c r="WGN19"/>
      <c r="WGO19"/>
      <c r="WGP19"/>
      <c r="WGQ19"/>
      <c r="WGR19"/>
      <c r="WGS19"/>
      <c r="WGT19"/>
      <c r="WGU19"/>
      <c r="WGV19"/>
      <c r="WGW19"/>
      <c r="WGX19"/>
      <c r="WGY19"/>
      <c r="WGZ19"/>
      <c r="WHA19"/>
      <c r="WHB19"/>
      <c r="WHC19"/>
      <c r="WHD19"/>
      <c r="WHE19"/>
      <c r="WHF19"/>
      <c r="WHG19"/>
      <c r="WHH19"/>
      <c r="WHI19"/>
      <c r="WHJ19"/>
      <c r="WHK19"/>
      <c r="WHL19"/>
      <c r="WHM19"/>
      <c r="WHN19"/>
      <c r="WHO19"/>
      <c r="WHP19"/>
      <c r="WHQ19"/>
      <c r="WHR19"/>
      <c r="WHS19"/>
      <c r="WHT19"/>
      <c r="WHU19"/>
      <c r="WHV19"/>
      <c r="WHW19"/>
      <c r="WHX19"/>
      <c r="WHY19"/>
      <c r="WHZ19"/>
      <c r="WIA19"/>
      <c r="WIB19"/>
      <c r="WIC19"/>
      <c r="WID19"/>
      <c r="WIE19"/>
      <c r="WIF19"/>
      <c r="WIG19"/>
      <c r="WIH19"/>
      <c r="WII19"/>
      <c r="WIJ19"/>
      <c r="WIK19"/>
      <c r="WIL19"/>
      <c r="WIM19"/>
      <c r="WIN19"/>
      <c r="WIO19"/>
      <c r="WIP19"/>
      <c r="WIQ19"/>
      <c r="WIR19"/>
      <c r="WIS19"/>
      <c r="WIT19"/>
      <c r="WIU19"/>
      <c r="WIV19"/>
      <c r="WIW19"/>
      <c r="WIX19"/>
      <c r="WIY19"/>
      <c r="WIZ19"/>
      <c r="WJA19"/>
      <c r="WJB19"/>
      <c r="WJC19"/>
      <c r="WJD19"/>
      <c r="WJE19"/>
      <c r="WJF19"/>
      <c r="WJG19"/>
      <c r="WJH19"/>
      <c r="WJI19"/>
      <c r="WJJ19"/>
      <c r="WJK19"/>
      <c r="WJL19"/>
      <c r="WJM19"/>
      <c r="WJN19"/>
      <c r="WJO19"/>
      <c r="WJP19"/>
      <c r="WJQ19"/>
      <c r="WJR19"/>
      <c r="WJS19"/>
      <c r="WJT19"/>
      <c r="WJU19"/>
      <c r="WJV19"/>
      <c r="WJW19"/>
      <c r="WJX19"/>
      <c r="WJY19"/>
      <c r="WJZ19"/>
      <c r="WKA19"/>
      <c r="WKB19"/>
      <c r="WKC19"/>
      <c r="WKD19"/>
      <c r="WKE19"/>
      <c r="WKF19"/>
      <c r="WKG19"/>
      <c r="WKH19"/>
      <c r="WKI19"/>
      <c r="WKJ19"/>
      <c r="WKK19"/>
      <c r="WKL19"/>
      <c r="WKM19"/>
      <c r="WKN19"/>
      <c r="WKO19"/>
      <c r="WKP19"/>
      <c r="WKQ19"/>
      <c r="WKR19"/>
      <c r="WKS19"/>
      <c r="WKT19"/>
      <c r="WKU19"/>
      <c r="WKV19"/>
      <c r="WKW19"/>
      <c r="WKX19"/>
      <c r="WKY19"/>
      <c r="WKZ19"/>
      <c r="WLA19"/>
      <c r="WLB19"/>
      <c r="WLC19"/>
      <c r="WLD19"/>
      <c r="WLE19"/>
      <c r="WLF19"/>
      <c r="WLG19"/>
      <c r="WLH19"/>
      <c r="WLI19"/>
      <c r="WLJ19"/>
      <c r="WLK19"/>
      <c r="WLL19"/>
      <c r="WLM19"/>
      <c r="WLN19"/>
      <c r="WLO19"/>
      <c r="WLP19"/>
      <c r="WLQ19"/>
      <c r="WLR19"/>
      <c r="WLS19"/>
      <c r="WLT19"/>
      <c r="WLU19"/>
      <c r="WLV19"/>
      <c r="WLW19"/>
      <c r="WLX19"/>
      <c r="WLY19"/>
      <c r="WLZ19"/>
      <c r="WMA19"/>
      <c r="WMB19"/>
      <c r="WMC19"/>
      <c r="WMD19"/>
      <c r="WME19"/>
      <c r="WMF19"/>
      <c r="WMG19"/>
      <c r="WMH19"/>
      <c r="WMI19"/>
      <c r="WMJ19"/>
      <c r="WMK19"/>
      <c r="WML19"/>
      <c r="WMM19"/>
      <c r="WMN19"/>
      <c r="WMO19"/>
      <c r="WMP19"/>
      <c r="WMQ19"/>
      <c r="WMR19"/>
      <c r="WMS19"/>
      <c r="WMT19"/>
      <c r="WMU19"/>
      <c r="WMV19"/>
      <c r="WMW19"/>
      <c r="WMX19"/>
      <c r="WMY19"/>
      <c r="WMZ19"/>
      <c r="WNA19"/>
      <c r="WNB19"/>
      <c r="WNC19"/>
      <c r="WND19"/>
      <c r="WNE19"/>
      <c r="WNF19"/>
      <c r="WNG19"/>
      <c r="WNH19"/>
      <c r="WNI19"/>
      <c r="WNJ19"/>
      <c r="WNK19"/>
      <c r="WNL19"/>
      <c r="WNM19"/>
      <c r="WNN19"/>
      <c r="WNO19"/>
      <c r="WNP19"/>
      <c r="WNQ19"/>
      <c r="WNR19"/>
      <c r="WNS19"/>
      <c r="WNT19"/>
      <c r="WNU19"/>
      <c r="WNV19"/>
      <c r="WNW19"/>
      <c r="WNX19"/>
      <c r="WNY19"/>
      <c r="WNZ19"/>
      <c r="WOA19"/>
      <c r="WOB19"/>
      <c r="WOC19"/>
      <c r="WOD19"/>
      <c r="WOE19"/>
      <c r="WOF19"/>
      <c r="WOG19"/>
      <c r="WOH19"/>
      <c r="WOI19"/>
      <c r="WOJ19"/>
      <c r="WOK19"/>
      <c r="WOL19"/>
      <c r="WOM19"/>
      <c r="WON19"/>
      <c r="WOO19"/>
      <c r="WOP19"/>
      <c r="WOQ19"/>
      <c r="WOR19"/>
      <c r="WOS19"/>
      <c r="WOT19"/>
      <c r="WOU19"/>
      <c r="WOV19"/>
      <c r="WOW19"/>
      <c r="WOX19"/>
      <c r="WOY19"/>
      <c r="WOZ19"/>
      <c r="WPA19"/>
      <c r="WPB19"/>
      <c r="WPC19"/>
      <c r="WPD19"/>
      <c r="WPE19"/>
      <c r="WPF19"/>
      <c r="WPG19"/>
      <c r="WPH19"/>
      <c r="WPI19"/>
      <c r="WPJ19"/>
      <c r="WPK19"/>
      <c r="WPL19"/>
      <c r="WPM19"/>
      <c r="WPN19"/>
      <c r="WPO19"/>
      <c r="WPP19"/>
      <c r="WPQ19"/>
      <c r="WPR19"/>
      <c r="WPS19"/>
      <c r="WPT19"/>
      <c r="WPU19"/>
      <c r="WPV19"/>
      <c r="WPW19"/>
      <c r="WPX19"/>
      <c r="WPY19"/>
      <c r="WPZ19"/>
      <c r="WQA19"/>
      <c r="WQB19"/>
      <c r="WQC19"/>
      <c r="WQD19"/>
      <c r="WQE19"/>
      <c r="WQF19"/>
      <c r="WQG19"/>
      <c r="WQH19"/>
      <c r="WQI19"/>
      <c r="WQJ19"/>
      <c r="WQK19"/>
      <c r="WQL19"/>
      <c r="WQM19"/>
      <c r="WQN19"/>
      <c r="WQO19"/>
      <c r="WQP19"/>
      <c r="WQQ19"/>
      <c r="WQR19"/>
      <c r="WQS19"/>
      <c r="WQT19"/>
      <c r="WQU19"/>
      <c r="WQV19"/>
      <c r="WQW19"/>
      <c r="WQX19"/>
      <c r="WQY19"/>
      <c r="WQZ19"/>
      <c r="WRA19"/>
      <c r="WRB19"/>
      <c r="WRC19"/>
      <c r="WRD19"/>
      <c r="WRE19"/>
      <c r="WRF19"/>
      <c r="WRG19"/>
      <c r="WRH19"/>
      <c r="WRI19"/>
      <c r="WRJ19"/>
      <c r="WRK19"/>
      <c r="WRL19"/>
      <c r="WRM19"/>
      <c r="WRN19"/>
      <c r="WRO19"/>
      <c r="WRP19"/>
      <c r="WRQ19"/>
      <c r="WRR19"/>
      <c r="WRS19"/>
      <c r="WRT19"/>
      <c r="WRU19"/>
      <c r="WRV19"/>
      <c r="WRW19"/>
      <c r="WRX19"/>
      <c r="WRY19"/>
      <c r="WRZ19"/>
      <c r="WSA19"/>
      <c r="WSB19"/>
      <c r="WSC19"/>
      <c r="WSD19"/>
      <c r="WSE19"/>
      <c r="WSF19"/>
      <c r="WSG19"/>
      <c r="WSH19"/>
      <c r="WSI19"/>
      <c r="WSJ19"/>
      <c r="WSK19"/>
      <c r="WSL19"/>
      <c r="WSM19"/>
      <c r="WSN19"/>
      <c r="WSO19"/>
      <c r="WSP19"/>
      <c r="WSQ19"/>
      <c r="WSR19"/>
      <c r="WSS19"/>
      <c r="WST19"/>
      <c r="WSU19"/>
      <c r="WSV19"/>
      <c r="WSW19"/>
      <c r="WSX19"/>
      <c r="WSY19"/>
      <c r="WSZ19"/>
      <c r="WTA19"/>
      <c r="WTB19"/>
      <c r="WTC19"/>
      <c r="WTD19"/>
      <c r="WTE19"/>
      <c r="WTF19"/>
      <c r="WTG19"/>
      <c r="WTH19"/>
      <c r="WTI19"/>
      <c r="WTJ19"/>
      <c r="WTK19"/>
      <c r="WTL19"/>
      <c r="WTM19"/>
      <c r="WTN19"/>
      <c r="WTO19"/>
      <c r="WTP19"/>
      <c r="WTQ19"/>
      <c r="WTR19"/>
      <c r="WTS19"/>
      <c r="WTT19"/>
      <c r="WTU19"/>
      <c r="WTV19"/>
      <c r="WTW19"/>
      <c r="WTX19"/>
      <c r="WTY19"/>
      <c r="WTZ19"/>
      <c r="WUA19"/>
      <c r="WUB19"/>
      <c r="WUC19"/>
      <c r="WUD19"/>
      <c r="WUE19"/>
      <c r="WUF19"/>
      <c r="WUG19"/>
      <c r="WUH19"/>
      <c r="WUI19"/>
      <c r="WUJ19"/>
      <c r="WUK19"/>
      <c r="WUL19"/>
      <c r="WUM19"/>
      <c r="WUN19"/>
      <c r="WUO19"/>
      <c r="WUP19"/>
      <c r="WUQ19"/>
      <c r="WUR19"/>
      <c r="WUS19"/>
      <c r="WUT19"/>
      <c r="WUU19"/>
      <c r="WUV19"/>
      <c r="WUW19"/>
      <c r="WUX19"/>
      <c r="WUY19"/>
      <c r="WUZ19"/>
      <c r="WVA19"/>
      <c r="WVB19"/>
      <c r="WVC19"/>
      <c r="WVD19"/>
      <c r="WVE19"/>
      <c r="WVF19"/>
      <c r="WVG19"/>
      <c r="WVH19"/>
      <c r="WVI19"/>
      <c r="WVJ19"/>
      <c r="WVK19"/>
      <c r="WVL19"/>
      <c r="WVM19"/>
      <c r="WVN19"/>
      <c r="WVO19"/>
      <c r="WVP19"/>
      <c r="WVQ19"/>
      <c r="WVR19"/>
      <c r="WVS19"/>
      <c r="WVT19"/>
      <c r="WVU19"/>
      <c r="WVV19"/>
      <c r="WVW19"/>
      <c r="WVX19"/>
      <c r="WVY19"/>
      <c r="WVZ19"/>
      <c r="WWA19"/>
      <c r="WWB19"/>
      <c r="WWC19"/>
      <c r="WWD19"/>
      <c r="WWE19"/>
      <c r="WWF19"/>
      <c r="WWG19"/>
      <c r="WWH19"/>
      <c r="WWI19"/>
      <c r="WWJ19"/>
      <c r="WWK19"/>
      <c r="WWL19"/>
      <c r="WWM19"/>
      <c r="WWN19"/>
      <c r="WWO19"/>
      <c r="WWP19"/>
      <c r="WWQ19"/>
      <c r="WWR19"/>
      <c r="WWS19"/>
      <c r="WWT19"/>
      <c r="WWU19"/>
      <c r="WWV19"/>
      <c r="WWW19"/>
      <c r="WWX19"/>
      <c r="WWY19"/>
      <c r="WWZ19"/>
      <c r="WXA19"/>
      <c r="WXB19"/>
      <c r="WXC19"/>
      <c r="WXD19"/>
      <c r="WXE19"/>
      <c r="WXF19"/>
      <c r="WXG19"/>
      <c r="WXH19"/>
      <c r="WXI19"/>
      <c r="WXJ19"/>
      <c r="WXK19"/>
      <c r="WXL19"/>
      <c r="WXM19"/>
      <c r="WXN19"/>
      <c r="WXO19"/>
      <c r="WXP19"/>
      <c r="WXQ19"/>
      <c r="WXR19"/>
      <c r="WXS19"/>
      <c r="WXT19"/>
      <c r="WXU19"/>
      <c r="WXV19"/>
      <c r="WXW19"/>
      <c r="WXX19"/>
      <c r="WXY19"/>
      <c r="WXZ19"/>
      <c r="WYA19"/>
      <c r="WYB19"/>
      <c r="WYC19"/>
      <c r="WYD19"/>
      <c r="WYE19"/>
      <c r="WYF19"/>
      <c r="WYG19"/>
      <c r="WYH19"/>
      <c r="WYI19"/>
      <c r="WYJ19"/>
      <c r="WYK19"/>
      <c r="WYL19"/>
      <c r="WYM19"/>
      <c r="WYN19"/>
      <c r="WYO19"/>
      <c r="WYP19"/>
      <c r="WYQ19"/>
      <c r="WYR19"/>
      <c r="WYS19"/>
      <c r="WYT19"/>
      <c r="WYU19"/>
      <c r="WYV19"/>
      <c r="WYW19"/>
      <c r="WYX19"/>
      <c r="WYY19"/>
      <c r="WYZ19"/>
      <c r="WZA19"/>
      <c r="WZB19"/>
      <c r="WZC19"/>
      <c r="WZD19"/>
      <c r="WZE19"/>
      <c r="WZF19"/>
      <c r="WZG19"/>
      <c r="WZH19"/>
      <c r="WZI19"/>
      <c r="WZJ19"/>
      <c r="WZK19"/>
      <c r="WZL19"/>
      <c r="WZM19"/>
      <c r="WZN19"/>
      <c r="WZO19"/>
      <c r="WZP19"/>
      <c r="WZQ19"/>
      <c r="WZR19"/>
      <c r="WZS19"/>
      <c r="WZT19"/>
      <c r="WZU19"/>
      <c r="WZV19"/>
      <c r="WZW19"/>
      <c r="WZX19"/>
      <c r="WZY19"/>
      <c r="WZZ19"/>
      <c r="XAA19"/>
      <c r="XAB19"/>
      <c r="XAC19"/>
      <c r="XAD19"/>
      <c r="XAE19"/>
      <c r="XAF19"/>
      <c r="XAG19"/>
      <c r="XAH19"/>
      <c r="XAI19"/>
      <c r="XAJ19"/>
      <c r="XAK19"/>
      <c r="XAL19"/>
      <c r="XAM19"/>
      <c r="XAN19"/>
      <c r="XAO19"/>
      <c r="XAP19"/>
      <c r="XAQ19"/>
      <c r="XAR19"/>
      <c r="XAS19"/>
      <c r="XAT19"/>
      <c r="XAU19"/>
      <c r="XAV19"/>
      <c r="XAW19"/>
      <c r="XAX19"/>
      <c r="XAY19"/>
      <c r="XAZ19"/>
      <c r="XBA19"/>
      <c r="XBB19"/>
      <c r="XBC19"/>
      <c r="XBD19"/>
      <c r="XBE19"/>
      <c r="XBF19"/>
      <c r="XBG19"/>
      <c r="XBH19"/>
      <c r="XBI19"/>
      <c r="XBJ19"/>
      <c r="XBK19"/>
      <c r="XBL19"/>
      <c r="XBM19"/>
      <c r="XBN19"/>
      <c r="XBO19"/>
      <c r="XBP19"/>
      <c r="XBQ19"/>
      <c r="XBR19"/>
      <c r="XBS19"/>
      <c r="XBT19"/>
      <c r="XBU19"/>
      <c r="XBV19"/>
      <c r="XBW19"/>
      <c r="XBX19"/>
      <c r="XBY19"/>
      <c r="XBZ19"/>
      <c r="XCA19"/>
      <c r="XCB19"/>
      <c r="XCC19"/>
      <c r="XCD19"/>
      <c r="XCE19"/>
      <c r="XCF19"/>
      <c r="XCG19"/>
      <c r="XCH19"/>
      <c r="XCI19"/>
      <c r="XCJ19"/>
      <c r="XCK19"/>
      <c r="XCL19"/>
      <c r="XCM19"/>
      <c r="XCN19"/>
      <c r="XCO19"/>
      <c r="XCP19"/>
      <c r="XCQ19"/>
      <c r="XCR19"/>
      <c r="XCS19"/>
      <c r="XCT19"/>
      <c r="XCU19"/>
      <c r="XCV19"/>
      <c r="XCW19"/>
      <c r="XCX19"/>
      <c r="XCY19"/>
      <c r="XCZ19"/>
      <c r="XDA19"/>
      <c r="XDB19"/>
      <c r="XDC19"/>
      <c r="XDD19"/>
      <c r="XDE19"/>
      <c r="XDF19"/>
      <c r="XDG19"/>
      <c r="XDH19"/>
      <c r="XDI19"/>
      <c r="XDJ19"/>
      <c r="XDK19"/>
      <c r="XDL19"/>
      <c r="XDM19"/>
      <c r="XDN19"/>
      <c r="XDO19"/>
      <c r="XDP19"/>
      <c r="XDQ19"/>
      <c r="XDR19"/>
      <c r="XDS19"/>
      <c r="XDT19"/>
      <c r="XDU19"/>
      <c r="XDV19"/>
      <c r="XDW19"/>
      <c r="XDX19"/>
      <c r="XDY19"/>
      <c r="XDZ19"/>
      <c r="XEA19"/>
      <c r="XEB19"/>
      <c r="XEC19"/>
      <c r="XED19"/>
      <c r="XEE19"/>
      <c r="XEF19"/>
      <c r="XEG19"/>
      <c r="XEH19"/>
      <c r="XEI19"/>
      <c r="XEJ19"/>
      <c r="XEK19"/>
      <c r="XEL19"/>
      <c r="XEM19"/>
      <c r="XEN19"/>
      <c r="XEO19"/>
      <c r="XEP19"/>
      <c r="XEQ19"/>
      <c r="XER19"/>
      <c r="XES19"/>
      <c r="XET19"/>
      <c r="XEU19"/>
      <c r="XEV19"/>
      <c r="XEW19"/>
      <c r="XEX19"/>
      <c r="XEY19"/>
      <c r="XEZ19"/>
      <c r="XFA19"/>
      <c r="XFB19"/>
      <c r="XFC19"/>
      <c r="XFD19"/>
    </row>
    <row r="20" spans="1:154 14670:16384" s="9" customFormat="1" ht="15.75" hidden="1" thickBot="1" x14ac:dyDescent="0.3">
      <c r="A20" s="34">
        <v>6</v>
      </c>
      <c r="B20" s="33" t="s">
        <v>111</v>
      </c>
      <c r="C20" s="29" t="str">
        <f ca="1">IFERROR(IF(AND(C$13  &gt;= $AB$33, C$13 &lt;= $AB$34),VLOOKUP($G$1,INDIRECT("'" &amp;'Caller Portal Instructions'!D$25&amp;"'!$B$4:$P$200"),15, FALSE),""),"")</f>
        <v/>
      </c>
      <c r="D20" s="29" t="str">
        <f ca="1">IFERROR(IF(AND(D$13  &gt;= $AB$33, D$13 &lt;= $AB$34),VLOOKUP($G$1,INDIRECT("'" &amp;'Caller Portal Instructions'!E$25&amp;"'!$B$4:$P$200"),15, FALSE),""),"")</f>
        <v/>
      </c>
      <c r="E20" s="29" t="str">
        <f ca="1">IFERROR(IF(AND(E$13  &gt;= $AB$33, E$13 &lt;= $AB$34),VLOOKUP($G$1,INDIRECT("'" &amp;'Caller Portal Instructions'!F$25&amp;"'!$B$4:$P$200"),15, FALSE),""),"")</f>
        <v/>
      </c>
      <c r="F20" s="29" t="str">
        <f ca="1">IFERROR(IF(AND(F$13  &gt;= $AB$33, F$13 &lt;= $AB$34),VLOOKUP($G$1,INDIRECT("'" &amp;'Caller Portal Instructions'!G$25&amp;"'!$B$4:$P$200"),15, FALSE),""),"")</f>
        <v/>
      </c>
      <c r="G20" s="29" t="str">
        <f ca="1">IFERROR(IF(AND(G$13  &gt;= $AB$33, G$13 &lt;= $AB$34),VLOOKUP($G$1,INDIRECT("'" &amp;'Caller Portal Instructions'!H$25&amp;"'!$B$4:$P$200"),15, FALSE),""),"")</f>
        <v/>
      </c>
      <c r="H20" s="29" t="str">
        <f ca="1">IFERROR(IF(AND(H$13  &gt;= $AB$33, H$13 &lt;= $AB$34),VLOOKUP($G$1,INDIRECT("'" &amp;'Caller Portal Instructions'!I$25&amp;"'!$B$4:$P$200"),15, FALSE),""),"")</f>
        <v/>
      </c>
      <c r="I20" s="29" t="str">
        <f ca="1">IFERROR(IF(AND(I$13  &gt;= $AB$33, I$13 &lt;= $AB$34),VLOOKUP($G$1,INDIRECT("'" &amp;'Caller Portal Instructions'!J$25&amp;"'!$B$4:$P$200"),15, FALSE),""),"")</f>
        <v/>
      </c>
      <c r="J20" s="29" t="str">
        <f ca="1">IFERROR(IF(AND(J$13  &gt;= $AB$33, J$13 &lt;= $AB$34),VLOOKUP($G$1,INDIRECT("'" &amp;'Caller Portal Instructions'!K$25&amp;"'!$B$4:$P$200"),15, FALSE),""),"")</f>
        <v/>
      </c>
      <c r="K20" s="29" t="str">
        <f ca="1">IFERROR(IF(AND(K$13  &gt;= $AB$33, K$13 &lt;= $AB$34),VLOOKUP($G$1,INDIRECT("'" &amp;'Caller Portal Instructions'!L$25&amp;"'!$B$4:$P$200"),15, FALSE),""),"")</f>
        <v/>
      </c>
      <c r="L20" s="29" t="str">
        <f ca="1">IFERROR(IF(AND(L$13  &gt;= $AB$33, L$13 &lt;= $AB$34),VLOOKUP($G$1,INDIRECT("'" &amp;'Caller Portal Instructions'!M$25&amp;"'!$B$4:$P$200"),15, FALSE),""),"")</f>
        <v/>
      </c>
      <c r="M20" s="29" t="str">
        <f ca="1">IFERROR(IF(AND(M$13  &gt;= $AB$33, M$13 &lt;= $AB$34),VLOOKUP($G$1,INDIRECT("'" &amp;'Caller Portal Instructions'!N$25&amp;"'!$B$4:$P$200"),15, FALSE),""),"")</f>
        <v/>
      </c>
      <c r="N20" s="29" t="str">
        <f ca="1">IFERROR(IF(AND(N$13  &gt;= $AB$33, N$13 &lt;= $AB$34),VLOOKUP($G$1,INDIRECT("'" &amp;'Caller Portal Instructions'!O$25&amp;"'!$B$4:$P$200"),15, FALSE),""),"")</f>
        <v/>
      </c>
      <c r="O20" s="29" t="str">
        <f ca="1">IFERROR(IF(AND(O$13  &gt;= $AB$33, O$13 &lt;= $AB$34),VLOOKUP($G$1,INDIRECT("'" &amp;'Caller Portal Instructions'!P$25&amp;"'!$B$4:$P$200"),15, FALSE),""),"")</f>
        <v/>
      </c>
      <c r="P20" s="29" t="str">
        <f ca="1">IFERROR(IF(AND(P$13  &gt;= $AB$33, P$13 &lt;= $AB$34),VLOOKUP($G$1,INDIRECT("'" &amp;'Caller Portal Instructions'!Q$25&amp;"'!$B$4:$P$200"),15, FALSE),""),"")</f>
        <v/>
      </c>
      <c r="Q20" s="29" t="str">
        <f ca="1">IFERROR(IF(AND(Q$13  &gt;= $AB$33, Q$13 &lt;= $AB$34),VLOOKUP($G$1,INDIRECT("'" &amp;'Caller Portal Instructions'!R$25&amp;"'!$B$4:$P$200"),15, FALSE),""),"")</f>
        <v/>
      </c>
      <c r="R20" s="29" t="str">
        <f ca="1">IFERROR(IF(AND(R$13  &gt;= $AB$33, R$13 &lt;= $AB$34),VLOOKUP($G$1,INDIRECT("'" &amp;'Caller Portal Instructions'!S$25&amp;"'!$B$4:$P$200"),15, FALSE),""),"")</f>
        <v/>
      </c>
      <c r="S20" s="29" t="str">
        <f ca="1">IFERROR(IF(AND(S$13  &gt;= $AB$33, S$13 &lt;= $AB$34),VLOOKUP($G$1,INDIRECT("'" &amp;'Caller Portal Instructions'!T$25&amp;"'!$B$4:$P$200"),15, FALSE),""),"")</f>
        <v/>
      </c>
      <c r="T20" s="29" t="str">
        <f ca="1">IFERROR(IF(AND(T$13  &gt;= $AB$33, T$13 &lt;= $AB$34),VLOOKUP($G$1,INDIRECT("'" &amp;'Caller Portal Instructions'!U$25&amp;"'!$B$4:$P$200"),15, FALSE),""),"")</f>
        <v/>
      </c>
      <c r="U20" s="29" t="str">
        <f ca="1">IFERROR(IF(AND(U$13  &gt;= $AB$33, U$13 &lt;= $AB$34),VLOOKUP($G$1,INDIRECT("'" &amp;'Caller Portal Instructions'!V$25&amp;"'!$B$4:$P$200"),15, FALSE),""),"")</f>
        <v/>
      </c>
      <c r="V20" s="29" t="str">
        <f ca="1">IFERROR(IF(AND(V$13  &gt;= $AB$33, V$13 &lt;= $AB$34),VLOOKUP($G$1,INDIRECT("'" &amp;'Caller Portal Instructions'!W$25&amp;"'!$B$4:$P$200"),15, FALSE),""),"")</f>
        <v/>
      </c>
      <c r="W20" s="29" t="str">
        <f ca="1">IFERROR(IF(AND(W$13  &gt;= $AB$33, W$13 &lt;= $AB$34),VLOOKUP($G$1,INDIRECT("'" &amp;'Caller Portal Instructions'!X$25&amp;"'!$B$4:$P$200"),15, FALSE),""),"")</f>
        <v/>
      </c>
      <c r="X20" s="29" t="str">
        <f ca="1">IFERROR(IF(AND(X$13  &gt;= $AB$33, X$13 &lt;= $AB$34),VLOOKUP($G$1,INDIRECT("'" &amp;'Caller Portal Instructions'!Y$25&amp;"'!$B$4:$P$200"),15, FALSE),""),"")</f>
        <v/>
      </c>
      <c r="Y20" s="29" t="str">
        <f ca="1">IFERROR(IF(AND(Y$13  &gt;= $AB$33, Y$13 &lt;= $AB$34),VLOOKUP($G$1,INDIRECT("'" &amp;'Caller Portal Instructions'!Z$25&amp;"'!$B$4:$P$200"),15, FALSE),""),"")</f>
        <v/>
      </c>
      <c r="Z20" s="29" t="str">
        <f ca="1">IFERROR(IF(AND(Z$13  &gt;= $AB$33, Z$13 &lt;= $AB$34),VLOOKUP($G$1,INDIRECT("'" &amp;'Caller Portal Instructions'!AA$25&amp;"'!$B$4:$P$200"),15, FALSE),""),"")</f>
        <v/>
      </c>
      <c r="AA20" s="29" t="str">
        <f ca="1">IFERROR(IF(AND(AA$13  &gt;= $AB$33, AA$13 &lt;= $AB$34),VLOOKUP($G$1,INDIRECT("'" &amp;'Caller Portal Instructions'!AB$25&amp;"'!$B$4:$P$200"),15, FALSE),""),"")</f>
        <v/>
      </c>
      <c r="AB20" s="29" t="str">
        <f ca="1">IFERROR(IF(AND(AB$13  &gt;= $AB$33, AB$13 &lt;= $AB$34),VLOOKUP($G$1,INDIRECT("'" &amp;'Caller Portal Instructions'!AC$25&amp;"'!$B$4:$P$200"),15, FALSE),""),"")</f>
        <v/>
      </c>
      <c r="AC20" s="29" t="str">
        <f ca="1">IFERROR(IF(AND(AC$13  &gt;= $AB$33, AC$13 &lt;= $AB$34),VLOOKUP($G$1,INDIRECT("'" &amp;'Caller Portal Instructions'!AD$25&amp;"'!$B$4:$P$200"),15, FALSE),""),"")</f>
        <v/>
      </c>
      <c r="AD20" s="29" t="str">
        <f ca="1">IFERROR(IF(AND(AD$13  &gt;= $AB$33, AD$13 &lt;= $AB$34),VLOOKUP($G$1,INDIRECT("'" &amp;'Caller Portal Instructions'!AE$25&amp;"'!$B$4:$P$200"),15, FALSE),""),"")</f>
        <v/>
      </c>
      <c r="AE20" s="29" t="str">
        <f ca="1">IFERROR(IF(AND(AE$13  &gt;= $AB$33, AE$13 &lt;= $AB$34),VLOOKUP($G$1,INDIRECT("'" &amp;'Caller Portal Instructions'!AF$25&amp;"'!$B$4:$P$200"),15, FALSE),""),"")</f>
        <v/>
      </c>
      <c r="AF20" s="29" t="str">
        <f ca="1">IFERROR(IF(AND(AF$13  &gt;= $AB$33, AF$13 &lt;= $AB$34),VLOOKUP($G$1,INDIRECT("'" &amp;'Caller Portal Instructions'!AG$25&amp;"'!$B$4:$P$200"),15, FALSE),""),"")</f>
        <v/>
      </c>
      <c r="AG20" s="29" t="str">
        <f ca="1">IFERROR(IF(AND(AG$13  &gt;= $AB$33, AG$13 &lt;= $AB$34),VLOOKUP($G$1,INDIRECT("'" &amp;'Caller Portal Instructions'!AH$25&amp;"'!$B$4:$P$200"),15, FALSE),""),"")</f>
        <v/>
      </c>
      <c r="AH20" s="29" t="str">
        <f ca="1">IFERROR(IF(AND(AH$13  &gt;= $AB$33, AH$13 &lt;= $AB$34),VLOOKUP($G$1,INDIRECT("'" &amp;'Caller Portal Instructions'!AI$25&amp;"'!$B$4:$P$200"),15, FALSE),""),"")</f>
        <v/>
      </c>
      <c r="AI20" s="29" t="str">
        <f ca="1">IFERROR(IF(AND(AI$13  &gt;= $AB$33, AI$13 &lt;= $AB$34),VLOOKUP($G$1,INDIRECT("'" &amp;'Caller Portal Instructions'!AJ$25&amp;"'!$B$4:$P$200"),15, FALSE),""),"")</f>
        <v/>
      </c>
      <c r="AJ20" s="29" t="str">
        <f ca="1">IFERROR(IF(AND(AJ$13  &gt;= $AB$33, AJ$13 &lt;= $AB$34),VLOOKUP($G$1,INDIRECT("'" &amp;'Caller Portal Instructions'!AK$25&amp;"'!$B$4:$P$200"),15, FALSE),""),"")</f>
        <v/>
      </c>
      <c r="AK20" s="29" t="str">
        <f ca="1">IFERROR(IF(AND(AK$13  &gt;= $AB$33, AK$13 &lt;= $AB$34),VLOOKUP($G$1,INDIRECT("'" &amp;'Caller Portal Instructions'!AL$25&amp;"'!$B$4:$P$200"),15, FALSE),""),"")</f>
        <v/>
      </c>
      <c r="AL20" s="29" t="str">
        <f ca="1">IFERROR(IF(AND(AL$13  &gt;= $AB$33, AL$13 &lt;= $AB$34),VLOOKUP($G$1,INDIRECT("'" &amp;'Caller Portal Instructions'!AM$25&amp;"'!$B$4:$P$200"),15, FALSE),""),"")</f>
        <v/>
      </c>
      <c r="AM20" s="29" t="str">
        <f ca="1">IFERROR(IF(AND(AM$13  &gt;= $AB$33, AM$13 &lt;= $AB$34),VLOOKUP($G$1,INDIRECT("'" &amp;'Caller Portal Instructions'!AN$25&amp;"'!$B$4:$P$200"),15, FALSE),""),"")</f>
        <v/>
      </c>
      <c r="AN20" s="29" t="str">
        <f ca="1">IFERROR(IF(AND(AN$13  &gt;= $AB$33, AN$13 &lt;= $AB$34),VLOOKUP($G$1,INDIRECT("'" &amp;'Caller Portal Instructions'!AO$25&amp;"'!$B$4:$P$200"),15, FALSE),""),"")</f>
        <v/>
      </c>
      <c r="AO20" s="29" t="str">
        <f ca="1">IFERROR(IF(AND(AO$13  &gt;= $AB$33, AO$13 &lt;= $AB$34),VLOOKUP($G$1,INDIRECT("'" &amp;'Caller Portal Instructions'!AP$25&amp;"'!$B$4:$P$200"),15, FALSE),""),"")</f>
        <v/>
      </c>
      <c r="AP20" s="29" t="str">
        <f ca="1">IFERROR(IF(AND(AP$13  &gt;= $AB$33, AP$13 &lt;= $AB$34),VLOOKUP($G$1,INDIRECT("'" &amp;'Caller Portal Instructions'!AQ$25&amp;"'!$B$4:$P$200"),15, FALSE),""),"")</f>
        <v/>
      </c>
      <c r="AQ20" s="29" t="str">
        <f ca="1">IFERROR(IF(AND(AQ$13  &gt;= $AB$33, AQ$13 &lt;= $AB$34),VLOOKUP($G$1,INDIRECT("'" &amp;'Caller Portal Instructions'!AR$25&amp;"'!$B$4:$P$200"),15, FALSE),""),"")</f>
        <v/>
      </c>
      <c r="AR20" s="29" t="str">
        <f ca="1">IFERROR(IF(AND(AR$13  &gt;= $AB$33, AR$13 &lt;= $AB$34),VLOOKUP($G$1,INDIRECT("'" &amp;'Caller Portal Instructions'!AS$25&amp;"'!$B$4:$P$200"),15, FALSE),""),"")</f>
        <v/>
      </c>
      <c r="AS20" s="29" t="str">
        <f ca="1">IFERROR(IF(AND(AS$13  &gt;= $AB$33, AS$13 &lt;= $AB$34),VLOOKUP($G$1,INDIRECT("'" &amp;'Caller Portal Instructions'!AT$25&amp;"'!$B$4:$P$200"),15, FALSE),""),"")</f>
        <v/>
      </c>
      <c r="AT20" s="29" t="str">
        <f ca="1">IFERROR(IF(AND(AT$13  &gt;= $AB$33, AT$13 &lt;= $AB$34),VLOOKUP($G$1,INDIRECT("'" &amp;'Caller Portal Instructions'!AU$25&amp;"'!$B$4:$P$200"),15, FALSE),""),"")</f>
        <v/>
      </c>
      <c r="AU20" s="29" t="str">
        <f ca="1">IFERROR(IF(AND(AU$13  &gt;= $AB$33, AU$13 &lt;= $AB$34),VLOOKUP($G$1,INDIRECT("'" &amp;'Caller Portal Instructions'!AV$25&amp;"'!$B$4:$P$200"),15, FALSE),""),"")</f>
        <v/>
      </c>
      <c r="AV20" s="29" t="str">
        <f ca="1">IFERROR(IF(AND(AV$13  &gt;= $AB$33, AV$13 &lt;= $AB$34),VLOOKUP($G$1,INDIRECT("'" &amp;'Caller Portal Instructions'!AW$25&amp;"'!$B$4:$P$200"),15, FALSE),""),"")</f>
        <v/>
      </c>
      <c r="AW20" s="29" t="str">
        <f ca="1">IFERROR(IF(AND(AW$13  &gt;= $AB$33, AW$13 &lt;= $AB$34),VLOOKUP($G$1,INDIRECT("'" &amp;'Caller Portal Instructions'!AX$25&amp;"'!$B$4:$P$200"),15, FALSE),""),"")</f>
        <v/>
      </c>
      <c r="AX20" s="29" t="str">
        <f ca="1">IFERROR(IF(AND(AX$13  &gt;= $AB$33, AX$13 &lt;= $AB$34),VLOOKUP($G$1,INDIRECT("'" &amp;'Caller Portal Instructions'!AY$25&amp;"'!$B$4:$P$200"),15, FALSE),""),"")</f>
        <v/>
      </c>
      <c r="AY20" s="29" t="str">
        <f ca="1">IFERROR(IF(AND(AY$13  &gt;= $AB$33, AY$13 &lt;= $AB$34),VLOOKUP($G$1,INDIRECT("'" &amp;'Caller Portal Instructions'!AZ$25&amp;"'!$B$4:$P$200"),15, FALSE),""),"")</f>
        <v/>
      </c>
      <c r="AZ20" s="29" t="str">
        <f ca="1">IFERROR(IF(AND(AZ$13  &gt;= $AB$33, AZ$13 &lt;= $AB$34),VLOOKUP($G$1,INDIRECT("'" &amp;'Caller Portal Instructions'!BA$25&amp;"'!$B$4:$P$200"),15, FALSE),""),"")</f>
        <v/>
      </c>
      <c r="BA20" s="19"/>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URF20"/>
      <c r="URG20"/>
      <c r="URH20"/>
      <c r="URI20"/>
      <c r="URJ20"/>
      <c r="URK20"/>
      <c r="URL20"/>
      <c r="URM20"/>
      <c r="URN20"/>
      <c r="URO20"/>
      <c r="URP20"/>
      <c r="URQ20"/>
      <c r="URR20"/>
      <c r="URS20"/>
      <c r="URT20"/>
      <c r="URU20"/>
      <c r="URV20"/>
      <c r="URW20"/>
      <c r="URX20"/>
      <c r="URY20"/>
      <c r="URZ20"/>
      <c r="USA20"/>
      <c r="USB20"/>
      <c r="USC20"/>
      <c r="USD20"/>
      <c r="USE20"/>
      <c r="USF20"/>
      <c r="USG20"/>
      <c r="USH20"/>
      <c r="USI20"/>
      <c r="USJ20"/>
      <c r="USK20"/>
      <c r="USL20"/>
      <c r="USM20"/>
      <c r="USN20"/>
      <c r="USO20"/>
      <c r="USP20"/>
      <c r="USQ20"/>
      <c r="USR20"/>
      <c r="USS20"/>
      <c r="UST20"/>
      <c r="USU20"/>
      <c r="USV20"/>
      <c r="USW20"/>
      <c r="USX20"/>
      <c r="USY20"/>
      <c r="USZ20"/>
      <c r="UTA20"/>
      <c r="UTB20"/>
      <c r="UTC20"/>
      <c r="UTD20"/>
      <c r="UTE20"/>
      <c r="UTF20"/>
      <c r="UTG20"/>
      <c r="UTH20"/>
      <c r="UTI20"/>
      <c r="UTJ20"/>
      <c r="UTK20"/>
      <c r="UTL20"/>
      <c r="UTM20"/>
      <c r="UTN20"/>
      <c r="UTO20"/>
      <c r="UTP20"/>
      <c r="UTQ20"/>
      <c r="UTR20"/>
      <c r="UTS20"/>
      <c r="UTT20"/>
      <c r="UTU20"/>
      <c r="UTV20"/>
      <c r="UTW20"/>
      <c r="UTX20"/>
      <c r="UTY20"/>
      <c r="UTZ20"/>
      <c r="UUA20"/>
      <c r="UUB20"/>
      <c r="UUC20"/>
      <c r="UUD20"/>
      <c r="UUE20"/>
      <c r="UUF20"/>
      <c r="UUG20"/>
      <c r="UUH20"/>
      <c r="UUI20"/>
      <c r="UUJ20"/>
      <c r="UUK20"/>
      <c r="UUL20"/>
      <c r="UUM20"/>
      <c r="UUN20"/>
      <c r="UUO20"/>
      <c r="UUP20"/>
      <c r="UUQ20"/>
      <c r="UUR20"/>
      <c r="UUS20"/>
      <c r="UUT20"/>
      <c r="UUU20"/>
      <c r="UUV20"/>
      <c r="UUW20"/>
      <c r="UUX20"/>
      <c r="UUY20"/>
      <c r="UUZ20"/>
      <c r="UVA20"/>
      <c r="UVB20"/>
      <c r="UVC20"/>
      <c r="UVD20"/>
      <c r="UVE20"/>
      <c r="UVF20"/>
      <c r="UVG20"/>
      <c r="UVH20"/>
      <c r="UVI20"/>
      <c r="UVJ20"/>
      <c r="UVK20"/>
      <c r="UVL20"/>
      <c r="UVM20"/>
      <c r="UVN20"/>
      <c r="UVO20"/>
      <c r="UVP20"/>
      <c r="UVQ20"/>
      <c r="UVR20"/>
      <c r="UVS20"/>
      <c r="UVT20"/>
      <c r="UVU20"/>
      <c r="UVV20"/>
      <c r="UVW20"/>
      <c r="UVX20"/>
      <c r="UVY20"/>
      <c r="UVZ20"/>
      <c r="UWA20"/>
      <c r="UWB20"/>
      <c r="UWC20"/>
      <c r="UWD20"/>
      <c r="UWE20"/>
      <c r="UWF20"/>
      <c r="UWG20"/>
      <c r="UWH20"/>
      <c r="UWI20"/>
      <c r="UWJ20"/>
      <c r="UWK20"/>
      <c r="UWL20"/>
      <c r="UWM20"/>
      <c r="UWN20"/>
      <c r="UWO20"/>
      <c r="UWP20"/>
      <c r="UWQ20"/>
      <c r="UWR20"/>
      <c r="UWS20"/>
      <c r="UWT20"/>
      <c r="UWU20"/>
      <c r="UWV20"/>
      <c r="UWW20"/>
      <c r="UWX20"/>
      <c r="UWY20"/>
      <c r="UWZ20"/>
      <c r="UXA20"/>
      <c r="UXB20"/>
      <c r="UXC20"/>
      <c r="UXD20"/>
      <c r="UXE20"/>
      <c r="UXF20"/>
      <c r="UXG20"/>
      <c r="UXH20"/>
      <c r="UXI20"/>
      <c r="UXJ20"/>
      <c r="UXK20"/>
      <c r="UXL20"/>
      <c r="UXM20"/>
      <c r="UXN20"/>
      <c r="UXO20"/>
      <c r="UXP20"/>
      <c r="UXQ20"/>
      <c r="UXR20"/>
      <c r="UXS20"/>
      <c r="UXT20"/>
      <c r="UXU20"/>
      <c r="UXV20"/>
      <c r="UXW20"/>
      <c r="UXX20"/>
      <c r="UXY20"/>
      <c r="UXZ20"/>
      <c r="UYA20"/>
      <c r="UYB20"/>
      <c r="UYC20"/>
      <c r="UYD20"/>
      <c r="UYE20"/>
      <c r="UYF20"/>
      <c r="UYG20"/>
      <c r="UYH20"/>
      <c r="UYI20"/>
      <c r="UYJ20"/>
      <c r="UYK20"/>
      <c r="UYL20"/>
      <c r="UYM20"/>
      <c r="UYN20"/>
      <c r="UYO20"/>
      <c r="UYP20"/>
      <c r="UYQ20"/>
      <c r="UYR20"/>
      <c r="UYS20"/>
      <c r="UYT20"/>
      <c r="UYU20"/>
      <c r="UYV20"/>
      <c r="UYW20"/>
      <c r="UYX20"/>
      <c r="UYY20"/>
      <c r="UYZ20"/>
      <c r="UZA20"/>
      <c r="UZB20"/>
      <c r="UZC20"/>
      <c r="UZD20"/>
      <c r="UZE20"/>
      <c r="UZF20"/>
      <c r="UZG20"/>
      <c r="UZH20"/>
      <c r="UZI20"/>
      <c r="UZJ20"/>
      <c r="UZK20"/>
      <c r="UZL20"/>
      <c r="UZM20"/>
      <c r="UZN20"/>
      <c r="UZO20"/>
      <c r="UZP20"/>
      <c r="UZQ20"/>
      <c r="UZR20"/>
      <c r="UZS20"/>
      <c r="UZT20"/>
      <c r="UZU20"/>
      <c r="UZV20"/>
      <c r="UZW20"/>
      <c r="UZX20"/>
      <c r="UZY20"/>
      <c r="UZZ20"/>
      <c r="VAA20"/>
      <c r="VAB20"/>
      <c r="VAC20"/>
      <c r="VAD20"/>
      <c r="VAE20"/>
      <c r="VAF20"/>
      <c r="VAG20"/>
      <c r="VAH20"/>
      <c r="VAI20"/>
      <c r="VAJ20"/>
      <c r="VAK20"/>
      <c r="VAL20"/>
      <c r="VAM20"/>
      <c r="VAN20"/>
      <c r="VAO20"/>
      <c r="VAP20"/>
      <c r="VAQ20"/>
      <c r="VAR20"/>
      <c r="VAS20"/>
      <c r="VAT20"/>
      <c r="VAU20"/>
      <c r="VAV20"/>
      <c r="VAW20"/>
      <c r="VAX20"/>
      <c r="VAY20"/>
      <c r="VAZ20"/>
      <c r="VBA20"/>
      <c r="VBB20"/>
      <c r="VBC20"/>
      <c r="VBD20"/>
      <c r="VBE20"/>
      <c r="VBF20"/>
      <c r="VBG20"/>
      <c r="VBH20"/>
      <c r="VBI20"/>
      <c r="VBJ20"/>
      <c r="VBK20"/>
      <c r="VBL20"/>
      <c r="VBM20"/>
      <c r="VBN20"/>
      <c r="VBO20"/>
      <c r="VBP20"/>
      <c r="VBQ20"/>
      <c r="VBR20"/>
      <c r="VBS20"/>
      <c r="VBT20"/>
      <c r="VBU20"/>
      <c r="VBV20"/>
      <c r="VBW20"/>
      <c r="VBX20"/>
      <c r="VBY20"/>
      <c r="VBZ20"/>
      <c r="VCA20"/>
      <c r="VCB20"/>
      <c r="VCC20"/>
      <c r="VCD20"/>
      <c r="VCE20"/>
      <c r="VCF20"/>
      <c r="VCG20"/>
      <c r="VCH20"/>
      <c r="VCI20"/>
      <c r="VCJ20"/>
      <c r="VCK20"/>
      <c r="VCL20"/>
      <c r="VCM20"/>
      <c r="VCN20"/>
      <c r="VCO20"/>
      <c r="VCP20"/>
      <c r="VCQ20"/>
      <c r="VCR20"/>
      <c r="VCS20"/>
      <c r="VCT20"/>
      <c r="VCU20"/>
      <c r="VCV20"/>
      <c r="VCW20"/>
      <c r="VCX20"/>
      <c r="VCY20"/>
      <c r="VCZ20"/>
      <c r="VDA20"/>
      <c r="VDB20"/>
      <c r="VDC20"/>
      <c r="VDD20"/>
      <c r="VDE20"/>
      <c r="VDF20"/>
      <c r="VDG20"/>
      <c r="VDH20"/>
      <c r="VDI20"/>
      <c r="VDJ20"/>
      <c r="VDK20"/>
      <c r="VDL20"/>
      <c r="VDM20"/>
      <c r="VDN20"/>
      <c r="VDO20"/>
      <c r="VDP20"/>
      <c r="VDQ20"/>
      <c r="VDR20"/>
      <c r="VDS20"/>
      <c r="VDT20"/>
      <c r="VDU20"/>
      <c r="VDV20"/>
      <c r="VDW20"/>
      <c r="VDX20"/>
      <c r="VDY20"/>
      <c r="VDZ20"/>
      <c r="VEA20"/>
      <c r="VEB20"/>
      <c r="VEC20"/>
      <c r="VED20"/>
      <c r="VEE20"/>
      <c r="VEF20"/>
      <c r="VEG20"/>
      <c r="VEH20"/>
      <c r="VEI20"/>
      <c r="VEJ20"/>
      <c r="VEK20"/>
      <c r="VEL20"/>
      <c r="VEM20"/>
      <c r="VEN20"/>
      <c r="VEO20"/>
      <c r="VEP20"/>
      <c r="VEQ20"/>
      <c r="VER20"/>
      <c r="VES20"/>
      <c r="VET20"/>
      <c r="VEU20"/>
      <c r="VEV20"/>
      <c r="VEW20"/>
      <c r="VEX20"/>
      <c r="VEY20"/>
      <c r="VEZ20"/>
      <c r="VFA20"/>
      <c r="VFB20"/>
      <c r="VFC20"/>
      <c r="VFD20"/>
      <c r="VFE20"/>
      <c r="VFF20"/>
      <c r="VFG20"/>
      <c r="VFH20"/>
      <c r="VFI20"/>
      <c r="VFJ20"/>
      <c r="VFK20"/>
      <c r="VFL20"/>
      <c r="VFM20"/>
      <c r="VFN20"/>
      <c r="VFO20"/>
      <c r="VFP20"/>
      <c r="VFQ20"/>
      <c r="VFR20"/>
      <c r="VFS20"/>
      <c r="VFT20"/>
      <c r="VFU20"/>
      <c r="VFV20"/>
      <c r="VFW20"/>
      <c r="VFX20"/>
      <c r="VFY20"/>
      <c r="VFZ20"/>
      <c r="VGA20"/>
      <c r="VGB20"/>
      <c r="VGC20"/>
      <c r="VGD20"/>
      <c r="VGE20"/>
      <c r="VGF20"/>
      <c r="VGG20"/>
      <c r="VGH20"/>
      <c r="VGI20"/>
      <c r="VGJ20"/>
      <c r="VGK20"/>
      <c r="VGL20"/>
      <c r="VGM20"/>
      <c r="VGN20"/>
      <c r="VGO20"/>
      <c r="VGP20"/>
      <c r="VGQ20"/>
      <c r="VGR20"/>
      <c r="VGS20"/>
      <c r="VGT20"/>
      <c r="VGU20"/>
      <c r="VGV20"/>
      <c r="VGW20"/>
      <c r="VGX20"/>
      <c r="VGY20"/>
      <c r="VGZ20"/>
      <c r="VHA20"/>
      <c r="VHB20"/>
      <c r="VHC20"/>
      <c r="VHD20"/>
      <c r="VHE20"/>
      <c r="VHF20"/>
      <c r="VHG20"/>
      <c r="VHH20"/>
      <c r="VHI20"/>
      <c r="VHJ20"/>
      <c r="VHK20"/>
      <c r="VHL20"/>
      <c r="VHM20"/>
      <c r="VHN20"/>
      <c r="VHO20"/>
      <c r="VHP20"/>
      <c r="VHQ20"/>
      <c r="VHR20"/>
      <c r="VHS20"/>
      <c r="VHT20"/>
      <c r="VHU20"/>
      <c r="VHV20"/>
      <c r="VHW20"/>
      <c r="VHX20"/>
      <c r="VHY20"/>
      <c r="VHZ20"/>
      <c r="VIA20"/>
      <c r="VIB20"/>
      <c r="VIC20"/>
      <c r="VID20"/>
      <c r="VIE20"/>
      <c r="VIF20"/>
      <c r="VIG20"/>
      <c r="VIH20"/>
      <c r="VII20"/>
      <c r="VIJ20"/>
      <c r="VIK20"/>
      <c r="VIL20"/>
      <c r="VIM20"/>
      <c r="VIN20"/>
      <c r="VIO20"/>
      <c r="VIP20"/>
      <c r="VIQ20"/>
      <c r="VIR20"/>
      <c r="VIS20"/>
      <c r="VIT20"/>
      <c r="VIU20"/>
      <c r="VIV20"/>
      <c r="VIW20"/>
      <c r="VIX20"/>
      <c r="VIY20"/>
      <c r="VIZ20"/>
      <c r="VJA20"/>
      <c r="VJB20"/>
      <c r="VJC20"/>
      <c r="VJD20"/>
      <c r="VJE20"/>
      <c r="VJF20"/>
      <c r="VJG20"/>
      <c r="VJH20"/>
      <c r="VJI20"/>
      <c r="VJJ20"/>
      <c r="VJK20"/>
      <c r="VJL20"/>
      <c r="VJM20"/>
      <c r="VJN20"/>
      <c r="VJO20"/>
      <c r="VJP20"/>
      <c r="VJQ20"/>
      <c r="VJR20"/>
      <c r="VJS20"/>
      <c r="VJT20"/>
      <c r="VJU20"/>
      <c r="VJV20"/>
      <c r="VJW20"/>
      <c r="VJX20"/>
      <c r="VJY20"/>
      <c r="VJZ20"/>
      <c r="VKA20"/>
      <c r="VKB20"/>
      <c r="VKC20"/>
      <c r="VKD20"/>
      <c r="VKE20"/>
      <c r="VKF20"/>
      <c r="VKG20"/>
      <c r="VKH20"/>
      <c r="VKI20"/>
      <c r="VKJ20"/>
      <c r="VKK20"/>
      <c r="VKL20"/>
      <c r="VKM20"/>
      <c r="VKN20"/>
      <c r="VKO20"/>
      <c r="VKP20"/>
      <c r="VKQ20"/>
      <c r="VKR20"/>
      <c r="VKS20"/>
      <c r="VKT20"/>
      <c r="VKU20"/>
      <c r="VKV20"/>
      <c r="VKW20"/>
      <c r="VKX20"/>
      <c r="VKY20"/>
      <c r="VKZ20"/>
      <c r="VLA20"/>
      <c r="VLB20"/>
      <c r="VLC20"/>
      <c r="VLD20"/>
      <c r="VLE20"/>
      <c r="VLF20"/>
      <c r="VLG20"/>
      <c r="VLH20"/>
      <c r="VLI20"/>
      <c r="VLJ20"/>
      <c r="VLK20"/>
      <c r="VLL20"/>
      <c r="VLM20"/>
      <c r="VLN20"/>
      <c r="VLO20"/>
      <c r="VLP20"/>
      <c r="VLQ20"/>
      <c r="VLR20"/>
      <c r="VLS20"/>
      <c r="VLT20"/>
      <c r="VLU20"/>
      <c r="VLV20"/>
      <c r="VLW20"/>
      <c r="VLX20"/>
      <c r="VLY20"/>
      <c r="VLZ20"/>
      <c r="VMA20"/>
      <c r="VMB20"/>
      <c r="VMC20"/>
      <c r="VMD20"/>
      <c r="VME20"/>
      <c r="VMF20"/>
      <c r="VMG20"/>
      <c r="VMH20"/>
      <c r="VMI20"/>
      <c r="VMJ20"/>
      <c r="VMK20"/>
      <c r="VML20"/>
      <c r="VMM20"/>
      <c r="VMN20"/>
      <c r="VMO20"/>
      <c r="VMP20"/>
      <c r="VMQ20"/>
      <c r="VMR20"/>
      <c r="VMS20"/>
      <c r="VMT20"/>
      <c r="VMU20"/>
      <c r="VMV20"/>
      <c r="VMW20"/>
      <c r="VMX20"/>
      <c r="VMY20"/>
      <c r="VMZ20"/>
      <c r="VNA20"/>
      <c r="VNB20"/>
      <c r="VNC20"/>
      <c r="VND20"/>
      <c r="VNE20"/>
      <c r="VNF20"/>
      <c r="VNG20"/>
      <c r="VNH20"/>
      <c r="VNI20"/>
      <c r="VNJ20"/>
      <c r="VNK20"/>
      <c r="VNL20"/>
      <c r="VNM20"/>
      <c r="VNN20"/>
      <c r="VNO20"/>
      <c r="VNP20"/>
      <c r="VNQ20"/>
      <c r="VNR20"/>
      <c r="VNS20"/>
      <c r="VNT20"/>
      <c r="VNU20"/>
      <c r="VNV20"/>
      <c r="VNW20"/>
      <c r="VNX20"/>
      <c r="VNY20"/>
      <c r="VNZ20"/>
      <c r="VOA20"/>
      <c r="VOB20"/>
      <c r="VOC20"/>
      <c r="VOD20"/>
      <c r="VOE20"/>
      <c r="VOF20"/>
      <c r="VOG20"/>
      <c r="VOH20"/>
      <c r="VOI20"/>
      <c r="VOJ20"/>
      <c r="VOK20"/>
      <c r="VOL20"/>
      <c r="VOM20"/>
      <c r="VON20"/>
      <c r="VOO20"/>
      <c r="VOP20"/>
      <c r="VOQ20"/>
      <c r="VOR20"/>
      <c r="VOS20"/>
      <c r="VOT20"/>
      <c r="VOU20"/>
      <c r="VOV20"/>
      <c r="VOW20"/>
      <c r="VOX20"/>
      <c r="VOY20"/>
      <c r="VOZ20"/>
      <c r="VPA20"/>
      <c r="VPB20"/>
      <c r="VPC20"/>
      <c r="VPD20"/>
      <c r="VPE20"/>
      <c r="VPF20"/>
      <c r="VPG20"/>
      <c r="VPH20"/>
      <c r="VPI20"/>
      <c r="VPJ20"/>
      <c r="VPK20"/>
      <c r="VPL20"/>
      <c r="VPM20"/>
      <c r="VPN20"/>
      <c r="VPO20"/>
      <c r="VPP20"/>
      <c r="VPQ20"/>
      <c r="VPR20"/>
      <c r="VPS20"/>
      <c r="VPT20"/>
      <c r="VPU20"/>
      <c r="VPV20"/>
      <c r="VPW20"/>
      <c r="VPX20"/>
      <c r="VPY20"/>
      <c r="VPZ20"/>
      <c r="VQA20"/>
      <c r="VQB20"/>
      <c r="VQC20"/>
      <c r="VQD20"/>
      <c r="VQE20"/>
      <c r="VQF20"/>
      <c r="VQG20"/>
      <c r="VQH20"/>
      <c r="VQI20"/>
      <c r="VQJ20"/>
      <c r="VQK20"/>
      <c r="VQL20"/>
      <c r="VQM20"/>
      <c r="VQN20"/>
      <c r="VQO20"/>
      <c r="VQP20"/>
      <c r="VQQ20"/>
      <c r="VQR20"/>
      <c r="VQS20"/>
      <c r="VQT20"/>
      <c r="VQU20"/>
      <c r="VQV20"/>
      <c r="VQW20"/>
      <c r="VQX20"/>
      <c r="VQY20"/>
      <c r="VQZ20"/>
      <c r="VRA20"/>
      <c r="VRB20"/>
      <c r="VRC20"/>
      <c r="VRD20"/>
      <c r="VRE20"/>
      <c r="VRF20"/>
      <c r="VRG20"/>
      <c r="VRH20"/>
      <c r="VRI20"/>
      <c r="VRJ20"/>
      <c r="VRK20"/>
      <c r="VRL20"/>
      <c r="VRM20"/>
      <c r="VRN20"/>
      <c r="VRO20"/>
      <c r="VRP20"/>
      <c r="VRQ20"/>
      <c r="VRR20"/>
      <c r="VRS20"/>
      <c r="VRT20"/>
      <c r="VRU20"/>
      <c r="VRV20"/>
      <c r="VRW20"/>
      <c r="VRX20"/>
      <c r="VRY20"/>
      <c r="VRZ20"/>
      <c r="VSA20"/>
      <c r="VSB20"/>
      <c r="VSC20"/>
      <c r="VSD20"/>
      <c r="VSE20"/>
      <c r="VSF20"/>
      <c r="VSG20"/>
      <c r="VSH20"/>
      <c r="VSI20"/>
      <c r="VSJ20"/>
      <c r="VSK20"/>
      <c r="VSL20"/>
      <c r="VSM20"/>
      <c r="VSN20"/>
      <c r="VSO20"/>
      <c r="VSP20"/>
      <c r="VSQ20"/>
      <c r="VSR20"/>
      <c r="VSS20"/>
      <c r="VST20"/>
      <c r="VSU20"/>
      <c r="VSV20"/>
      <c r="VSW20"/>
      <c r="VSX20"/>
      <c r="VSY20"/>
      <c r="VSZ20"/>
      <c r="VTA20"/>
      <c r="VTB20"/>
      <c r="VTC20"/>
      <c r="VTD20"/>
      <c r="VTE20"/>
      <c r="VTF20"/>
      <c r="VTG20"/>
      <c r="VTH20"/>
      <c r="VTI20"/>
      <c r="VTJ20"/>
      <c r="VTK20"/>
      <c r="VTL20"/>
      <c r="VTM20"/>
      <c r="VTN20"/>
      <c r="VTO20"/>
      <c r="VTP20"/>
      <c r="VTQ20"/>
      <c r="VTR20"/>
      <c r="VTS20"/>
      <c r="VTT20"/>
      <c r="VTU20"/>
      <c r="VTV20"/>
      <c r="VTW20"/>
      <c r="VTX20"/>
      <c r="VTY20"/>
      <c r="VTZ20"/>
      <c r="VUA20"/>
      <c r="VUB20"/>
      <c r="VUC20"/>
      <c r="VUD20"/>
      <c r="VUE20"/>
      <c r="VUF20"/>
      <c r="VUG20"/>
      <c r="VUH20"/>
      <c r="VUI20"/>
      <c r="VUJ20"/>
      <c r="VUK20"/>
      <c r="VUL20"/>
      <c r="VUM20"/>
      <c r="VUN20"/>
      <c r="VUO20"/>
      <c r="VUP20"/>
      <c r="VUQ20"/>
      <c r="VUR20"/>
      <c r="VUS20"/>
      <c r="VUT20"/>
      <c r="VUU20"/>
      <c r="VUV20"/>
      <c r="VUW20"/>
      <c r="VUX20"/>
      <c r="VUY20"/>
      <c r="VUZ20"/>
      <c r="VVA20"/>
      <c r="VVB20"/>
      <c r="VVC20"/>
      <c r="VVD20"/>
      <c r="VVE20"/>
      <c r="VVF20"/>
      <c r="VVG20"/>
      <c r="VVH20"/>
      <c r="VVI20"/>
      <c r="VVJ20"/>
      <c r="VVK20"/>
      <c r="VVL20"/>
      <c r="VVM20"/>
      <c r="VVN20"/>
      <c r="VVO20"/>
      <c r="VVP20"/>
      <c r="VVQ20"/>
      <c r="VVR20"/>
      <c r="VVS20"/>
      <c r="VVT20"/>
      <c r="VVU20"/>
      <c r="VVV20"/>
      <c r="VVW20"/>
      <c r="VVX20"/>
      <c r="VVY20"/>
      <c r="VVZ20"/>
      <c r="VWA20"/>
      <c r="VWB20"/>
      <c r="VWC20"/>
      <c r="VWD20"/>
      <c r="VWE20"/>
      <c r="VWF20"/>
      <c r="VWG20"/>
      <c r="VWH20"/>
      <c r="VWI20"/>
      <c r="VWJ20"/>
      <c r="VWK20"/>
      <c r="VWL20"/>
      <c r="VWM20"/>
      <c r="VWN20"/>
      <c r="VWO20"/>
      <c r="VWP20"/>
      <c r="VWQ20"/>
      <c r="VWR20"/>
      <c r="VWS20"/>
      <c r="VWT20"/>
      <c r="VWU20"/>
      <c r="VWV20"/>
      <c r="VWW20"/>
      <c r="VWX20"/>
      <c r="VWY20"/>
      <c r="VWZ20"/>
      <c r="VXA20"/>
      <c r="VXB20"/>
      <c r="VXC20"/>
      <c r="VXD20"/>
      <c r="VXE20"/>
      <c r="VXF20"/>
      <c r="VXG20"/>
      <c r="VXH20"/>
      <c r="VXI20"/>
      <c r="VXJ20"/>
      <c r="VXK20"/>
      <c r="VXL20"/>
      <c r="VXM20"/>
      <c r="VXN20"/>
      <c r="VXO20"/>
      <c r="VXP20"/>
      <c r="VXQ20"/>
      <c r="VXR20"/>
      <c r="VXS20"/>
      <c r="VXT20"/>
      <c r="VXU20"/>
      <c r="VXV20"/>
      <c r="VXW20"/>
      <c r="VXX20"/>
      <c r="VXY20"/>
      <c r="VXZ20"/>
      <c r="VYA20"/>
      <c r="VYB20"/>
      <c r="VYC20"/>
      <c r="VYD20"/>
      <c r="VYE20"/>
      <c r="VYF20"/>
      <c r="VYG20"/>
      <c r="VYH20"/>
      <c r="VYI20"/>
      <c r="VYJ20"/>
      <c r="VYK20"/>
      <c r="VYL20"/>
      <c r="VYM20"/>
      <c r="VYN20"/>
      <c r="VYO20"/>
      <c r="VYP20"/>
      <c r="VYQ20"/>
      <c r="VYR20"/>
      <c r="VYS20"/>
      <c r="VYT20"/>
      <c r="VYU20"/>
      <c r="VYV20"/>
      <c r="VYW20"/>
      <c r="VYX20"/>
      <c r="VYY20"/>
      <c r="VYZ20"/>
      <c r="VZA20"/>
      <c r="VZB20"/>
      <c r="VZC20"/>
      <c r="VZD20"/>
      <c r="VZE20"/>
      <c r="VZF20"/>
      <c r="VZG20"/>
      <c r="VZH20"/>
      <c r="VZI20"/>
      <c r="VZJ20"/>
      <c r="VZK20"/>
      <c r="VZL20"/>
      <c r="VZM20"/>
      <c r="VZN20"/>
      <c r="VZO20"/>
      <c r="VZP20"/>
      <c r="VZQ20"/>
      <c r="VZR20"/>
      <c r="VZS20"/>
      <c r="VZT20"/>
      <c r="VZU20"/>
      <c r="VZV20"/>
      <c r="VZW20"/>
      <c r="VZX20"/>
      <c r="VZY20"/>
      <c r="VZZ20"/>
      <c r="WAA20"/>
      <c r="WAB20"/>
      <c r="WAC20"/>
      <c r="WAD20"/>
      <c r="WAE20"/>
      <c r="WAF20"/>
      <c r="WAG20"/>
      <c r="WAH20"/>
      <c r="WAI20"/>
      <c r="WAJ20"/>
      <c r="WAK20"/>
      <c r="WAL20"/>
      <c r="WAM20"/>
      <c r="WAN20"/>
      <c r="WAO20"/>
      <c r="WAP20"/>
      <c r="WAQ20"/>
      <c r="WAR20"/>
      <c r="WAS20"/>
      <c r="WAT20"/>
      <c r="WAU20"/>
      <c r="WAV20"/>
      <c r="WAW20"/>
      <c r="WAX20"/>
      <c r="WAY20"/>
      <c r="WAZ20"/>
      <c r="WBA20"/>
      <c r="WBB20"/>
      <c r="WBC20"/>
      <c r="WBD20"/>
      <c r="WBE20"/>
      <c r="WBF20"/>
      <c r="WBG20"/>
      <c r="WBH20"/>
      <c r="WBI20"/>
      <c r="WBJ20"/>
      <c r="WBK20"/>
      <c r="WBL20"/>
      <c r="WBM20"/>
      <c r="WBN20"/>
      <c r="WBO20"/>
      <c r="WBP20"/>
      <c r="WBQ20"/>
      <c r="WBR20"/>
      <c r="WBS20"/>
      <c r="WBT20"/>
      <c r="WBU20"/>
      <c r="WBV20"/>
      <c r="WBW20"/>
      <c r="WBX20"/>
      <c r="WBY20"/>
      <c r="WBZ20"/>
      <c r="WCA20"/>
      <c r="WCB20"/>
      <c r="WCC20"/>
      <c r="WCD20"/>
      <c r="WCE20"/>
      <c r="WCF20"/>
      <c r="WCG20"/>
      <c r="WCH20"/>
      <c r="WCI20"/>
      <c r="WCJ20"/>
      <c r="WCK20"/>
      <c r="WCL20"/>
      <c r="WCM20"/>
      <c r="WCN20"/>
      <c r="WCO20"/>
      <c r="WCP20"/>
      <c r="WCQ20"/>
      <c r="WCR20"/>
      <c r="WCS20"/>
      <c r="WCT20"/>
      <c r="WCU20"/>
      <c r="WCV20"/>
      <c r="WCW20"/>
      <c r="WCX20"/>
      <c r="WCY20"/>
      <c r="WCZ20"/>
      <c r="WDA20"/>
      <c r="WDB20"/>
      <c r="WDC20"/>
      <c r="WDD20"/>
      <c r="WDE20"/>
      <c r="WDF20"/>
      <c r="WDG20"/>
      <c r="WDH20"/>
      <c r="WDI20"/>
      <c r="WDJ20"/>
      <c r="WDK20"/>
      <c r="WDL20"/>
      <c r="WDM20"/>
      <c r="WDN20"/>
      <c r="WDO20"/>
      <c r="WDP20"/>
      <c r="WDQ20"/>
      <c r="WDR20"/>
      <c r="WDS20"/>
      <c r="WDT20"/>
      <c r="WDU20"/>
      <c r="WDV20"/>
      <c r="WDW20"/>
      <c r="WDX20"/>
      <c r="WDY20"/>
      <c r="WDZ20"/>
      <c r="WEA20"/>
      <c r="WEB20"/>
      <c r="WEC20"/>
      <c r="WED20"/>
      <c r="WEE20"/>
      <c r="WEF20"/>
      <c r="WEG20"/>
      <c r="WEH20"/>
      <c r="WEI20"/>
      <c r="WEJ20"/>
      <c r="WEK20"/>
      <c r="WEL20"/>
      <c r="WEM20"/>
      <c r="WEN20"/>
      <c r="WEO20"/>
      <c r="WEP20"/>
      <c r="WEQ20"/>
      <c r="WER20"/>
      <c r="WES20"/>
      <c r="WET20"/>
      <c r="WEU20"/>
      <c r="WEV20"/>
      <c r="WEW20"/>
      <c r="WEX20"/>
      <c r="WEY20"/>
      <c r="WEZ20"/>
      <c r="WFA20"/>
      <c r="WFB20"/>
      <c r="WFC20"/>
      <c r="WFD20"/>
      <c r="WFE20"/>
      <c r="WFF20"/>
      <c r="WFG20"/>
      <c r="WFH20"/>
      <c r="WFI20"/>
      <c r="WFJ20"/>
      <c r="WFK20"/>
      <c r="WFL20"/>
      <c r="WFM20"/>
      <c r="WFN20"/>
      <c r="WFO20"/>
      <c r="WFP20"/>
      <c r="WFQ20"/>
      <c r="WFR20"/>
      <c r="WFS20"/>
      <c r="WFT20"/>
      <c r="WFU20"/>
      <c r="WFV20"/>
      <c r="WFW20"/>
      <c r="WFX20"/>
      <c r="WFY20"/>
      <c r="WFZ20"/>
      <c r="WGA20"/>
      <c r="WGB20"/>
      <c r="WGC20"/>
      <c r="WGD20"/>
      <c r="WGE20"/>
      <c r="WGF20"/>
      <c r="WGG20"/>
      <c r="WGH20"/>
      <c r="WGI20"/>
      <c r="WGJ20"/>
      <c r="WGK20"/>
      <c r="WGL20"/>
      <c r="WGM20"/>
      <c r="WGN20"/>
      <c r="WGO20"/>
      <c r="WGP20"/>
      <c r="WGQ20"/>
      <c r="WGR20"/>
      <c r="WGS20"/>
      <c r="WGT20"/>
      <c r="WGU20"/>
      <c r="WGV20"/>
      <c r="WGW20"/>
      <c r="WGX20"/>
      <c r="WGY20"/>
      <c r="WGZ20"/>
      <c r="WHA20"/>
      <c r="WHB20"/>
      <c r="WHC20"/>
      <c r="WHD20"/>
      <c r="WHE20"/>
      <c r="WHF20"/>
      <c r="WHG20"/>
      <c r="WHH20"/>
      <c r="WHI20"/>
      <c r="WHJ20"/>
      <c r="WHK20"/>
      <c r="WHL20"/>
      <c r="WHM20"/>
      <c r="WHN20"/>
      <c r="WHO20"/>
      <c r="WHP20"/>
      <c r="WHQ20"/>
      <c r="WHR20"/>
      <c r="WHS20"/>
      <c r="WHT20"/>
      <c r="WHU20"/>
      <c r="WHV20"/>
      <c r="WHW20"/>
      <c r="WHX20"/>
      <c r="WHY20"/>
      <c r="WHZ20"/>
      <c r="WIA20"/>
      <c r="WIB20"/>
      <c r="WIC20"/>
      <c r="WID20"/>
      <c r="WIE20"/>
      <c r="WIF20"/>
      <c r="WIG20"/>
      <c r="WIH20"/>
      <c r="WII20"/>
      <c r="WIJ20"/>
      <c r="WIK20"/>
      <c r="WIL20"/>
      <c r="WIM20"/>
      <c r="WIN20"/>
      <c r="WIO20"/>
      <c r="WIP20"/>
      <c r="WIQ20"/>
      <c r="WIR20"/>
      <c r="WIS20"/>
      <c r="WIT20"/>
      <c r="WIU20"/>
      <c r="WIV20"/>
      <c r="WIW20"/>
      <c r="WIX20"/>
      <c r="WIY20"/>
      <c r="WIZ20"/>
      <c r="WJA20"/>
      <c r="WJB20"/>
      <c r="WJC20"/>
      <c r="WJD20"/>
      <c r="WJE20"/>
      <c r="WJF20"/>
      <c r="WJG20"/>
      <c r="WJH20"/>
      <c r="WJI20"/>
      <c r="WJJ20"/>
      <c r="WJK20"/>
      <c r="WJL20"/>
      <c r="WJM20"/>
      <c r="WJN20"/>
      <c r="WJO20"/>
      <c r="WJP20"/>
      <c r="WJQ20"/>
      <c r="WJR20"/>
      <c r="WJS20"/>
      <c r="WJT20"/>
      <c r="WJU20"/>
      <c r="WJV20"/>
      <c r="WJW20"/>
      <c r="WJX20"/>
      <c r="WJY20"/>
      <c r="WJZ20"/>
      <c r="WKA20"/>
      <c r="WKB20"/>
      <c r="WKC20"/>
      <c r="WKD20"/>
      <c r="WKE20"/>
      <c r="WKF20"/>
      <c r="WKG20"/>
      <c r="WKH20"/>
      <c r="WKI20"/>
      <c r="WKJ20"/>
      <c r="WKK20"/>
      <c r="WKL20"/>
      <c r="WKM20"/>
      <c r="WKN20"/>
      <c r="WKO20"/>
      <c r="WKP20"/>
      <c r="WKQ20"/>
      <c r="WKR20"/>
      <c r="WKS20"/>
      <c r="WKT20"/>
      <c r="WKU20"/>
      <c r="WKV20"/>
      <c r="WKW20"/>
      <c r="WKX20"/>
      <c r="WKY20"/>
      <c r="WKZ20"/>
      <c r="WLA20"/>
      <c r="WLB20"/>
      <c r="WLC20"/>
      <c r="WLD20"/>
      <c r="WLE20"/>
      <c r="WLF20"/>
      <c r="WLG20"/>
      <c r="WLH20"/>
      <c r="WLI20"/>
      <c r="WLJ20"/>
      <c r="WLK20"/>
      <c r="WLL20"/>
      <c r="WLM20"/>
      <c r="WLN20"/>
      <c r="WLO20"/>
      <c r="WLP20"/>
      <c r="WLQ20"/>
      <c r="WLR20"/>
      <c r="WLS20"/>
      <c r="WLT20"/>
      <c r="WLU20"/>
      <c r="WLV20"/>
      <c r="WLW20"/>
      <c r="WLX20"/>
      <c r="WLY20"/>
      <c r="WLZ20"/>
      <c r="WMA20"/>
      <c r="WMB20"/>
      <c r="WMC20"/>
      <c r="WMD20"/>
      <c r="WME20"/>
      <c r="WMF20"/>
      <c r="WMG20"/>
      <c r="WMH20"/>
      <c r="WMI20"/>
      <c r="WMJ20"/>
      <c r="WMK20"/>
      <c r="WML20"/>
      <c r="WMM20"/>
      <c r="WMN20"/>
      <c r="WMO20"/>
      <c r="WMP20"/>
      <c r="WMQ20"/>
      <c r="WMR20"/>
      <c r="WMS20"/>
      <c r="WMT20"/>
      <c r="WMU20"/>
      <c r="WMV20"/>
      <c r="WMW20"/>
      <c r="WMX20"/>
      <c r="WMY20"/>
      <c r="WMZ20"/>
      <c r="WNA20"/>
      <c r="WNB20"/>
      <c r="WNC20"/>
      <c r="WND20"/>
      <c r="WNE20"/>
      <c r="WNF20"/>
      <c r="WNG20"/>
      <c r="WNH20"/>
      <c r="WNI20"/>
      <c r="WNJ20"/>
      <c r="WNK20"/>
      <c r="WNL20"/>
      <c r="WNM20"/>
      <c r="WNN20"/>
      <c r="WNO20"/>
      <c r="WNP20"/>
      <c r="WNQ20"/>
      <c r="WNR20"/>
      <c r="WNS20"/>
      <c r="WNT20"/>
      <c r="WNU20"/>
      <c r="WNV20"/>
      <c r="WNW20"/>
      <c r="WNX20"/>
      <c r="WNY20"/>
      <c r="WNZ20"/>
      <c r="WOA20"/>
      <c r="WOB20"/>
      <c r="WOC20"/>
      <c r="WOD20"/>
      <c r="WOE20"/>
      <c r="WOF20"/>
      <c r="WOG20"/>
      <c r="WOH20"/>
      <c r="WOI20"/>
      <c r="WOJ20"/>
      <c r="WOK20"/>
      <c r="WOL20"/>
      <c r="WOM20"/>
      <c r="WON20"/>
      <c r="WOO20"/>
      <c r="WOP20"/>
      <c r="WOQ20"/>
      <c r="WOR20"/>
      <c r="WOS20"/>
      <c r="WOT20"/>
      <c r="WOU20"/>
      <c r="WOV20"/>
      <c r="WOW20"/>
      <c r="WOX20"/>
      <c r="WOY20"/>
      <c r="WOZ20"/>
      <c r="WPA20"/>
      <c r="WPB20"/>
      <c r="WPC20"/>
      <c r="WPD20"/>
      <c r="WPE20"/>
      <c r="WPF20"/>
      <c r="WPG20"/>
      <c r="WPH20"/>
      <c r="WPI20"/>
      <c r="WPJ20"/>
      <c r="WPK20"/>
      <c r="WPL20"/>
      <c r="WPM20"/>
      <c r="WPN20"/>
      <c r="WPO20"/>
      <c r="WPP20"/>
      <c r="WPQ20"/>
      <c r="WPR20"/>
      <c r="WPS20"/>
      <c r="WPT20"/>
      <c r="WPU20"/>
      <c r="WPV20"/>
      <c r="WPW20"/>
      <c r="WPX20"/>
      <c r="WPY20"/>
      <c r="WPZ20"/>
      <c r="WQA20"/>
      <c r="WQB20"/>
      <c r="WQC20"/>
      <c r="WQD20"/>
      <c r="WQE20"/>
      <c r="WQF20"/>
      <c r="WQG20"/>
      <c r="WQH20"/>
      <c r="WQI20"/>
      <c r="WQJ20"/>
      <c r="WQK20"/>
      <c r="WQL20"/>
      <c r="WQM20"/>
      <c r="WQN20"/>
      <c r="WQO20"/>
      <c r="WQP20"/>
      <c r="WQQ20"/>
      <c r="WQR20"/>
      <c r="WQS20"/>
      <c r="WQT20"/>
      <c r="WQU20"/>
      <c r="WQV20"/>
      <c r="WQW20"/>
      <c r="WQX20"/>
      <c r="WQY20"/>
      <c r="WQZ20"/>
      <c r="WRA20"/>
      <c r="WRB20"/>
      <c r="WRC20"/>
      <c r="WRD20"/>
      <c r="WRE20"/>
      <c r="WRF20"/>
      <c r="WRG20"/>
      <c r="WRH20"/>
      <c r="WRI20"/>
      <c r="WRJ20"/>
      <c r="WRK20"/>
      <c r="WRL20"/>
      <c r="WRM20"/>
      <c r="WRN20"/>
      <c r="WRO20"/>
      <c r="WRP20"/>
      <c r="WRQ20"/>
      <c r="WRR20"/>
      <c r="WRS20"/>
      <c r="WRT20"/>
      <c r="WRU20"/>
      <c r="WRV20"/>
      <c r="WRW20"/>
      <c r="WRX20"/>
      <c r="WRY20"/>
      <c r="WRZ20"/>
      <c r="WSA20"/>
      <c r="WSB20"/>
      <c r="WSC20"/>
      <c r="WSD20"/>
      <c r="WSE20"/>
      <c r="WSF20"/>
      <c r="WSG20"/>
      <c r="WSH20"/>
      <c r="WSI20"/>
      <c r="WSJ20"/>
      <c r="WSK20"/>
      <c r="WSL20"/>
      <c r="WSM20"/>
      <c r="WSN20"/>
      <c r="WSO20"/>
      <c r="WSP20"/>
      <c r="WSQ20"/>
      <c r="WSR20"/>
      <c r="WSS20"/>
      <c r="WST20"/>
      <c r="WSU20"/>
      <c r="WSV20"/>
      <c r="WSW20"/>
      <c r="WSX20"/>
      <c r="WSY20"/>
      <c r="WSZ20"/>
      <c r="WTA20"/>
      <c r="WTB20"/>
      <c r="WTC20"/>
      <c r="WTD20"/>
      <c r="WTE20"/>
      <c r="WTF20"/>
      <c r="WTG20"/>
      <c r="WTH20"/>
      <c r="WTI20"/>
      <c r="WTJ20"/>
      <c r="WTK20"/>
      <c r="WTL20"/>
      <c r="WTM20"/>
      <c r="WTN20"/>
      <c r="WTO20"/>
      <c r="WTP20"/>
      <c r="WTQ20"/>
      <c r="WTR20"/>
      <c r="WTS20"/>
      <c r="WTT20"/>
      <c r="WTU20"/>
      <c r="WTV20"/>
      <c r="WTW20"/>
      <c r="WTX20"/>
      <c r="WTY20"/>
      <c r="WTZ20"/>
      <c r="WUA20"/>
      <c r="WUB20"/>
      <c r="WUC20"/>
      <c r="WUD20"/>
      <c r="WUE20"/>
      <c r="WUF20"/>
      <c r="WUG20"/>
      <c r="WUH20"/>
      <c r="WUI20"/>
      <c r="WUJ20"/>
      <c r="WUK20"/>
      <c r="WUL20"/>
      <c r="WUM20"/>
      <c r="WUN20"/>
      <c r="WUO20"/>
      <c r="WUP20"/>
      <c r="WUQ20"/>
      <c r="WUR20"/>
      <c r="WUS20"/>
      <c r="WUT20"/>
      <c r="WUU20"/>
      <c r="WUV20"/>
      <c r="WUW20"/>
      <c r="WUX20"/>
      <c r="WUY20"/>
      <c r="WUZ20"/>
      <c r="WVA20"/>
      <c r="WVB20"/>
      <c r="WVC20"/>
      <c r="WVD20"/>
      <c r="WVE20"/>
      <c r="WVF20"/>
      <c r="WVG20"/>
      <c r="WVH20"/>
      <c r="WVI20"/>
      <c r="WVJ20"/>
      <c r="WVK20"/>
      <c r="WVL20"/>
      <c r="WVM20"/>
      <c r="WVN20"/>
      <c r="WVO20"/>
      <c r="WVP20"/>
      <c r="WVQ20"/>
      <c r="WVR20"/>
      <c r="WVS20"/>
      <c r="WVT20"/>
      <c r="WVU20"/>
      <c r="WVV20"/>
      <c r="WVW20"/>
      <c r="WVX20"/>
      <c r="WVY20"/>
      <c r="WVZ20"/>
      <c r="WWA20"/>
      <c r="WWB20"/>
      <c r="WWC20"/>
      <c r="WWD20"/>
      <c r="WWE20"/>
      <c r="WWF20"/>
      <c r="WWG20"/>
      <c r="WWH20"/>
      <c r="WWI20"/>
      <c r="WWJ20"/>
      <c r="WWK20"/>
      <c r="WWL20"/>
      <c r="WWM20"/>
      <c r="WWN20"/>
      <c r="WWO20"/>
      <c r="WWP20"/>
      <c r="WWQ20"/>
      <c r="WWR20"/>
      <c r="WWS20"/>
      <c r="WWT20"/>
      <c r="WWU20"/>
      <c r="WWV20"/>
      <c r="WWW20"/>
      <c r="WWX20"/>
      <c r="WWY20"/>
      <c r="WWZ20"/>
      <c r="WXA20"/>
      <c r="WXB20"/>
      <c r="WXC20"/>
      <c r="WXD20"/>
      <c r="WXE20"/>
      <c r="WXF20"/>
      <c r="WXG20"/>
      <c r="WXH20"/>
      <c r="WXI20"/>
      <c r="WXJ20"/>
      <c r="WXK20"/>
      <c r="WXL20"/>
      <c r="WXM20"/>
      <c r="WXN20"/>
      <c r="WXO20"/>
      <c r="WXP20"/>
      <c r="WXQ20"/>
      <c r="WXR20"/>
      <c r="WXS20"/>
      <c r="WXT20"/>
      <c r="WXU20"/>
      <c r="WXV20"/>
      <c r="WXW20"/>
      <c r="WXX20"/>
      <c r="WXY20"/>
      <c r="WXZ20"/>
      <c r="WYA20"/>
      <c r="WYB20"/>
      <c r="WYC20"/>
      <c r="WYD20"/>
      <c r="WYE20"/>
      <c r="WYF20"/>
      <c r="WYG20"/>
      <c r="WYH20"/>
      <c r="WYI20"/>
      <c r="WYJ20"/>
      <c r="WYK20"/>
      <c r="WYL20"/>
      <c r="WYM20"/>
      <c r="WYN20"/>
      <c r="WYO20"/>
      <c r="WYP20"/>
      <c r="WYQ20"/>
      <c r="WYR20"/>
      <c r="WYS20"/>
      <c r="WYT20"/>
      <c r="WYU20"/>
      <c r="WYV20"/>
      <c r="WYW20"/>
      <c r="WYX20"/>
      <c r="WYY20"/>
      <c r="WYZ20"/>
      <c r="WZA20"/>
      <c r="WZB20"/>
      <c r="WZC20"/>
      <c r="WZD20"/>
      <c r="WZE20"/>
      <c r="WZF20"/>
      <c r="WZG20"/>
      <c r="WZH20"/>
      <c r="WZI20"/>
      <c r="WZJ20"/>
      <c r="WZK20"/>
      <c r="WZL20"/>
      <c r="WZM20"/>
      <c r="WZN20"/>
      <c r="WZO20"/>
      <c r="WZP20"/>
      <c r="WZQ20"/>
      <c r="WZR20"/>
      <c r="WZS20"/>
      <c r="WZT20"/>
      <c r="WZU20"/>
      <c r="WZV20"/>
      <c r="WZW20"/>
      <c r="WZX20"/>
      <c r="WZY20"/>
      <c r="WZZ20"/>
      <c r="XAA20"/>
      <c r="XAB20"/>
      <c r="XAC20"/>
      <c r="XAD20"/>
      <c r="XAE20"/>
      <c r="XAF20"/>
      <c r="XAG20"/>
      <c r="XAH20"/>
      <c r="XAI20"/>
      <c r="XAJ20"/>
      <c r="XAK20"/>
      <c r="XAL20"/>
      <c r="XAM20"/>
      <c r="XAN20"/>
      <c r="XAO20"/>
      <c r="XAP20"/>
      <c r="XAQ20"/>
      <c r="XAR20"/>
      <c r="XAS20"/>
      <c r="XAT20"/>
      <c r="XAU20"/>
      <c r="XAV20"/>
      <c r="XAW20"/>
      <c r="XAX20"/>
      <c r="XAY20"/>
      <c r="XAZ20"/>
      <c r="XBA20"/>
      <c r="XBB20"/>
      <c r="XBC20"/>
      <c r="XBD20"/>
      <c r="XBE20"/>
      <c r="XBF20"/>
      <c r="XBG20"/>
      <c r="XBH20"/>
      <c r="XBI20"/>
      <c r="XBJ20"/>
      <c r="XBK20"/>
      <c r="XBL20"/>
      <c r="XBM20"/>
      <c r="XBN20"/>
      <c r="XBO20"/>
      <c r="XBP20"/>
      <c r="XBQ20"/>
      <c r="XBR20"/>
      <c r="XBS20"/>
      <c r="XBT20"/>
      <c r="XBU20"/>
      <c r="XBV20"/>
      <c r="XBW20"/>
      <c r="XBX20"/>
      <c r="XBY20"/>
      <c r="XBZ20"/>
      <c r="XCA20"/>
      <c r="XCB20"/>
      <c r="XCC20"/>
      <c r="XCD20"/>
      <c r="XCE20"/>
      <c r="XCF20"/>
      <c r="XCG20"/>
      <c r="XCH20"/>
      <c r="XCI20"/>
      <c r="XCJ20"/>
      <c r="XCK20"/>
      <c r="XCL20"/>
      <c r="XCM20"/>
      <c r="XCN20"/>
      <c r="XCO20"/>
      <c r="XCP20"/>
      <c r="XCQ20"/>
      <c r="XCR20"/>
      <c r="XCS20"/>
      <c r="XCT20"/>
      <c r="XCU20"/>
      <c r="XCV20"/>
      <c r="XCW20"/>
      <c r="XCX20"/>
      <c r="XCY20"/>
      <c r="XCZ20"/>
      <c r="XDA20"/>
      <c r="XDB20"/>
      <c r="XDC20"/>
      <c r="XDD20"/>
      <c r="XDE20"/>
      <c r="XDF20"/>
      <c r="XDG20"/>
      <c r="XDH20"/>
      <c r="XDI20"/>
      <c r="XDJ20"/>
      <c r="XDK20"/>
      <c r="XDL20"/>
      <c r="XDM20"/>
      <c r="XDN20"/>
      <c r="XDO20"/>
      <c r="XDP20"/>
      <c r="XDQ20"/>
      <c r="XDR20"/>
      <c r="XDS20"/>
      <c r="XDT20"/>
      <c r="XDU20"/>
      <c r="XDV20"/>
      <c r="XDW20"/>
      <c r="XDX20"/>
      <c r="XDY20"/>
      <c r="XDZ20"/>
      <c r="XEA20"/>
      <c r="XEB20"/>
      <c r="XEC20"/>
      <c r="XED20"/>
      <c r="XEE20"/>
      <c r="XEF20"/>
      <c r="XEG20"/>
      <c r="XEH20"/>
      <c r="XEI20"/>
      <c r="XEJ20"/>
      <c r="XEK20"/>
      <c r="XEL20"/>
      <c r="XEM20"/>
      <c r="XEN20"/>
      <c r="XEO20"/>
      <c r="XEP20"/>
      <c r="XEQ20"/>
      <c r="XER20"/>
      <c r="XES20"/>
      <c r="XET20"/>
      <c r="XEU20"/>
      <c r="XEV20"/>
      <c r="XEW20"/>
      <c r="XEX20"/>
      <c r="XEY20"/>
      <c r="XEZ20"/>
      <c r="XFA20"/>
      <c r="XFB20"/>
      <c r="XFC20"/>
      <c r="XFD20"/>
    </row>
    <row r="21" spans="1:154 14670:16384" s="9" customFormat="1" ht="15.75" hidden="1" thickBot="1" x14ac:dyDescent="0.3">
      <c r="A21" s="34">
        <v>7</v>
      </c>
      <c r="B21" s="60" t="s">
        <v>107</v>
      </c>
      <c r="C21" s="29" t="str">
        <f ca="1">IFERROR(IF(AND(C$13  &gt;= $AB$33, C$13 &lt;= $AB$34),VLOOKUP($G$1,INDIRECT("'" &amp;'Caller Portal Instructions'!D$25&amp;"'!$B$4:$Q$200"),16, FALSE),""),"")</f>
        <v/>
      </c>
      <c r="D21" s="29" t="str">
        <f ca="1">IFERROR(IF(AND(D$13  &gt;= $AB$33, D$13 &lt;= $AB$34),VLOOKUP($G$1,INDIRECT("'" &amp;'Caller Portal Instructions'!E$25&amp;"'!$B$4:$Q$200"),16, FALSE),""),"")</f>
        <v/>
      </c>
      <c r="E21" s="29" t="str">
        <f ca="1">IFERROR(IF(AND(E$13  &gt;= $AB$33, E$13 &lt;= $AB$34),VLOOKUP($G$1,INDIRECT("'" &amp;'Caller Portal Instructions'!F$25&amp;"'!$B$4:$Q$200"),16, FALSE),""),"")</f>
        <v/>
      </c>
      <c r="F21" s="29" t="str">
        <f ca="1">IFERROR(IF(AND(F$13  &gt;= $AB$33, F$13 &lt;= $AB$34),VLOOKUP($G$1,INDIRECT("'" &amp;'Caller Portal Instructions'!G$25&amp;"'!$B$4:$Q$200"),16, FALSE),""),"")</f>
        <v/>
      </c>
      <c r="G21" s="29" t="str">
        <f ca="1">IFERROR(IF(AND(G$13  &gt;= $AB$33, G$13 &lt;= $AB$34),VLOOKUP($G$1,INDIRECT("'" &amp;'Caller Portal Instructions'!H$25&amp;"'!$B$4:$Q$200"),16, FALSE),""),"")</f>
        <v/>
      </c>
      <c r="H21" s="29" t="str">
        <f ca="1">IFERROR(IF(AND(H$13  &gt;= $AB$33, H$13 &lt;= $AB$34),VLOOKUP($G$1,INDIRECT("'" &amp;'Caller Portal Instructions'!I$25&amp;"'!$B$4:$Q$200"),16, FALSE),""),"")</f>
        <v/>
      </c>
      <c r="I21" s="29" t="str">
        <f ca="1">IFERROR(IF(AND(I$13  &gt;= $AB$33, I$13 &lt;= $AB$34),VLOOKUP($G$1,INDIRECT("'" &amp;'Caller Portal Instructions'!J$25&amp;"'!$B$4:$Q$200"),16, FALSE),""),"")</f>
        <v/>
      </c>
      <c r="J21" s="29" t="str">
        <f ca="1">IFERROR(IF(AND(J$13  &gt;= $AB$33, J$13 &lt;= $AB$34),VLOOKUP($G$1,INDIRECT("'" &amp;'Caller Portal Instructions'!K$25&amp;"'!$B$4:$Q$200"),16, FALSE),""),"")</f>
        <v/>
      </c>
      <c r="K21" s="29" t="str">
        <f ca="1">IFERROR(IF(AND(K$13  &gt;= $AB$33, K$13 &lt;= $AB$34),VLOOKUP($G$1,INDIRECT("'" &amp;'Caller Portal Instructions'!L$25&amp;"'!$B$4:$Q$200"),16, FALSE),""),"")</f>
        <v/>
      </c>
      <c r="L21" s="29" t="str">
        <f ca="1">IFERROR(IF(AND(L$13  &gt;= $AB$33, L$13 &lt;= $AB$34),VLOOKUP($G$1,INDIRECT("'" &amp;'Caller Portal Instructions'!M$25&amp;"'!$B$4:$Q$200"),16, FALSE),""),"")</f>
        <v/>
      </c>
      <c r="M21" s="29" t="str">
        <f ca="1">IFERROR(IF(AND(M$13  &gt;= $AB$33, M$13 &lt;= $AB$34),VLOOKUP($G$1,INDIRECT("'" &amp;'Caller Portal Instructions'!N$25&amp;"'!$B$4:$Q$200"),16, FALSE),""),"")</f>
        <v/>
      </c>
      <c r="N21" s="29" t="str">
        <f ca="1">IFERROR(IF(AND(N$13  &gt;= $AB$33, N$13 &lt;= $AB$34),VLOOKUP($G$1,INDIRECT("'" &amp;'Caller Portal Instructions'!O$25&amp;"'!$B$4:$Q$200"),16, FALSE),""),"")</f>
        <v/>
      </c>
      <c r="O21" s="29" t="str">
        <f ca="1">IFERROR(IF(AND(O$13  &gt;= $AB$33, O$13 &lt;= $AB$34),VLOOKUP($G$1,INDIRECT("'" &amp;'Caller Portal Instructions'!P$25&amp;"'!$B$4:$Q$200"),16, FALSE),""),"")</f>
        <v/>
      </c>
      <c r="P21" s="29" t="str">
        <f ca="1">IFERROR(IF(AND(P$13  &gt;= $AB$33, P$13 &lt;= $AB$34),VLOOKUP($G$1,INDIRECT("'" &amp;'Caller Portal Instructions'!Q$25&amp;"'!$B$4:$Q$200"),16, FALSE),""),"")</f>
        <v/>
      </c>
      <c r="Q21" s="29" t="str">
        <f ca="1">IFERROR(IF(AND(Q$13  &gt;= $AB$33, Q$13 &lt;= $AB$34),VLOOKUP($G$1,INDIRECT("'" &amp;'Caller Portal Instructions'!R$25&amp;"'!$B$4:$Q$200"),16, FALSE),""),"")</f>
        <v/>
      </c>
      <c r="R21" s="29" t="str">
        <f ca="1">IFERROR(IF(AND(R$13  &gt;= $AB$33, R$13 &lt;= $AB$34),VLOOKUP($G$1,INDIRECT("'" &amp;'Caller Portal Instructions'!S$25&amp;"'!$B$4:$Q$200"),16, FALSE),""),"")</f>
        <v/>
      </c>
      <c r="S21" s="29" t="str">
        <f ca="1">IFERROR(IF(AND(S$13  &gt;= $AB$33, S$13 &lt;= $AB$34),VLOOKUP($G$1,INDIRECT("'" &amp;'Caller Portal Instructions'!T$25&amp;"'!$B$4:$Q$200"),16, FALSE),""),"")</f>
        <v/>
      </c>
      <c r="T21" s="29" t="str">
        <f ca="1">IFERROR(IF(AND(T$13  &gt;= $AB$33, T$13 &lt;= $AB$34),VLOOKUP($G$1,INDIRECT("'" &amp;'Caller Portal Instructions'!U$25&amp;"'!$B$4:$Q$200"),16, FALSE),""),"")</f>
        <v/>
      </c>
      <c r="U21" s="29" t="str">
        <f ca="1">IFERROR(IF(AND(U$13  &gt;= $AB$33, U$13 &lt;= $AB$34),VLOOKUP($G$1,INDIRECT("'" &amp;'Caller Portal Instructions'!V$25&amp;"'!$B$4:$Q$200"),16, FALSE),""),"")</f>
        <v/>
      </c>
      <c r="V21" s="29" t="str">
        <f ca="1">IFERROR(IF(AND(V$13  &gt;= $AB$33, V$13 &lt;= $AB$34),VLOOKUP($G$1,INDIRECT("'" &amp;'Caller Portal Instructions'!W$25&amp;"'!$B$4:$Q$200"),16, FALSE),""),"")</f>
        <v/>
      </c>
      <c r="W21" s="29" t="str">
        <f ca="1">IFERROR(IF(AND(W$13  &gt;= $AB$33, W$13 &lt;= $AB$34),VLOOKUP($G$1,INDIRECT("'" &amp;'Caller Portal Instructions'!X$25&amp;"'!$B$4:$Q$200"),16, FALSE),""),"")</f>
        <v/>
      </c>
      <c r="X21" s="29" t="str">
        <f ca="1">IFERROR(IF(AND(X$13  &gt;= $AB$33, X$13 &lt;= $AB$34),VLOOKUP($G$1,INDIRECT("'" &amp;'Caller Portal Instructions'!Y$25&amp;"'!$B$4:$Q$200"),16, FALSE),""),"")</f>
        <v/>
      </c>
      <c r="Y21" s="29" t="str">
        <f ca="1">IFERROR(IF(AND(Y$13  &gt;= $AB$33, Y$13 &lt;= $AB$34),VLOOKUP($G$1,INDIRECT("'" &amp;'Caller Portal Instructions'!Z$25&amp;"'!$B$4:$Q$200"),16, FALSE),""),"")</f>
        <v/>
      </c>
      <c r="Z21" s="29" t="str">
        <f ca="1">IFERROR(IF(AND(Z$13  &gt;= $AB$33, Z$13 &lt;= $AB$34),VLOOKUP($G$1,INDIRECT("'" &amp;'Caller Portal Instructions'!AA$25&amp;"'!$B$4:$Q$200"),16, FALSE),""),"")</f>
        <v/>
      </c>
      <c r="AA21" s="29" t="str">
        <f ca="1">IFERROR(IF(AND(AA$13  &gt;= $AB$33, AA$13 &lt;= $AB$34),VLOOKUP($G$1,INDIRECT("'" &amp;'Caller Portal Instructions'!AB$25&amp;"'!$B$4:$Q$200"),16, FALSE),""),"")</f>
        <v/>
      </c>
      <c r="AB21" s="29" t="str">
        <f ca="1">IFERROR(IF(AND(AB$13  &gt;= $AB$33, AB$13 &lt;= $AB$34),VLOOKUP($G$1,INDIRECT("'" &amp;'Caller Portal Instructions'!AC$25&amp;"'!$B$4:$Q$200"),16, FALSE),""),"")</f>
        <v/>
      </c>
      <c r="AC21" s="29" t="str">
        <f ca="1">IFERROR(IF(AND(AC$13  &gt;= $AB$33, AC$13 &lt;= $AB$34),VLOOKUP($G$1,INDIRECT("'" &amp;'Caller Portal Instructions'!AD$25&amp;"'!$B$4:$Q$200"),16, FALSE),""),"")</f>
        <v/>
      </c>
      <c r="AD21" s="29" t="str">
        <f ca="1">IFERROR(IF(AND(AD$13  &gt;= $AB$33, AD$13 &lt;= $AB$34),VLOOKUP($G$1,INDIRECT("'" &amp;'Caller Portal Instructions'!AE$25&amp;"'!$B$4:$Q$200"),16, FALSE),""),"")</f>
        <v/>
      </c>
      <c r="AE21" s="29" t="str">
        <f ca="1">IFERROR(IF(AND(AE$13  &gt;= $AB$33, AE$13 &lt;= $AB$34),VLOOKUP($G$1,INDIRECT("'" &amp;'Caller Portal Instructions'!AF$25&amp;"'!$B$4:$Q$200"),16, FALSE),""),"")</f>
        <v/>
      </c>
      <c r="AF21" s="29" t="str">
        <f ca="1">IFERROR(IF(AND(AF$13  &gt;= $AB$33, AF$13 &lt;= $AB$34),VLOOKUP($G$1,INDIRECT("'" &amp;'Caller Portal Instructions'!AG$25&amp;"'!$B$4:$Q$200"),16, FALSE),""),"")</f>
        <v/>
      </c>
      <c r="AG21" s="29" t="str">
        <f ca="1">IFERROR(IF(AND(AG$13  &gt;= $AB$33, AG$13 &lt;= $AB$34),VLOOKUP($G$1,INDIRECT("'" &amp;'Caller Portal Instructions'!AH$25&amp;"'!$B$4:$Q$200"),16, FALSE),""),"")</f>
        <v/>
      </c>
      <c r="AH21" s="29" t="str">
        <f ca="1">IFERROR(IF(AND(AH$13  &gt;= $AB$33, AH$13 &lt;= $AB$34),VLOOKUP($G$1,INDIRECT("'" &amp;'Caller Portal Instructions'!AI$25&amp;"'!$B$4:$Q$200"),16, FALSE),""),"")</f>
        <v/>
      </c>
      <c r="AI21" s="29" t="str">
        <f ca="1">IFERROR(IF(AND(AI$13  &gt;= $AB$33, AI$13 &lt;= $AB$34),VLOOKUP($G$1,INDIRECT("'" &amp;'Caller Portal Instructions'!AJ$25&amp;"'!$B$4:$Q$200"),16, FALSE),""),"")</f>
        <v/>
      </c>
      <c r="AJ21" s="29" t="str">
        <f ca="1">IFERROR(IF(AND(AJ$13  &gt;= $AB$33, AJ$13 &lt;= $AB$34),VLOOKUP($G$1,INDIRECT("'" &amp;'Caller Portal Instructions'!AK$25&amp;"'!$B$4:$Q$200"),16, FALSE),""),"")</f>
        <v/>
      </c>
      <c r="AK21" s="29" t="str">
        <f ca="1">IFERROR(IF(AND(AK$13  &gt;= $AB$33, AK$13 &lt;= $AB$34),VLOOKUP($G$1,INDIRECT("'" &amp;'Caller Portal Instructions'!AL$25&amp;"'!$B$4:$Q$200"),16, FALSE),""),"")</f>
        <v/>
      </c>
      <c r="AL21" s="29" t="str">
        <f ca="1">IFERROR(IF(AND(AL$13  &gt;= $AB$33, AL$13 &lt;= $AB$34),VLOOKUP($G$1,INDIRECT("'" &amp;'Caller Portal Instructions'!AM$25&amp;"'!$B$4:$Q$200"),16, FALSE),""),"")</f>
        <v/>
      </c>
      <c r="AM21" s="29" t="str">
        <f ca="1">IFERROR(IF(AND(AM$13  &gt;= $AB$33, AM$13 &lt;= $AB$34),VLOOKUP($G$1,INDIRECT("'" &amp;'Caller Portal Instructions'!AN$25&amp;"'!$B$4:$Q$200"),16, FALSE),""),"")</f>
        <v/>
      </c>
      <c r="AN21" s="29" t="str">
        <f ca="1">IFERROR(IF(AND(AN$13  &gt;= $AB$33, AN$13 &lt;= $AB$34),VLOOKUP($G$1,INDIRECT("'" &amp;'Caller Portal Instructions'!AO$25&amp;"'!$B$4:$Q$200"),16, FALSE),""),"")</f>
        <v/>
      </c>
      <c r="AO21" s="29" t="str">
        <f ca="1">IFERROR(IF(AND(AO$13  &gt;= $AB$33, AO$13 &lt;= $AB$34),VLOOKUP($G$1,INDIRECT("'" &amp;'Caller Portal Instructions'!AP$25&amp;"'!$B$4:$Q$200"),16, FALSE),""),"")</f>
        <v/>
      </c>
      <c r="AP21" s="29" t="str">
        <f ca="1">IFERROR(IF(AND(AP$13  &gt;= $AB$33, AP$13 &lt;= $AB$34),VLOOKUP($G$1,INDIRECT("'" &amp;'Caller Portal Instructions'!AQ$25&amp;"'!$B$4:$Q$200"),16, FALSE),""),"")</f>
        <v/>
      </c>
      <c r="AQ21" s="29" t="str">
        <f ca="1">IFERROR(IF(AND(AQ$13  &gt;= $AB$33, AQ$13 &lt;= $AB$34),VLOOKUP($G$1,INDIRECT("'" &amp;'Caller Portal Instructions'!AR$25&amp;"'!$B$4:$Q$200"),16, FALSE),""),"")</f>
        <v/>
      </c>
      <c r="AR21" s="29" t="str">
        <f ca="1">IFERROR(IF(AND(AR$13  &gt;= $AB$33, AR$13 &lt;= $AB$34),VLOOKUP($G$1,INDIRECT("'" &amp;'Caller Portal Instructions'!AS$25&amp;"'!$B$4:$Q$200"),16, FALSE),""),"")</f>
        <v/>
      </c>
      <c r="AS21" s="29" t="str">
        <f ca="1">IFERROR(IF(AND(AS$13  &gt;= $AB$33, AS$13 &lt;= $AB$34),VLOOKUP($G$1,INDIRECT("'" &amp;'Caller Portal Instructions'!AT$25&amp;"'!$B$4:$Q$200"),16, FALSE),""),"")</f>
        <v/>
      </c>
      <c r="AT21" s="29" t="str">
        <f ca="1">IFERROR(IF(AND(AT$13  &gt;= $AB$33, AT$13 &lt;= $AB$34),VLOOKUP($G$1,INDIRECT("'" &amp;'Caller Portal Instructions'!AU$25&amp;"'!$B$4:$Q$200"),16, FALSE),""),"")</f>
        <v/>
      </c>
      <c r="AU21" s="29" t="str">
        <f ca="1">IFERROR(IF(AND(AU$13  &gt;= $AB$33, AU$13 &lt;= $AB$34),VLOOKUP($G$1,INDIRECT("'" &amp;'Caller Portal Instructions'!AV$25&amp;"'!$B$4:$Q$200"),16, FALSE),""),"")</f>
        <v/>
      </c>
      <c r="AV21" s="29" t="str">
        <f ca="1">IFERROR(IF(AND(AV$13  &gt;= $AB$33, AV$13 &lt;= $AB$34),VLOOKUP($G$1,INDIRECT("'" &amp;'Caller Portal Instructions'!AW$25&amp;"'!$B$4:$Q$200"),16, FALSE),""),"")</f>
        <v/>
      </c>
      <c r="AW21" s="29" t="str">
        <f ca="1">IFERROR(IF(AND(AW$13  &gt;= $AB$33, AW$13 &lt;= $AB$34),VLOOKUP($G$1,INDIRECT("'" &amp;'Caller Portal Instructions'!AX$25&amp;"'!$B$4:$Q$200"),16, FALSE),""),"")</f>
        <v/>
      </c>
      <c r="AX21" s="29" t="str">
        <f ca="1">IFERROR(IF(AND(AX$13  &gt;= $AB$33, AX$13 &lt;= $AB$34),VLOOKUP($G$1,INDIRECT("'" &amp;'Caller Portal Instructions'!AY$25&amp;"'!$B$4:$Q$200"),16, FALSE),""),"")</f>
        <v/>
      </c>
      <c r="AY21" s="29" t="str">
        <f ca="1">IFERROR(IF(AND(AY$13  &gt;= $AB$33, AY$13 &lt;= $AB$34),VLOOKUP($G$1,INDIRECT("'" &amp;'Caller Portal Instructions'!AZ$25&amp;"'!$B$4:$Q$200"),16, FALSE),""),"")</f>
        <v/>
      </c>
      <c r="AZ21" s="29" t="str">
        <f ca="1">IFERROR(IF(AND(AZ$13  &gt;= $AB$33, AZ$13 &lt;= $AB$34),VLOOKUP($G$1,INDIRECT("'" &amp;'Caller Portal Instructions'!BA$25&amp;"'!$B$4:$Q$200"),16, FALSE),""),"")</f>
        <v/>
      </c>
      <c r="BA21" s="19"/>
      <c r="BB21" s="22"/>
      <c r="BC21" s="22"/>
      <c r="BD21" s="22"/>
      <c r="BE21" s="22"/>
      <c r="BF21" s="22"/>
      <c r="BG21" s="22"/>
      <c r="BH21" s="22"/>
      <c r="BI21" s="22"/>
      <c r="BJ21" s="22"/>
      <c r="BK21" s="22"/>
      <c r="BL21" s="22"/>
      <c r="BM21" s="22"/>
      <c r="BN21" s="22"/>
      <c r="BO21" s="22"/>
      <c r="BP21" s="22"/>
      <c r="BQ21" s="22"/>
      <c r="BR21" s="22"/>
      <c r="BS21" s="22"/>
      <c r="BT21" s="22"/>
      <c r="BU21" s="22"/>
      <c r="BV21" s="22"/>
      <c r="BW21" s="22"/>
      <c r="BX21" s="22"/>
      <c r="BY21" s="22"/>
      <c r="BZ21" s="22"/>
      <c r="CA21" s="22"/>
      <c r="CB21" s="22"/>
      <c r="CC21" s="22"/>
      <c r="CD21" s="22"/>
      <c r="CE21" s="22"/>
      <c r="CF21" s="22"/>
      <c r="CG21" s="22"/>
      <c r="CH21" s="22"/>
      <c r="CI21" s="22"/>
      <c r="CJ21" s="22"/>
      <c r="CK21" s="22"/>
      <c r="CL21" s="22"/>
      <c r="CM21" s="22"/>
      <c r="CN21" s="22"/>
      <c r="CO21" s="22"/>
      <c r="CP21" s="22"/>
      <c r="CQ21" s="22"/>
      <c r="CR21" s="22"/>
      <c r="CS21" s="22"/>
      <c r="CT21" s="22"/>
      <c r="CU21" s="22"/>
      <c r="CV21" s="22"/>
      <c r="CW21" s="22"/>
      <c r="CX21" s="22"/>
      <c r="CY21" s="22"/>
      <c r="CZ21" s="22"/>
      <c r="DA21" s="22"/>
      <c r="DB21" s="22"/>
      <c r="DC21" s="22"/>
      <c r="DD21" s="22"/>
      <c r="DE21" s="22"/>
      <c r="DF21" s="22"/>
      <c r="DG21" s="22"/>
      <c r="DH21" s="22"/>
      <c r="DI21" s="22"/>
      <c r="DJ21" s="22"/>
      <c r="DK21" s="22"/>
      <c r="DL21" s="22"/>
      <c r="DM21" s="22"/>
      <c r="DN21" s="22"/>
      <c r="DO21" s="22"/>
      <c r="DP21" s="22"/>
      <c r="DQ21" s="22"/>
      <c r="DR21" s="22"/>
      <c r="DS21" s="22"/>
      <c r="DT21" s="22"/>
      <c r="DU21" s="22"/>
      <c r="DV21" s="22"/>
      <c r="DW21" s="22"/>
      <c r="DX21" s="22"/>
      <c r="DY21" s="22"/>
      <c r="DZ21" s="22"/>
      <c r="EA21" s="22"/>
      <c r="EB21" s="22"/>
      <c r="EC21" s="22"/>
      <c r="ED21" s="22"/>
      <c r="EE21" s="22"/>
      <c r="EF21" s="22"/>
      <c r="EG21" s="22"/>
      <c r="EH21" s="22"/>
      <c r="EI21" s="22"/>
      <c r="EJ21" s="22"/>
      <c r="EK21" s="22"/>
      <c r="EL21" s="22"/>
      <c r="EM21" s="22"/>
      <c r="EN21" s="22"/>
      <c r="EO21" s="22"/>
      <c r="EP21" s="22"/>
      <c r="EQ21" s="22"/>
      <c r="ER21" s="22"/>
      <c r="ES21" s="22"/>
      <c r="ET21" s="22"/>
      <c r="EU21" s="22"/>
      <c r="EV21" s="22"/>
      <c r="EW21" s="22"/>
      <c r="EX21" s="22"/>
      <c r="URF21" s="22"/>
      <c r="URG21" s="22"/>
      <c r="URH21" s="22"/>
      <c r="URI21" s="22"/>
      <c r="URJ21" s="22"/>
      <c r="URK21" s="22"/>
      <c r="URL21" s="22"/>
      <c r="URM21" s="22"/>
      <c r="URN21" s="22"/>
      <c r="URO21" s="22"/>
      <c r="URP21" s="22"/>
      <c r="URQ21" s="22"/>
      <c r="URR21" s="22"/>
      <c r="URS21" s="22"/>
      <c r="URT21" s="22"/>
      <c r="URU21" s="22"/>
      <c r="URV21" s="22"/>
      <c r="URW21" s="22"/>
      <c r="URX21" s="22"/>
      <c r="URY21" s="22"/>
      <c r="URZ21" s="22"/>
      <c r="USA21" s="22"/>
      <c r="USB21" s="22"/>
      <c r="USC21" s="22"/>
      <c r="USD21" s="22"/>
      <c r="USE21" s="22"/>
      <c r="USF21" s="22"/>
      <c r="USG21" s="22"/>
      <c r="USH21" s="22"/>
      <c r="USI21" s="22"/>
      <c r="USJ21" s="22"/>
      <c r="USK21" s="22"/>
      <c r="USL21" s="22"/>
      <c r="USM21" s="22"/>
      <c r="USN21" s="22"/>
      <c r="USO21" s="22"/>
      <c r="USP21" s="22"/>
      <c r="USQ21" s="22"/>
      <c r="USR21" s="22"/>
      <c r="USS21" s="22"/>
      <c r="UST21" s="22"/>
      <c r="USU21" s="22"/>
      <c r="USV21" s="22"/>
      <c r="USW21" s="22"/>
      <c r="USX21" s="22"/>
      <c r="USY21" s="22"/>
      <c r="USZ21" s="22"/>
      <c r="UTA21" s="22"/>
      <c r="UTB21" s="22"/>
      <c r="UTC21" s="22"/>
      <c r="UTD21" s="22"/>
      <c r="UTE21" s="22"/>
      <c r="UTF21" s="22"/>
      <c r="UTG21" s="22"/>
      <c r="UTH21" s="22"/>
      <c r="UTI21" s="22"/>
      <c r="UTJ21" s="22"/>
      <c r="UTK21" s="22"/>
      <c r="UTL21" s="22"/>
      <c r="UTM21" s="22"/>
      <c r="UTN21" s="22"/>
      <c r="UTO21" s="22"/>
      <c r="UTP21" s="22"/>
      <c r="UTQ21" s="22"/>
      <c r="UTR21" s="22"/>
      <c r="UTS21" s="22"/>
      <c r="UTT21" s="22"/>
      <c r="UTU21" s="22"/>
      <c r="UTV21" s="22"/>
      <c r="UTW21" s="22"/>
      <c r="UTX21" s="22"/>
      <c r="UTY21" s="22"/>
      <c r="UTZ21" s="22"/>
      <c r="UUA21" s="22"/>
      <c r="UUB21" s="22"/>
      <c r="UUC21" s="22"/>
      <c r="UUD21" s="22"/>
      <c r="UUE21" s="22"/>
      <c r="UUF21" s="22"/>
      <c r="UUG21" s="22"/>
      <c r="UUH21" s="22"/>
      <c r="UUI21" s="22"/>
      <c r="UUJ21" s="22"/>
      <c r="UUK21" s="22"/>
      <c r="UUL21" s="22"/>
      <c r="UUM21" s="22"/>
      <c r="UUN21" s="22"/>
      <c r="UUO21" s="22"/>
      <c r="UUP21" s="22"/>
      <c r="UUQ21" s="22"/>
      <c r="UUR21" s="22"/>
      <c r="UUS21" s="22"/>
      <c r="UUT21" s="22"/>
      <c r="UUU21" s="22"/>
      <c r="UUV21" s="22"/>
      <c r="UUW21" s="22"/>
      <c r="UUX21" s="22"/>
      <c r="UUY21" s="22"/>
      <c r="UUZ21" s="22"/>
      <c r="UVA21" s="22"/>
      <c r="UVB21" s="22"/>
      <c r="UVC21" s="22"/>
      <c r="UVD21" s="22"/>
      <c r="UVE21" s="22"/>
      <c r="UVF21" s="22"/>
      <c r="UVG21" s="22"/>
      <c r="UVH21" s="22"/>
      <c r="UVI21" s="22"/>
      <c r="UVJ21" s="22"/>
      <c r="UVK21" s="22"/>
      <c r="UVL21" s="22"/>
      <c r="UVM21" s="22"/>
      <c r="UVN21" s="22"/>
      <c r="UVO21" s="22"/>
      <c r="UVP21" s="22"/>
      <c r="UVQ21" s="22"/>
      <c r="UVR21" s="22"/>
      <c r="UVS21" s="22"/>
      <c r="UVT21" s="22"/>
      <c r="UVU21" s="22"/>
      <c r="UVV21" s="22"/>
      <c r="UVW21" s="22"/>
      <c r="UVX21" s="22"/>
      <c r="UVY21" s="22"/>
      <c r="UVZ21" s="22"/>
      <c r="UWA21" s="22"/>
      <c r="UWB21" s="22"/>
      <c r="UWC21" s="22"/>
      <c r="UWD21" s="22"/>
      <c r="UWE21" s="22"/>
      <c r="UWF21" s="22"/>
      <c r="UWG21" s="22"/>
      <c r="UWH21" s="22"/>
      <c r="UWI21" s="22"/>
      <c r="UWJ21" s="22"/>
      <c r="UWK21" s="22"/>
      <c r="UWL21" s="22"/>
      <c r="UWM21" s="22"/>
      <c r="UWN21" s="22"/>
      <c r="UWO21" s="22"/>
      <c r="UWP21" s="22"/>
      <c r="UWQ21" s="22"/>
      <c r="UWR21" s="22"/>
      <c r="UWS21" s="22"/>
      <c r="UWT21" s="22"/>
      <c r="UWU21" s="22"/>
      <c r="UWV21" s="22"/>
      <c r="UWW21" s="22"/>
      <c r="UWX21" s="22"/>
      <c r="UWY21" s="22"/>
      <c r="UWZ21" s="22"/>
      <c r="UXA21" s="22"/>
      <c r="UXB21" s="22"/>
      <c r="UXC21" s="22"/>
      <c r="UXD21" s="22"/>
      <c r="UXE21" s="22"/>
      <c r="UXF21" s="22"/>
      <c r="UXG21" s="22"/>
      <c r="UXH21" s="22"/>
      <c r="UXI21" s="22"/>
      <c r="UXJ21" s="22"/>
      <c r="UXK21" s="22"/>
      <c r="UXL21" s="22"/>
      <c r="UXM21" s="22"/>
      <c r="UXN21" s="22"/>
      <c r="UXO21" s="22"/>
      <c r="UXP21" s="22"/>
      <c r="UXQ21" s="22"/>
      <c r="UXR21" s="22"/>
      <c r="UXS21" s="22"/>
      <c r="UXT21" s="22"/>
      <c r="UXU21" s="22"/>
      <c r="UXV21" s="22"/>
      <c r="UXW21" s="22"/>
      <c r="UXX21" s="22"/>
      <c r="UXY21" s="22"/>
      <c r="UXZ21" s="22"/>
      <c r="UYA21" s="22"/>
      <c r="UYB21" s="22"/>
      <c r="UYC21" s="22"/>
      <c r="UYD21" s="22"/>
      <c r="UYE21" s="22"/>
      <c r="UYF21" s="22"/>
      <c r="UYG21" s="22"/>
      <c r="UYH21" s="22"/>
      <c r="UYI21" s="22"/>
      <c r="UYJ21" s="22"/>
      <c r="UYK21" s="22"/>
      <c r="UYL21" s="22"/>
      <c r="UYM21" s="22"/>
      <c r="UYN21" s="22"/>
      <c r="UYO21" s="22"/>
      <c r="UYP21" s="22"/>
      <c r="UYQ21" s="22"/>
      <c r="UYR21" s="22"/>
      <c r="UYS21" s="22"/>
      <c r="UYT21" s="22"/>
      <c r="UYU21" s="22"/>
      <c r="UYV21" s="22"/>
      <c r="UYW21" s="22"/>
      <c r="UYX21" s="22"/>
      <c r="UYY21" s="22"/>
      <c r="UYZ21" s="22"/>
      <c r="UZA21" s="22"/>
      <c r="UZB21" s="22"/>
      <c r="UZC21" s="22"/>
      <c r="UZD21" s="22"/>
      <c r="UZE21" s="22"/>
      <c r="UZF21" s="22"/>
      <c r="UZG21" s="22"/>
      <c r="UZH21" s="22"/>
      <c r="UZI21" s="22"/>
      <c r="UZJ21" s="22"/>
      <c r="UZK21" s="22"/>
      <c r="UZL21" s="22"/>
      <c r="UZM21" s="22"/>
      <c r="UZN21" s="22"/>
      <c r="UZO21" s="22"/>
      <c r="UZP21" s="22"/>
      <c r="UZQ21" s="22"/>
      <c r="UZR21" s="22"/>
      <c r="UZS21" s="22"/>
      <c r="UZT21" s="22"/>
      <c r="UZU21" s="22"/>
      <c r="UZV21" s="22"/>
      <c r="UZW21" s="22"/>
      <c r="UZX21" s="22"/>
      <c r="UZY21" s="22"/>
      <c r="UZZ21" s="22"/>
      <c r="VAA21" s="22"/>
      <c r="VAB21" s="22"/>
      <c r="VAC21" s="22"/>
      <c r="VAD21" s="22"/>
      <c r="VAE21" s="22"/>
      <c r="VAF21" s="22"/>
      <c r="VAG21" s="22"/>
      <c r="VAH21" s="22"/>
      <c r="VAI21" s="22"/>
      <c r="VAJ21" s="22"/>
      <c r="VAK21" s="22"/>
      <c r="VAL21" s="22"/>
      <c r="VAM21" s="22"/>
      <c r="VAN21" s="22"/>
      <c r="VAO21" s="22"/>
      <c r="VAP21" s="22"/>
      <c r="VAQ21" s="22"/>
      <c r="VAR21" s="22"/>
      <c r="VAS21" s="22"/>
      <c r="VAT21" s="22"/>
      <c r="VAU21" s="22"/>
      <c r="VAV21" s="22"/>
      <c r="VAW21" s="22"/>
      <c r="VAX21" s="22"/>
      <c r="VAY21" s="22"/>
      <c r="VAZ21" s="22"/>
      <c r="VBA21" s="22"/>
      <c r="VBB21" s="22"/>
      <c r="VBC21" s="22"/>
      <c r="VBD21" s="22"/>
      <c r="VBE21" s="22"/>
      <c r="VBF21" s="22"/>
      <c r="VBG21" s="22"/>
      <c r="VBH21" s="22"/>
      <c r="VBI21" s="22"/>
      <c r="VBJ21" s="22"/>
      <c r="VBK21" s="22"/>
      <c r="VBL21" s="22"/>
      <c r="VBM21" s="22"/>
      <c r="VBN21" s="22"/>
      <c r="VBO21" s="22"/>
      <c r="VBP21" s="22"/>
      <c r="VBQ21" s="22"/>
      <c r="VBR21" s="22"/>
      <c r="VBS21" s="22"/>
      <c r="VBT21" s="22"/>
      <c r="VBU21" s="22"/>
      <c r="VBV21" s="22"/>
      <c r="VBW21" s="22"/>
      <c r="VBX21" s="22"/>
      <c r="VBY21" s="22"/>
      <c r="VBZ21" s="22"/>
      <c r="VCA21" s="22"/>
      <c r="VCB21" s="22"/>
      <c r="VCC21" s="22"/>
      <c r="VCD21" s="22"/>
      <c r="VCE21" s="22"/>
      <c r="VCF21" s="22"/>
      <c r="VCG21" s="22"/>
      <c r="VCH21" s="22"/>
      <c r="VCI21" s="22"/>
      <c r="VCJ21" s="22"/>
      <c r="VCK21" s="22"/>
      <c r="VCL21" s="22"/>
      <c r="VCM21" s="22"/>
      <c r="VCN21" s="22"/>
      <c r="VCO21" s="22"/>
      <c r="VCP21" s="22"/>
      <c r="VCQ21" s="22"/>
      <c r="VCR21" s="22"/>
      <c r="VCS21" s="22"/>
      <c r="VCT21" s="22"/>
      <c r="VCU21" s="22"/>
      <c r="VCV21" s="22"/>
      <c r="VCW21" s="22"/>
      <c r="VCX21" s="22"/>
      <c r="VCY21" s="22"/>
      <c r="VCZ21" s="22"/>
      <c r="VDA21" s="22"/>
      <c r="VDB21" s="22"/>
      <c r="VDC21" s="22"/>
      <c r="VDD21" s="22"/>
      <c r="VDE21" s="22"/>
      <c r="VDF21" s="22"/>
      <c r="VDG21" s="22"/>
      <c r="VDH21" s="22"/>
      <c r="VDI21" s="22"/>
      <c r="VDJ21" s="22"/>
      <c r="VDK21" s="22"/>
      <c r="VDL21" s="22"/>
      <c r="VDM21" s="22"/>
      <c r="VDN21" s="22"/>
      <c r="VDO21" s="22"/>
      <c r="VDP21" s="22"/>
      <c r="VDQ21" s="22"/>
      <c r="VDR21" s="22"/>
      <c r="VDS21" s="22"/>
      <c r="VDT21" s="22"/>
      <c r="VDU21" s="22"/>
      <c r="VDV21" s="22"/>
      <c r="VDW21" s="22"/>
      <c r="VDX21" s="22"/>
      <c r="VDY21" s="22"/>
      <c r="VDZ21" s="22"/>
      <c r="VEA21" s="22"/>
      <c r="VEB21" s="22"/>
      <c r="VEC21" s="22"/>
      <c r="VED21" s="22"/>
      <c r="VEE21" s="22"/>
      <c r="VEF21" s="22"/>
      <c r="VEG21" s="22"/>
      <c r="VEH21" s="22"/>
      <c r="VEI21" s="22"/>
      <c r="VEJ21" s="22"/>
      <c r="VEK21" s="22"/>
      <c r="VEL21" s="22"/>
      <c r="VEM21" s="22"/>
      <c r="VEN21" s="22"/>
      <c r="VEO21" s="22"/>
      <c r="VEP21" s="22"/>
      <c r="VEQ21" s="22"/>
      <c r="VER21" s="22"/>
      <c r="VES21" s="22"/>
      <c r="VET21" s="22"/>
      <c r="VEU21" s="22"/>
      <c r="VEV21" s="22"/>
      <c r="VEW21" s="22"/>
      <c r="VEX21" s="22"/>
      <c r="VEY21" s="22"/>
      <c r="VEZ21" s="22"/>
      <c r="VFA21" s="22"/>
      <c r="VFB21" s="22"/>
      <c r="VFC21" s="22"/>
      <c r="VFD21" s="22"/>
      <c r="VFE21" s="22"/>
      <c r="VFF21" s="22"/>
      <c r="VFG21" s="22"/>
      <c r="VFH21" s="22"/>
      <c r="VFI21" s="22"/>
      <c r="VFJ21" s="22"/>
      <c r="VFK21" s="22"/>
      <c r="VFL21" s="22"/>
      <c r="VFM21" s="22"/>
      <c r="VFN21" s="22"/>
      <c r="VFO21" s="22"/>
      <c r="VFP21" s="22"/>
      <c r="VFQ21" s="22"/>
      <c r="VFR21" s="22"/>
      <c r="VFS21" s="22"/>
      <c r="VFT21" s="22"/>
      <c r="VFU21" s="22"/>
      <c r="VFV21" s="22"/>
      <c r="VFW21" s="22"/>
      <c r="VFX21" s="22"/>
      <c r="VFY21" s="22"/>
      <c r="VFZ21" s="22"/>
      <c r="VGA21" s="22"/>
      <c r="VGB21" s="22"/>
      <c r="VGC21" s="22"/>
      <c r="VGD21" s="22"/>
      <c r="VGE21" s="22"/>
      <c r="VGF21" s="22"/>
      <c r="VGG21" s="22"/>
      <c r="VGH21" s="22"/>
      <c r="VGI21" s="22"/>
      <c r="VGJ21" s="22"/>
      <c r="VGK21" s="22"/>
      <c r="VGL21" s="22"/>
      <c r="VGM21" s="22"/>
      <c r="VGN21" s="22"/>
      <c r="VGO21" s="22"/>
      <c r="VGP21" s="22"/>
      <c r="VGQ21" s="22"/>
      <c r="VGR21" s="22"/>
      <c r="VGS21" s="22"/>
      <c r="VGT21" s="22"/>
      <c r="VGU21" s="22"/>
      <c r="VGV21" s="22"/>
      <c r="VGW21" s="22"/>
      <c r="VGX21" s="22"/>
      <c r="VGY21" s="22"/>
      <c r="VGZ21" s="22"/>
      <c r="VHA21" s="22"/>
      <c r="VHB21" s="22"/>
      <c r="VHC21" s="22"/>
      <c r="VHD21" s="22"/>
      <c r="VHE21" s="22"/>
      <c r="VHF21" s="22"/>
      <c r="VHG21" s="22"/>
      <c r="VHH21" s="22"/>
      <c r="VHI21" s="22"/>
      <c r="VHJ21" s="22"/>
      <c r="VHK21" s="22"/>
      <c r="VHL21" s="22"/>
      <c r="VHM21" s="22"/>
      <c r="VHN21" s="22"/>
      <c r="VHO21" s="22"/>
      <c r="VHP21" s="22"/>
      <c r="VHQ21" s="22"/>
      <c r="VHR21" s="22"/>
      <c r="VHS21" s="22"/>
      <c r="VHT21" s="22"/>
      <c r="VHU21" s="22"/>
      <c r="VHV21" s="22"/>
      <c r="VHW21" s="22"/>
      <c r="VHX21" s="22"/>
      <c r="VHY21" s="22"/>
      <c r="VHZ21" s="22"/>
      <c r="VIA21" s="22"/>
      <c r="VIB21" s="22"/>
      <c r="VIC21" s="22"/>
      <c r="VID21" s="22"/>
      <c r="VIE21" s="22"/>
      <c r="VIF21" s="22"/>
      <c r="VIG21" s="22"/>
      <c r="VIH21" s="22"/>
      <c r="VII21" s="22"/>
      <c r="VIJ21" s="22"/>
      <c r="VIK21" s="22"/>
      <c r="VIL21" s="22"/>
      <c r="VIM21" s="22"/>
      <c r="VIN21" s="22"/>
      <c r="VIO21" s="22"/>
      <c r="VIP21" s="22"/>
      <c r="VIQ21" s="22"/>
      <c r="VIR21" s="22"/>
      <c r="VIS21" s="22"/>
      <c r="VIT21" s="22"/>
      <c r="VIU21" s="22"/>
      <c r="VIV21" s="22"/>
      <c r="VIW21" s="22"/>
      <c r="VIX21" s="22"/>
      <c r="VIY21" s="22"/>
      <c r="VIZ21" s="22"/>
      <c r="VJA21" s="22"/>
      <c r="VJB21" s="22"/>
      <c r="VJC21" s="22"/>
      <c r="VJD21" s="22"/>
      <c r="VJE21" s="22"/>
      <c r="VJF21" s="22"/>
      <c r="VJG21" s="22"/>
      <c r="VJH21" s="22"/>
      <c r="VJI21" s="22"/>
      <c r="VJJ21" s="22"/>
      <c r="VJK21" s="22"/>
      <c r="VJL21" s="22"/>
      <c r="VJM21" s="22"/>
      <c r="VJN21" s="22"/>
      <c r="VJO21" s="22"/>
      <c r="VJP21" s="22"/>
      <c r="VJQ21" s="22"/>
      <c r="VJR21" s="22"/>
      <c r="VJS21" s="22"/>
      <c r="VJT21" s="22"/>
      <c r="VJU21" s="22"/>
      <c r="VJV21" s="22"/>
      <c r="VJW21" s="22"/>
      <c r="VJX21" s="22"/>
      <c r="VJY21" s="22"/>
      <c r="VJZ21" s="22"/>
      <c r="VKA21" s="22"/>
      <c r="VKB21" s="22"/>
      <c r="VKC21" s="22"/>
      <c r="VKD21" s="22"/>
      <c r="VKE21" s="22"/>
      <c r="VKF21" s="22"/>
      <c r="VKG21" s="22"/>
      <c r="VKH21" s="22"/>
      <c r="VKI21" s="22"/>
      <c r="VKJ21" s="22"/>
      <c r="VKK21" s="22"/>
      <c r="VKL21" s="22"/>
      <c r="VKM21" s="22"/>
      <c r="VKN21" s="22"/>
      <c r="VKO21" s="22"/>
      <c r="VKP21" s="22"/>
      <c r="VKQ21" s="22"/>
      <c r="VKR21" s="22"/>
      <c r="VKS21" s="22"/>
      <c r="VKT21" s="22"/>
      <c r="VKU21" s="22"/>
      <c r="VKV21" s="22"/>
      <c r="VKW21" s="22"/>
      <c r="VKX21" s="22"/>
      <c r="VKY21" s="22"/>
      <c r="VKZ21" s="22"/>
      <c r="VLA21" s="22"/>
      <c r="VLB21" s="22"/>
      <c r="VLC21" s="22"/>
      <c r="VLD21" s="22"/>
      <c r="VLE21" s="22"/>
      <c r="VLF21" s="22"/>
      <c r="VLG21" s="22"/>
      <c r="VLH21" s="22"/>
      <c r="VLI21" s="22"/>
      <c r="VLJ21" s="22"/>
      <c r="VLK21" s="22"/>
      <c r="VLL21" s="22"/>
      <c r="VLM21" s="22"/>
      <c r="VLN21" s="22"/>
      <c r="VLO21" s="22"/>
      <c r="VLP21" s="22"/>
      <c r="VLQ21" s="22"/>
      <c r="VLR21" s="22"/>
      <c r="VLS21" s="22"/>
      <c r="VLT21" s="22"/>
      <c r="VLU21" s="22"/>
      <c r="VLV21" s="22"/>
      <c r="VLW21" s="22"/>
      <c r="VLX21" s="22"/>
      <c r="VLY21" s="22"/>
      <c r="VLZ21" s="22"/>
      <c r="VMA21" s="22"/>
      <c r="VMB21" s="22"/>
      <c r="VMC21" s="22"/>
      <c r="VMD21" s="22"/>
      <c r="VME21" s="22"/>
      <c r="VMF21" s="22"/>
      <c r="VMG21" s="22"/>
      <c r="VMH21" s="22"/>
      <c r="VMI21" s="22"/>
      <c r="VMJ21" s="22"/>
      <c r="VMK21" s="22"/>
      <c r="VML21" s="22"/>
      <c r="VMM21" s="22"/>
      <c r="VMN21" s="22"/>
      <c r="VMO21" s="22"/>
      <c r="VMP21" s="22"/>
      <c r="VMQ21" s="22"/>
      <c r="VMR21" s="22"/>
      <c r="VMS21" s="22"/>
      <c r="VMT21" s="22"/>
      <c r="VMU21" s="22"/>
      <c r="VMV21" s="22"/>
      <c r="VMW21" s="22"/>
      <c r="VMX21" s="22"/>
      <c r="VMY21" s="22"/>
      <c r="VMZ21" s="22"/>
      <c r="VNA21" s="22"/>
      <c r="VNB21" s="22"/>
      <c r="VNC21" s="22"/>
      <c r="VND21" s="22"/>
      <c r="VNE21" s="22"/>
      <c r="VNF21" s="22"/>
      <c r="VNG21" s="22"/>
      <c r="VNH21" s="22"/>
      <c r="VNI21" s="22"/>
      <c r="VNJ21" s="22"/>
      <c r="VNK21" s="22"/>
      <c r="VNL21" s="22"/>
      <c r="VNM21" s="22"/>
      <c r="VNN21" s="22"/>
      <c r="VNO21" s="22"/>
      <c r="VNP21" s="22"/>
      <c r="VNQ21" s="22"/>
      <c r="VNR21" s="22"/>
      <c r="VNS21" s="22"/>
      <c r="VNT21" s="22"/>
      <c r="VNU21" s="22"/>
      <c r="VNV21" s="22"/>
      <c r="VNW21" s="22"/>
      <c r="VNX21" s="22"/>
      <c r="VNY21" s="22"/>
      <c r="VNZ21" s="22"/>
      <c r="VOA21" s="22"/>
      <c r="VOB21" s="22"/>
      <c r="VOC21" s="22"/>
      <c r="VOD21" s="22"/>
      <c r="VOE21" s="22"/>
      <c r="VOF21" s="22"/>
      <c r="VOG21" s="22"/>
      <c r="VOH21" s="22"/>
      <c r="VOI21" s="22"/>
      <c r="VOJ21" s="22"/>
      <c r="VOK21" s="22"/>
      <c r="VOL21" s="22"/>
      <c r="VOM21" s="22"/>
      <c r="VON21" s="22"/>
      <c r="VOO21" s="22"/>
      <c r="VOP21" s="22"/>
      <c r="VOQ21" s="22"/>
      <c r="VOR21" s="22"/>
      <c r="VOS21" s="22"/>
      <c r="VOT21" s="22"/>
      <c r="VOU21" s="22"/>
      <c r="VOV21" s="22"/>
      <c r="VOW21" s="22"/>
      <c r="VOX21" s="22"/>
      <c r="VOY21" s="22"/>
      <c r="VOZ21" s="22"/>
      <c r="VPA21" s="22"/>
      <c r="VPB21" s="22"/>
      <c r="VPC21" s="22"/>
      <c r="VPD21" s="22"/>
      <c r="VPE21" s="22"/>
      <c r="VPF21" s="22"/>
      <c r="VPG21" s="22"/>
      <c r="VPH21" s="22"/>
      <c r="VPI21" s="22"/>
      <c r="VPJ21" s="22"/>
      <c r="VPK21" s="22"/>
      <c r="VPL21" s="22"/>
      <c r="VPM21" s="22"/>
      <c r="VPN21" s="22"/>
      <c r="VPO21" s="22"/>
      <c r="VPP21" s="22"/>
      <c r="VPQ21" s="22"/>
      <c r="VPR21" s="22"/>
      <c r="VPS21" s="22"/>
      <c r="VPT21" s="22"/>
      <c r="VPU21" s="22"/>
      <c r="VPV21" s="22"/>
      <c r="VPW21" s="22"/>
      <c r="VPX21" s="22"/>
      <c r="VPY21" s="22"/>
      <c r="VPZ21" s="22"/>
      <c r="VQA21" s="22"/>
      <c r="VQB21" s="22"/>
      <c r="VQC21" s="22"/>
      <c r="VQD21" s="22"/>
      <c r="VQE21" s="22"/>
      <c r="VQF21" s="22"/>
      <c r="VQG21" s="22"/>
      <c r="VQH21" s="22"/>
      <c r="VQI21" s="22"/>
      <c r="VQJ21" s="22"/>
      <c r="VQK21" s="22"/>
      <c r="VQL21" s="22"/>
      <c r="VQM21" s="22"/>
      <c r="VQN21" s="22"/>
      <c r="VQO21" s="22"/>
      <c r="VQP21" s="22"/>
      <c r="VQQ21" s="22"/>
      <c r="VQR21" s="22"/>
      <c r="VQS21" s="22"/>
      <c r="VQT21" s="22"/>
      <c r="VQU21" s="22"/>
      <c r="VQV21" s="22"/>
      <c r="VQW21" s="22"/>
      <c r="VQX21" s="22"/>
      <c r="VQY21" s="22"/>
      <c r="VQZ21" s="22"/>
      <c r="VRA21" s="22"/>
      <c r="VRB21" s="22"/>
      <c r="VRC21" s="22"/>
      <c r="VRD21" s="22"/>
      <c r="VRE21" s="22"/>
      <c r="VRF21" s="22"/>
      <c r="VRG21" s="22"/>
      <c r="VRH21" s="22"/>
      <c r="VRI21" s="22"/>
      <c r="VRJ21" s="22"/>
      <c r="VRK21" s="22"/>
      <c r="VRL21" s="22"/>
      <c r="VRM21" s="22"/>
      <c r="VRN21" s="22"/>
      <c r="VRO21" s="22"/>
      <c r="VRP21" s="22"/>
      <c r="VRQ21" s="22"/>
      <c r="VRR21" s="22"/>
      <c r="VRS21" s="22"/>
      <c r="VRT21" s="22"/>
      <c r="VRU21" s="22"/>
      <c r="VRV21" s="22"/>
      <c r="VRW21" s="22"/>
      <c r="VRX21" s="22"/>
      <c r="VRY21" s="22"/>
      <c r="VRZ21" s="22"/>
      <c r="VSA21" s="22"/>
      <c r="VSB21" s="22"/>
      <c r="VSC21" s="22"/>
      <c r="VSD21" s="22"/>
      <c r="VSE21" s="22"/>
      <c r="VSF21" s="22"/>
      <c r="VSG21" s="22"/>
      <c r="VSH21" s="22"/>
      <c r="VSI21" s="22"/>
      <c r="VSJ21" s="22"/>
      <c r="VSK21" s="22"/>
      <c r="VSL21" s="22"/>
      <c r="VSM21" s="22"/>
      <c r="VSN21" s="22"/>
      <c r="VSO21" s="22"/>
      <c r="VSP21" s="22"/>
      <c r="VSQ21" s="22"/>
      <c r="VSR21" s="22"/>
      <c r="VSS21" s="22"/>
      <c r="VST21" s="22"/>
      <c r="VSU21" s="22"/>
      <c r="VSV21" s="22"/>
      <c r="VSW21" s="22"/>
      <c r="VSX21" s="22"/>
      <c r="VSY21" s="22"/>
      <c r="VSZ21" s="22"/>
      <c r="VTA21" s="22"/>
      <c r="VTB21" s="22"/>
      <c r="VTC21" s="22"/>
      <c r="VTD21" s="22"/>
      <c r="VTE21" s="22"/>
      <c r="VTF21" s="22"/>
      <c r="VTG21" s="22"/>
      <c r="VTH21" s="22"/>
      <c r="VTI21" s="22"/>
      <c r="VTJ21" s="22"/>
      <c r="VTK21" s="22"/>
      <c r="VTL21" s="22"/>
      <c r="VTM21" s="22"/>
      <c r="VTN21" s="22"/>
      <c r="VTO21" s="22"/>
      <c r="VTP21" s="22"/>
      <c r="VTQ21" s="22"/>
      <c r="VTR21" s="22"/>
      <c r="VTS21" s="22"/>
      <c r="VTT21" s="22"/>
      <c r="VTU21" s="22"/>
      <c r="VTV21" s="22"/>
      <c r="VTW21" s="22"/>
      <c r="VTX21" s="22"/>
      <c r="VTY21" s="22"/>
      <c r="VTZ21" s="22"/>
      <c r="VUA21" s="22"/>
      <c r="VUB21" s="22"/>
      <c r="VUC21" s="22"/>
      <c r="VUD21" s="22"/>
      <c r="VUE21" s="22"/>
      <c r="VUF21" s="22"/>
      <c r="VUG21" s="22"/>
      <c r="VUH21" s="22"/>
      <c r="VUI21" s="22"/>
      <c r="VUJ21" s="22"/>
      <c r="VUK21" s="22"/>
      <c r="VUL21" s="22"/>
      <c r="VUM21" s="22"/>
      <c r="VUN21" s="22"/>
      <c r="VUO21" s="22"/>
      <c r="VUP21" s="22"/>
      <c r="VUQ21" s="22"/>
      <c r="VUR21" s="22"/>
      <c r="VUS21" s="22"/>
      <c r="VUT21" s="22"/>
      <c r="VUU21" s="22"/>
      <c r="VUV21" s="22"/>
      <c r="VUW21" s="22"/>
      <c r="VUX21" s="22"/>
      <c r="VUY21" s="22"/>
      <c r="VUZ21" s="22"/>
      <c r="VVA21" s="22"/>
      <c r="VVB21" s="22"/>
      <c r="VVC21" s="22"/>
      <c r="VVD21" s="22"/>
      <c r="VVE21" s="22"/>
      <c r="VVF21" s="22"/>
      <c r="VVG21" s="22"/>
      <c r="VVH21" s="22"/>
      <c r="VVI21" s="22"/>
      <c r="VVJ21" s="22"/>
      <c r="VVK21" s="22"/>
      <c r="VVL21" s="22"/>
      <c r="VVM21" s="22"/>
      <c r="VVN21" s="22"/>
      <c r="VVO21" s="22"/>
      <c r="VVP21" s="22"/>
      <c r="VVQ21" s="22"/>
      <c r="VVR21" s="22"/>
      <c r="VVS21" s="22"/>
      <c r="VVT21" s="22"/>
      <c r="VVU21" s="22"/>
      <c r="VVV21" s="22"/>
      <c r="VVW21" s="22"/>
      <c r="VVX21" s="22"/>
      <c r="VVY21" s="22"/>
      <c r="VVZ21" s="22"/>
      <c r="VWA21" s="22"/>
      <c r="VWB21" s="22"/>
      <c r="VWC21" s="22"/>
      <c r="VWD21" s="22"/>
      <c r="VWE21" s="22"/>
      <c r="VWF21" s="22"/>
      <c r="VWG21" s="22"/>
      <c r="VWH21" s="22"/>
      <c r="VWI21" s="22"/>
      <c r="VWJ21" s="22"/>
      <c r="VWK21" s="22"/>
      <c r="VWL21" s="22"/>
      <c r="VWM21" s="22"/>
      <c r="VWN21" s="22"/>
      <c r="VWO21" s="22"/>
      <c r="VWP21" s="22"/>
      <c r="VWQ21" s="22"/>
      <c r="VWR21" s="22"/>
      <c r="VWS21" s="22"/>
      <c r="VWT21" s="22"/>
      <c r="VWU21" s="22"/>
      <c r="VWV21" s="22"/>
      <c r="VWW21" s="22"/>
      <c r="VWX21" s="22"/>
      <c r="VWY21" s="22"/>
      <c r="VWZ21" s="22"/>
      <c r="VXA21" s="22"/>
      <c r="VXB21" s="22"/>
      <c r="VXC21" s="22"/>
      <c r="VXD21" s="22"/>
      <c r="VXE21" s="22"/>
      <c r="VXF21" s="22"/>
      <c r="VXG21" s="22"/>
      <c r="VXH21" s="22"/>
      <c r="VXI21" s="22"/>
      <c r="VXJ21" s="22"/>
      <c r="VXK21" s="22"/>
      <c r="VXL21" s="22"/>
      <c r="VXM21" s="22"/>
      <c r="VXN21" s="22"/>
      <c r="VXO21" s="22"/>
      <c r="VXP21" s="22"/>
      <c r="VXQ21" s="22"/>
      <c r="VXR21" s="22"/>
      <c r="VXS21" s="22"/>
      <c r="VXT21" s="22"/>
      <c r="VXU21" s="22"/>
      <c r="VXV21" s="22"/>
      <c r="VXW21" s="22"/>
      <c r="VXX21" s="22"/>
      <c r="VXY21" s="22"/>
      <c r="VXZ21" s="22"/>
      <c r="VYA21" s="22"/>
      <c r="VYB21" s="22"/>
      <c r="VYC21" s="22"/>
      <c r="VYD21" s="22"/>
      <c r="VYE21" s="22"/>
      <c r="VYF21" s="22"/>
      <c r="VYG21" s="22"/>
      <c r="VYH21" s="22"/>
      <c r="VYI21" s="22"/>
      <c r="VYJ21" s="22"/>
      <c r="VYK21" s="22"/>
      <c r="VYL21" s="22"/>
      <c r="VYM21" s="22"/>
      <c r="VYN21" s="22"/>
      <c r="VYO21" s="22"/>
      <c r="VYP21" s="22"/>
      <c r="VYQ21" s="22"/>
      <c r="VYR21" s="22"/>
      <c r="VYS21" s="22"/>
      <c r="VYT21" s="22"/>
      <c r="VYU21" s="22"/>
      <c r="VYV21" s="22"/>
      <c r="VYW21" s="22"/>
      <c r="VYX21" s="22"/>
      <c r="VYY21" s="22"/>
      <c r="VYZ21" s="22"/>
      <c r="VZA21" s="22"/>
      <c r="VZB21" s="22"/>
      <c r="VZC21" s="22"/>
      <c r="VZD21" s="22"/>
      <c r="VZE21" s="22"/>
      <c r="VZF21" s="22"/>
      <c r="VZG21" s="22"/>
      <c r="VZH21" s="22"/>
      <c r="VZI21" s="22"/>
      <c r="VZJ21" s="22"/>
      <c r="VZK21" s="22"/>
      <c r="VZL21" s="22"/>
      <c r="VZM21" s="22"/>
      <c r="VZN21" s="22"/>
      <c r="VZO21" s="22"/>
      <c r="VZP21" s="22"/>
      <c r="VZQ21" s="22"/>
      <c r="VZR21" s="22"/>
      <c r="VZS21" s="22"/>
      <c r="VZT21" s="22"/>
      <c r="VZU21" s="22"/>
      <c r="VZV21" s="22"/>
      <c r="VZW21" s="22"/>
      <c r="VZX21" s="22"/>
      <c r="VZY21" s="22"/>
      <c r="VZZ21" s="22"/>
      <c r="WAA21" s="22"/>
      <c r="WAB21" s="22"/>
      <c r="WAC21" s="22"/>
      <c r="WAD21" s="22"/>
      <c r="WAE21" s="22"/>
      <c r="WAF21" s="22"/>
      <c r="WAG21" s="22"/>
      <c r="WAH21" s="22"/>
      <c r="WAI21" s="22"/>
      <c r="WAJ21" s="22"/>
      <c r="WAK21" s="22"/>
      <c r="WAL21" s="22"/>
      <c r="WAM21" s="22"/>
      <c r="WAN21" s="22"/>
      <c r="WAO21" s="22"/>
      <c r="WAP21" s="22"/>
      <c r="WAQ21" s="22"/>
      <c r="WAR21" s="22"/>
      <c r="WAS21" s="22"/>
      <c r="WAT21" s="22"/>
      <c r="WAU21" s="22"/>
      <c r="WAV21" s="22"/>
      <c r="WAW21" s="22"/>
      <c r="WAX21" s="22"/>
      <c r="WAY21" s="22"/>
      <c r="WAZ21" s="22"/>
      <c r="WBA21" s="22"/>
      <c r="WBB21" s="22"/>
      <c r="WBC21" s="22"/>
      <c r="WBD21" s="22"/>
      <c r="WBE21" s="22"/>
      <c r="WBF21" s="22"/>
      <c r="WBG21" s="22"/>
      <c r="WBH21" s="22"/>
      <c r="WBI21" s="22"/>
      <c r="WBJ21" s="22"/>
      <c r="WBK21" s="22"/>
      <c r="WBL21" s="22"/>
      <c r="WBM21" s="22"/>
      <c r="WBN21" s="22"/>
      <c r="WBO21" s="22"/>
      <c r="WBP21" s="22"/>
      <c r="WBQ21" s="22"/>
      <c r="WBR21" s="22"/>
      <c r="WBS21" s="22"/>
      <c r="WBT21" s="22"/>
      <c r="WBU21" s="22"/>
      <c r="WBV21" s="22"/>
      <c r="WBW21" s="22"/>
      <c r="WBX21" s="22"/>
      <c r="WBY21" s="22"/>
      <c r="WBZ21" s="22"/>
      <c r="WCA21" s="22"/>
      <c r="WCB21" s="22"/>
      <c r="WCC21" s="22"/>
      <c r="WCD21" s="22"/>
      <c r="WCE21" s="22"/>
      <c r="WCF21" s="22"/>
      <c r="WCG21" s="22"/>
      <c r="WCH21" s="22"/>
      <c r="WCI21" s="22"/>
      <c r="WCJ21" s="22"/>
      <c r="WCK21" s="22"/>
      <c r="WCL21" s="22"/>
      <c r="WCM21" s="22"/>
      <c r="WCN21" s="22"/>
      <c r="WCO21" s="22"/>
      <c r="WCP21" s="22"/>
      <c r="WCQ21" s="22"/>
      <c r="WCR21" s="22"/>
      <c r="WCS21" s="22"/>
      <c r="WCT21" s="22"/>
      <c r="WCU21" s="22"/>
      <c r="WCV21" s="22"/>
      <c r="WCW21" s="22"/>
      <c r="WCX21" s="22"/>
      <c r="WCY21" s="22"/>
      <c r="WCZ21" s="22"/>
      <c r="WDA21" s="22"/>
      <c r="WDB21" s="22"/>
      <c r="WDC21" s="22"/>
      <c r="WDD21" s="22"/>
      <c r="WDE21" s="22"/>
      <c r="WDF21" s="22"/>
      <c r="WDG21" s="22"/>
      <c r="WDH21" s="22"/>
      <c r="WDI21" s="22"/>
      <c r="WDJ21" s="22"/>
      <c r="WDK21" s="22"/>
      <c r="WDL21" s="22"/>
      <c r="WDM21" s="22"/>
      <c r="WDN21" s="22"/>
      <c r="WDO21" s="22"/>
      <c r="WDP21" s="22"/>
      <c r="WDQ21" s="22"/>
      <c r="WDR21" s="22"/>
      <c r="WDS21" s="22"/>
      <c r="WDT21" s="22"/>
      <c r="WDU21" s="22"/>
      <c r="WDV21" s="22"/>
      <c r="WDW21" s="22"/>
      <c r="WDX21" s="22"/>
      <c r="WDY21" s="22"/>
      <c r="WDZ21" s="22"/>
      <c r="WEA21" s="22"/>
      <c r="WEB21" s="22"/>
      <c r="WEC21" s="22"/>
      <c r="WED21" s="22"/>
      <c r="WEE21" s="22"/>
      <c r="WEF21" s="22"/>
      <c r="WEG21" s="22"/>
      <c r="WEH21" s="22"/>
      <c r="WEI21" s="22"/>
      <c r="WEJ21" s="22"/>
      <c r="WEK21" s="22"/>
      <c r="WEL21" s="22"/>
      <c r="WEM21" s="22"/>
      <c r="WEN21" s="22"/>
      <c r="WEO21" s="22"/>
      <c r="WEP21" s="22"/>
      <c r="WEQ21" s="22"/>
      <c r="WER21" s="22"/>
      <c r="WES21" s="22"/>
      <c r="WET21" s="22"/>
      <c r="WEU21" s="22"/>
      <c r="WEV21" s="22"/>
      <c r="WEW21" s="22"/>
      <c r="WEX21" s="22"/>
      <c r="WEY21" s="22"/>
      <c r="WEZ21" s="22"/>
      <c r="WFA21" s="22"/>
      <c r="WFB21" s="22"/>
      <c r="WFC21" s="22"/>
      <c r="WFD21" s="22"/>
      <c r="WFE21" s="22"/>
      <c r="WFF21" s="22"/>
      <c r="WFG21" s="22"/>
      <c r="WFH21" s="22"/>
      <c r="WFI21" s="22"/>
      <c r="WFJ21" s="22"/>
      <c r="WFK21" s="22"/>
      <c r="WFL21" s="22"/>
      <c r="WFM21" s="22"/>
      <c r="WFN21" s="22"/>
      <c r="WFO21" s="22"/>
      <c r="WFP21" s="22"/>
      <c r="WFQ21" s="22"/>
      <c r="WFR21" s="22"/>
      <c r="WFS21" s="22"/>
      <c r="WFT21" s="22"/>
      <c r="WFU21" s="22"/>
      <c r="WFV21" s="22"/>
      <c r="WFW21" s="22"/>
      <c r="WFX21" s="22"/>
      <c r="WFY21" s="22"/>
      <c r="WFZ21" s="22"/>
      <c r="WGA21" s="22"/>
      <c r="WGB21" s="22"/>
      <c r="WGC21" s="22"/>
      <c r="WGD21" s="22"/>
      <c r="WGE21" s="22"/>
      <c r="WGF21" s="22"/>
      <c r="WGG21" s="22"/>
      <c r="WGH21" s="22"/>
      <c r="WGI21" s="22"/>
      <c r="WGJ21" s="22"/>
      <c r="WGK21" s="22"/>
      <c r="WGL21" s="22"/>
      <c r="WGM21" s="22"/>
      <c r="WGN21" s="22"/>
      <c r="WGO21" s="22"/>
      <c r="WGP21" s="22"/>
      <c r="WGQ21" s="22"/>
      <c r="WGR21" s="22"/>
      <c r="WGS21" s="22"/>
      <c r="WGT21" s="22"/>
      <c r="WGU21" s="22"/>
      <c r="WGV21" s="22"/>
      <c r="WGW21" s="22"/>
      <c r="WGX21" s="22"/>
      <c r="WGY21" s="22"/>
      <c r="WGZ21" s="22"/>
      <c r="WHA21" s="22"/>
      <c r="WHB21" s="22"/>
      <c r="WHC21" s="22"/>
      <c r="WHD21" s="22"/>
      <c r="WHE21" s="22"/>
      <c r="WHF21" s="22"/>
      <c r="WHG21" s="22"/>
      <c r="WHH21" s="22"/>
      <c r="WHI21" s="22"/>
      <c r="WHJ21" s="22"/>
      <c r="WHK21" s="22"/>
      <c r="WHL21" s="22"/>
      <c r="WHM21" s="22"/>
      <c r="WHN21" s="22"/>
      <c r="WHO21" s="22"/>
      <c r="WHP21" s="22"/>
      <c r="WHQ21" s="22"/>
      <c r="WHR21" s="22"/>
      <c r="WHS21" s="22"/>
      <c r="WHT21" s="22"/>
      <c r="WHU21" s="22"/>
      <c r="WHV21" s="22"/>
      <c r="WHW21" s="22"/>
      <c r="WHX21" s="22"/>
      <c r="WHY21" s="22"/>
      <c r="WHZ21" s="22"/>
      <c r="WIA21" s="22"/>
      <c r="WIB21" s="22"/>
      <c r="WIC21" s="22"/>
      <c r="WID21" s="22"/>
      <c r="WIE21" s="22"/>
      <c r="WIF21" s="22"/>
      <c r="WIG21" s="22"/>
      <c r="WIH21" s="22"/>
      <c r="WII21" s="22"/>
      <c r="WIJ21" s="22"/>
      <c r="WIK21" s="22"/>
      <c r="WIL21" s="22"/>
      <c r="WIM21" s="22"/>
      <c r="WIN21" s="22"/>
      <c r="WIO21" s="22"/>
      <c r="WIP21" s="22"/>
      <c r="WIQ21" s="22"/>
      <c r="WIR21" s="22"/>
      <c r="WIS21" s="22"/>
      <c r="WIT21" s="22"/>
      <c r="WIU21" s="22"/>
      <c r="WIV21" s="22"/>
      <c r="WIW21" s="22"/>
      <c r="WIX21" s="22"/>
      <c r="WIY21" s="22"/>
      <c r="WIZ21" s="22"/>
      <c r="WJA21" s="22"/>
      <c r="WJB21" s="22"/>
      <c r="WJC21" s="22"/>
      <c r="WJD21" s="22"/>
      <c r="WJE21" s="22"/>
      <c r="WJF21" s="22"/>
      <c r="WJG21" s="22"/>
      <c r="WJH21" s="22"/>
      <c r="WJI21" s="22"/>
      <c r="WJJ21" s="22"/>
      <c r="WJK21" s="22"/>
      <c r="WJL21" s="22"/>
      <c r="WJM21" s="22"/>
      <c r="WJN21" s="22"/>
      <c r="WJO21" s="22"/>
      <c r="WJP21" s="22"/>
      <c r="WJQ21" s="22"/>
      <c r="WJR21" s="22"/>
      <c r="WJS21" s="22"/>
      <c r="WJT21" s="22"/>
      <c r="WJU21" s="22"/>
      <c r="WJV21" s="22"/>
      <c r="WJW21" s="22"/>
      <c r="WJX21" s="22"/>
      <c r="WJY21" s="22"/>
      <c r="WJZ21" s="22"/>
      <c r="WKA21" s="22"/>
      <c r="WKB21" s="22"/>
      <c r="WKC21" s="22"/>
      <c r="WKD21" s="22"/>
      <c r="WKE21" s="22"/>
      <c r="WKF21" s="22"/>
      <c r="WKG21" s="22"/>
      <c r="WKH21" s="22"/>
      <c r="WKI21" s="22"/>
      <c r="WKJ21" s="22"/>
      <c r="WKK21" s="22"/>
      <c r="WKL21" s="22"/>
      <c r="WKM21" s="22"/>
      <c r="WKN21" s="22"/>
      <c r="WKO21" s="22"/>
      <c r="WKP21" s="22"/>
      <c r="WKQ21" s="22"/>
      <c r="WKR21" s="22"/>
      <c r="WKS21" s="22"/>
      <c r="WKT21" s="22"/>
      <c r="WKU21" s="22"/>
      <c r="WKV21" s="22"/>
      <c r="WKW21" s="22"/>
      <c r="WKX21" s="22"/>
      <c r="WKY21" s="22"/>
      <c r="WKZ21" s="22"/>
      <c r="WLA21" s="22"/>
      <c r="WLB21" s="22"/>
      <c r="WLC21" s="22"/>
      <c r="WLD21" s="22"/>
      <c r="WLE21" s="22"/>
      <c r="WLF21" s="22"/>
      <c r="WLG21" s="22"/>
      <c r="WLH21" s="22"/>
      <c r="WLI21" s="22"/>
      <c r="WLJ21" s="22"/>
      <c r="WLK21" s="22"/>
      <c r="WLL21" s="22"/>
      <c r="WLM21" s="22"/>
      <c r="WLN21" s="22"/>
      <c r="WLO21" s="22"/>
      <c r="WLP21" s="22"/>
      <c r="WLQ21" s="22"/>
      <c r="WLR21" s="22"/>
      <c r="WLS21" s="22"/>
      <c r="WLT21" s="22"/>
      <c r="WLU21" s="22"/>
      <c r="WLV21" s="22"/>
      <c r="WLW21" s="22"/>
      <c r="WLX21" s="22"/>
      <c r="WLY21" s="22"/>
      <c r="WLZ21" s="22"/>
      <c r="WMA21" s="22"/>
      <c r="WMB21" s="22"/>
      <c r="WMC21" s="22"/>
      <c r="WMD21" s="22"/>
      <c r="WME21" s="22"/>
      <c r="WMF21" s="22"/>
      <c r="WMG21" s="22"/>
      <c r="WMH21" s="22"/>
      <c r="WMI21" s="22"/>
      <c r="WMJ21" s="22"/>
      <c r="WMK21" s="22"/>
      <c r="WML21" s="22"/>
      <c r="WMM21" s="22"/>
      <c r="WMN21" s="22"/>
      <c r="WMO21" s="22"/>
      <c r="WMP21" s="22"/>
      <c r="WMQ21" s="22"/>
      <c r="WMR21" s="22"/>
      <c r="WMS21" s="22"/>
      <c r="WMT21" s="22"/>
      <c r="WMU21" s="22"/>
      <c r="WMV21" s="22"/>
      <c r="WMW21" s="22"/>
      <c r="WMX21" s="22"/>
      <c r="WMY21" s="22"/>
      <c r="WMZ21" s="22"/>
      <c r="WNA21" s="22"/>
      <c r="WNB21" s="22"/>
      <c r="WNC21" s="22"/>
      <c r="WND21" s="22"/>
      <c r="WNE21" s="22"/>
      <c r="WNF21" s="22"/>
      <c r="WNG21" s="22"/>
      <c r="WNH21" s="22"/>
      <c r="WNI21" s="22"/>
      <c r="WNJ21" s="22"/>
      <c r="WNK21" s="22"/>
      <c r="WNL21" s="22"/>
      <c r="WNM21" s="22"/>
      <c r="WNN21" s="22"/>
      <c r="WNO21" s="22"/>
      <c r="WNP21" s="22"/>
      <c r="WNQ21" s="22"/>
      <c r="WNR21" s="22"/>
      <c r="WNS21" s="22"/>
      <c r="WNT21" s="22"/>
      <c r="WNU21" s="22"/>
      <c r="WNV21" s="22"/>
      <c r="WNW21" s="22"/>
      <c r="WNX21" s="22"/>
      <c r="WNY21" s="22"/>
      <c r="WNZ21" s="22"/>
      <c r="WOA21" s="22"/>
      <c r="WOB21" s="22"/>
      <c r="WOC21" s="22"/>
      <c r="WOD21" s="22"/>
      <c r="WOE21" s="22"/>
      <c r="WOF21" s="22"/>
      <c r="WOG21" s="22"/>
      <c r="WOH21" s="22"/>
      <c r="WOI21" s="22"/>
      <c r="WOJ21" s="22"/>
      <c r="WOK21" s="22"/>
      <c r="WOL21" s="22"/>
      <c r="WOM21" s="22"/>
      <c r="WON21" s="22"/>
      <c r="WOO21" s="22"/>
      <c r="WOP21" s="22"/>
      <c r="WOQ21" s="22"/>
      <c r="WOR21" s="22"/>
      <c r="WOS21" s="22"/>
      <c r="WOT21" s="22"/>
      <c r="WOU21" s="22"/>
      <c r="WOV21" s="22"/>
      <c r="WOW21" s="22"/>
      <c r="WOX21" s="22"/>
      <c r="WOY21" s="22"/>
      <c r="WOZ21" s="22"/>
      <c r="WPA21" s="22"/>
      <c r="WPB21" s="22"/>
      <c r="WPC21" s="22"/>
      <c r="WPD21" s="22"/>
      <c r="WPE21" s="22"/>
      <c r="WPF21" s="22"/>
      <c r="WPG21" s="22"/>
      <c r="WPH21" s="22"/>
      <c r="WPI21" s="22"/>
      <c r="WPJ21" s="22"/>
      <c r="WPK21" s="22"/>
      <c r="WPL21" s="22"/>
      <c r="WPM21" s="22"/>
      <c r="WPN21" s="22"/>
      <c r="WPO21" s="22"/>
      <c r="WPP21" s="22"/>
      <c r="WPQ21" s="22"/>
      <c r="WPR21" s="22"/>
      <c r="WPS21" s="22"/>
      <c r="WPT21" s="22"/>
      <c r="WPU21" s="22"/>
      <c r="WPV21" s="22"/>
      <c r="WPW21" s="22"/>
      <c r="WPX21" s="22"/>
      <c r="WPY21" s="22"/>
      <c r="WPZ21" s="22"/>
      <c r="WQA21" s="22"/>
      <c r="WQB21" s="22"/>
      <c r="WQC21" s="22"/>
      <c r="WQD21" s="22"/>
      <c r="WQE21" s="22"/>
      <c r="WQF21" s="22"/>
      <c r="WQG21" s="22"/>
      <c r="WQH21" s="22"/>
      <c r="WQI21" s="22"/>
      <c r="WQJ21" s="22"/>
      <c r="WQK21" s="22"/>
      <c r="WQL21" s="22"/>
      <c r="WQM21" s="22"/>
      <c r="WQN21" s="22"/>
      <c r="WQO21" s="22"/>
      <c r="WQP21" s="22"/>
      <c r="WQQ21" s="22"/>
      <c r="WQR21" s="22"/>
      <c r="WQS21" s="22"/>
      <c r="WQT21" s="22"/>
      <c r="WQU21" s="22"/>
      <c r="WQV21" s="22"/>
      <c r="WQW21" s="22"/>
      <c r="WQX21" s="22"/>
      <c r="WQY21" s="22"/>
      <c r="WQZ21" s="22"/>
      <c r="WRA21" s="22"/>
      <c r="WRB21" s="22"/>
      <c r="WRC21" s="22"/>
      <c r="WRD21" s="22"/>
      <c r="WRE21" s="22"/>
      <c r="WRF21" s="22"/>
      <c r="WRG21" s="22"/>
      <c r="WRH21" s="22"/>
      <c r="WRI21" s="22"/>
      <c r="WRJ21" s="22"/>
      <c r="WRK21" s="22"/>
      <c r="WRL21" s="22"/>
      <c r="WRM21" s="22"/>
      <c r="WRN21" s="22"/>
      <c r="WRO21" s="22"/>
      <c r="WRP21" s="22"/>
      <c r="WRQ21" s="22"/>
      <c r="WRR21" s="22"/>
      <c r="WRS21" s="22"/>
      <c r="WRT21" s="22"/>
      <c r="WRU21" s="22"/>
      <c r="WRV21" s="22"/>
      <c r="WRW21" s="22"/>
      <c r="WRX21" s="22"/>
      <c r="WRY21" s="22"/>
      <c r="WRZ21" s="22"/>
      <c r="WSA21" s="22"/>
      <c r="WSB21" s="22"/>
      <c r="WSC21" s="22"/>
      <c r="WSD21" s="22"/>
      <c r="WSE21" s="22"/>
      <c r="WSF21" s="22"/>
      <c r="WSG21" s="22"/>
      <c r="WSH21" s="22"/>
      <c r="WSI21" s="22"/>
      <c r="WSJ21" s="22"/>
      <c r="WSK21" s="22"/>
      <c r="WSL21" s="22"/>
      <c r="WSM21" s="22"/>
      <c r="WSN21" s="22"/>
      <c r="WSO21" s="22"/>
      <c r="WSP21" s="22"/>
      <c r="WSQ21" s="22"/>
      <c r="WSR21" s="22"/>
      <c r="WSS21" s="22"/>
      <c r="WST21" s="22"/>
      <c r="WSU21" s="22"/>
      <c r="WSV21" s="22"/>
      <c r="WSW21" s="22"/>
      <c r="WSX21" s="22"/>
      <c r="WSY21" s="22"/>
      <c r="WSZ21" s="22"/>
      <c r="WTA21" s="22"/>
      <c r="WTB21" s="22"/>
      <c r="WTC21" s="22"/>
      <c r="WTD21" s="22"/>
      <c r="WTE21" s="22"/>
      <c r="WTF21" s="22"/>
      <c r="WTG21" s="22"/>
      <c r="WTH21" s="22"/>
      <c r="WTI21" s="22"/>
      <c r="WTJ21" s="22"/>
      <c r="WTK21" s="22"/>
      <c r="WTL21" s="22"/>
      <c r="WTM21" s="22"/>
      <c r="WTN21" s="22"/>
      <c r="WTO21" s="22"/>
      <c r="WTP21" s="22"/>
      <c r="WTQ21" s="22"/>
      <c r="WTR21" s="22"/>
      <c r="WTS21" s="22"/>
      <c r="WTT21" s="22"/>
      <c r="WTU21" s="22"/>
      <c r="WTV21" s="22"/>
      <c r="WTW21" s="22"/>
      <c r="WTX21" s="22"/>
      <c r="WTY21" s="22"/>
      <c r="WTZ21" s="22"/>
      <c r="WUA21" s="22"/>
      <c r="WUB21" s="22"/>
      <c r="WUC21" s="22"/>
      <c r="WUD21" s="22"/>
      <c r="WUE21" s="22"/>
      <c r="WUF21" s="22"/>
      <c r="WUG21" s="22"/>
      <c r="WUH21" s="22"/>
      <c r="WUI21" s="22"/>
      <c r="WUJ21" s="22"/>
      <c r="WUK21" s="22"/>
      <c r="WUL21" s="22"/>
      <c r="WUM21" s="22"/>
      <c r="WUN21" s="22"/>
      <c r="WUO21" s="22"/>
      <c r="WUP21" s="22"/>
      <c r="WUQ21" s="22"/>
      <c r="WUR21" s="22"/>
      <c r="WUS21" s="22"/>
      <c r="WUT21" s="22"/>
      <c r="WUU21" s="22"/>
      <c r="WUV21" s="22"/>
      <c r="WUW21" s="22"/>
      <c r="WUX21" s="22"/>
      <c r="WUY21" s="22"/>
      <c r="WUZ21" s="22"/>
      <c r="WVA21" s="22"/>
      <c r="WVB21" s="22"/>
      <c r="WVC21" s="22"/>
      <c r="WVD21" s="22"/>
      <c r="WVE21" s="22"/>
      <c r="WVF21" s="22"/>
      <c r="WVG21" s="22"/>
      <c r="WVH21" s="22"/>
      <c r="WVI21" s="22"/>
      <c r="WVJ21" s="22"/>
      <c r="WVK21" s="22"/>
      <c r="WVL21" s="22"/>
      <c r="WVM21" s="22"/>
      <c r="WVN21" s="22"/>
      <c r="WVO21" s="22"/>
      <c r="WVP21" s="22"/>
      <c r="WVQ21" s="22"/>
      <c r="WVR21" s="22"/>
      <c r="WVS21" s="22"/>
      <c r="WVT21" s="22"/>
      <c r="WVU21" s="22"/>
      <c r="WVV21" s="22"/>
      <c r="WVW21" s="22"/>
      <c r="WVX21" s="22"/>
      <c r="WVY21" s="22"/>
      <c r="WVZ21" s="22"/>
      <c r="WWA21" s="22"/>
      <c r="WWB21" s="22"/>
      <c r="WWC21" s="22"/>
      <c r="WWD21" s="22"/>
      <c r="WWE21" s="22"/>
      <c r="WWF21" s="22"/>
      <c r="WWG21" s="22"/>
      <c r="WWH21" s="22"/>
      <c r="WWI21" s="22"/>
      <c r="WWJ21" s="22"/>
      <c r="WWK21" s="22"/>
      <c r="WWL21" s="22"/>
      <c r="WWM21" s="22"/>
      <c r="WWN21" s="22"/>
      <c r="WWO21" s="22"/>
      <c r="WWP21" s="22"/>
      <c r="WWQ21" s="22"/>
      <c r="WWR21" s="22"/>
      <c r="WWS21" s="22"/>
      <c r="WWT21" s="22"/>
      <c r="WWU21" s="22"/>
      <c r="WWV21" s="22"/>
      <c r="WWW21" s="22"/>
      <c r="WWX21" s="22"/>
      <c r="WWY21" s="22"/>
      <c r="WWZ21" s="22"/>
      <c r="WXA21" s="22"/>
      <c r="WXB21" s="22"/>
      <c r="WXC21" s="22"/>
      <c r="WXD21" s="22"/>
      <c r="WXE21" s="22"/>
      <c r="WXF21" s="22"/>
      <c r="WXG21" s="22"/>
      <c r="WXH21" s="22"/>
      <c r="WXI21" s="22"/>
      <c r="WXJ21" s="22"/>
      <c r="WXK21" s="22"/>
      <c r="WXL21" s="22"/>
      <c r="WXM21" s="22"/>
      <c r="WXN21" s="22"/>
      <c r="WXO21" s="22"/>
      <c r="WXP21" s="22"/>
      <c r="WXQ21" s="22"/>
      <c r="WXR21" s="22"/>
      <c r="WXS21" s="22"/>
      <c r="WXT21" s="22"/>
      <c r="WXU21" s="22"/>
      <c r="WXV21" s="22"/>
      <c r="WXW21" s="22"/>
      <c r="WXX21" s="22"/>
      <c r="WXY21" s="22"/>
      <c r="WXZ21" s="22"/>
      <c r="WYA21" s="22"/>
      <c r="WYB21" s="22"/>
      <c r="WYC21" s="22"/>
      <c r="WYD21" s="22"/>
      <c r="WYE21" s="22"/>
      <c r="WYF21" s="22"/>
      <c r="WYG21" s="22"/>
      <c r="WYH21" s="22"/>
      <c r="WYI21" s="22"/>
      <c r="WYJ21" s="22"/>
      <c r="WYK21" s="22"/>
      <c r="WYL21" s="22"/>
      <c r="WYM21" s="22"/>
      <c r="WYN21" s="22"/>
      <c r="WYO21" s="22"/>
      <c r="WYP21" s="22"/>
      <c r="WYQ21" s="22"/>
      <c r="WYR21" s="22"/>
      <c r="WYS21" s="22"/>
      <c r="WYT21" s="22"/>
      <c r="WYU21" s="22"/>
      <c r="WYV21" s="22"/>
      <c r="WYW21" s="22"/>
      <c r="WYX21" s="22"/>
      <c r="WYY21" s="22"/>
      <c r="WYZ21" s="22"/>
      <c r="WZA21" s="22"/>
      <c r="WZB21" s="22"/>
      <c r="WZC21" s="22"/>
      <c r="WZD21" s="22"/>
      <c r="WZE21" s="22"/>
      <c r="WZF21" s="22"/>
      <c r="WZG21" s="22"/>
      <c r="WZH21" s="22"/>
      <c r="WZI21" s="22"/>
      <c r="WZJ21" s="22"/>
      <c r="WZK21" s="22"/>
      <c r="WZL21" s="22"/>
      <c r="WZM21" s="22"/>
      <c r="WZN21" s="22"/>
      <c r="WZO21" s="22"/>
      <c r="WZP21" s="22"/>
      <c r="WZQ21" s="22"/>
      <c r="WZR21" s="22"/>
      <c r="WZS21" s="22"/>
      <c r="WZT21" s="22"/>
      <c r="WZU21" s="22"/>
      <c r="WZV21" s="22"/>
      <c r="WZW21" s="22"/>
      <c r="WZX21" s="22"/>
      <c r="WZY21" s="22"/>
      <c r="WZZ21" s="22"/>
      <c r="XAA21" s="22"/>
      <c r="XAB21" s="22"/>
      <c r="XAC21" s="22"/>
      <c r="XAD21" s="22"/>
      <c r="XAE21" s="22"/>
      <c r="XAF21" s="22"/>
      <c r="XAG21" s="22"/>
      <c r="XAH21" s="22"/>
      <c r="XAI21" s="22"/>
      <c r="XAJ21" s="22"/>
      <c r="XAK21" s="22"/>
      <c r="XAL21" s="22"/>
      <c r="XAM21" s="22"/>
      <c r="XAN21" s="22"/>
      <c r="XAO21" s="22"/>
      <c r="XAP21" s="22"/>
      <c r="XAQ21" s="22"/>
      <c r="XAR21" s="22"/>
      <c r="XAS21" s="22"/>
      <c r="XAT21" s="22"/>
      <c r="XAU21" s="22"/>
      <c r="XAV21" s="22"/>
      <c r="XAW21" s="22"/>
      <c r="XAX21" s="22"/>
      <c r="XAY21" s="22"/>
      <c r="XAZ21" s="22"/>
      <c r="XBA21" s="22"/>
      <c r="XBB21" s="22"/>
      <c r="XBC21" s="22"/>
      <c r="XBD21" s="22"/>
      <c r="XBE21" s="22"/>
      <c r="XBF21" s="22"/>
      <c r="XBG21" s="22"/>
      <c r="XBH21" s="22"/>
      <c r="XBI21" s="22"/>
      <c r="XBJ21" s="22"/>
      <c r="XBK21" s="22"/>
      <c r="XBL21" s="22"/>
      <c r="XBM21" s="22"/>
      <c r="XBN21" s="22"/>
      <c r="XBO21" s="22"/>
      <c r="XBP21" s="22"/>
      <c r="XBQ21" s="22"/>
      <c r="XBR21" s="22"/>
      <c r="XBS21" s="22"/>
      <c r="XBT21" s="22"/>
      <c r="XBU21" s="22"/>
      <c r="XBV21" s="22"/>
      <c r="XBW21" s="22"/>
      <c r="XBX21" s="22"/>
      <c r="XBY21" s="22"/>
      <c r="XBZ21" s="22"/>
      <c r="XCA21" s="22"/>
      <c r="XCB21" s="22"/>
      <c r="XCC21" s="22"/>
      <c r="XCD21" s="22"/>
      <c r="XCE21" s="22"/>
      <c r="XCF21" s="22"/>
      <c r="XCG21" s="22"/>
      <c r="XCH21" s="22"/>
      <c r="XCI21" s="22"/>
      <c r="XCJ21" s="22"/>
      <c r="XCK21" s="22"/>
      <c r="XCL21" s="22"/>
      <c r="XCM21" s="22"/>
      <c r="XCN21" s="22"/>
      <c r="XCO21" s="22"/>
      <c r="XCP21" s="22"/>
      <c r="XCQ21" s="22"/>
      <c r="XCR21" s="22"/>
      <c r="XCS21" s="22"/>
      <c r="XCT21" s="22"/>
      <c r="XCU21" s="22"/>
      <c r="XCV21" s="22"/>
      <c r="XCW21" s="22"/>
      <c r="XCX21" s="22"/>
      <c r="XCY21" s="22"/>
      <c r="XCZ21" s="22"/>
      <c r="XDA21" s="22"/>
      <c r="XDB21" s="22"/>
      <c r="XDC21" s="22"/>
      <c r="XDD21" s="22"/>
      <c r="XDE21" s="22"/>
      <c r="XDF21" s="22"/>
      <c r="XDG21" s="22"/>
      <c r="XDH21" s="22"/>
      <c r="XDI21" s="22"/>
      <c r="XDJ21" s="22"/>
      <c r="XDK21" s="22"/>
      <c r="XDL21" s="22"/>
      <c r="XDM21" s="22"/>
      <c r="XDN21" s="22"/>
      <c r="XDO21" s="22"/>
      <c r="XDP21" s="22"/>
      <c r="XDQ21" s="22"/>
      <c r="XDR21" s="22"/>
      <c r="XDS21" s="22"/>
      <c r="XDT21" s="22"/>
      <c r="XDU21" s="22"/>
      <c r="XDV21" s="22"/>
      <c r="XDW21" s="22"/>
      <c r="XDX21" s="22"/>
      <c r="XDY21" s="22"/>
      <c r="XDZ21" s="22"/>
      <c r="XEA21" s="22"/>
      <c r="XEB21" s="22"/>
      <c r="XEC21" s="22"/>
      <c r="XED21" s="22"/>
      <c r="XEE21" s="22"/>
      <c r="XEF21" s="22"/>
      <c r="XEG21" s="22"/>
      <c r="XEH21" s="22"/>
      <c r="XEI21" s="22"/>
      <c r="XEJ21" s="22"/>
      <c r="XEK21" s="22"/>
      <c r="XEL21" s="22"/>
      <c r="XEM21" s="22"/>
      <c r="XEN21" s="22"/>
      <c r="XEO21" s="22"/>
      <c r="XEP21" s="22"/>
      <c r="XEQ21" s="22"/>
      <c r="XER21" s="22"/>
      <c r="XES21" s="22"/>
      <c r="XET21" s="22"/>
      <c r="XEU21" s="22"/>
      <c r="XEV21" s="22"/>
      <c r="XEW21" s="22"/>
      <c r="XEX21" s="22"/>
      <c r="XEY21" s="22"/>
      <c r="XEZ21" s="22"/>
      <c r="XFA21" s="22"/>
      <c r="XFB21" s="22"/>
      <c r="XFC21" s="22"/>
      <c r="XFD21" s="22"/>
    </row>
    <row r="22" spans="1:154 14670:16384" ht="15.75" thickBot="1" x14ac:dyDescent="0.3">
      <c r="C22" s="35"/>
      <c r="D22" s="35"/>
      <c r="AZ22" s="21"/>
      <c r="BA22" s="21"/>
    </row>
    <row r="23" spans="1:154 14670:16384" ht="15.75" thickBot="1" x14ac:dyDescent="0.3">
      <c r="B23" s="22"/>
      <c r="C23" s="538" t="str">
        <f>IF(AND(AB33=43101, AB34=43465),"Annual Summary","Summary from "&amp;TEXT(AB33,"d-mmm")&amp;" to "&amp;TEXT(AB34,"d-mmm"))</f>
        <v>Summary from 1-Jan to 31-Dec</v>
      </c>
      <c r="D23" s="539"/>
      <c r="E23" s="539"/>
      <c r="F23" s="540"/>
      <c r="H23" s="578" t="s">
        <v>2</v>
      </c>
      <c r="I23" s="579"/>
      <c r="J23" s="76"/>
      <c r="K23" s="546" t="s">
        <v>102</v>
      </c>
      <c r="L23" s="547"/>
      <c r="M23" s="76"/>
      <c r="N23" s="546" t="s">
        <v>103</v>
      </c>
      <c r="O23" s="547"/>
      <c r="P23" s="76"/>
      <c r="Q23" s="546" t="s">
        <v>104</v>
      </c>
      <c r="R23" s="547"/>
      <c r="S23" s="76"/>
      <c r="T23" s="546" t="s">
        <v>105</v>
      </c>
      <c r="U23" s="547"/>
      <c r="V23" s="76"/>
      <c r="W23" s="546" t="s">
        <v>106</v>
      </c>
      <c r="X23" s="547"/>
      <c r="Y23" s="76"/>
      <c r="Z23" s="546" t="s">
        <v>201</v>
      </c>
      <c r="AA23" s="547"/>
      <c r="AC23" s="15"/>
      <c r="AD23" s="15"/>
      <c r="AE23" s="15"/>
      <c r="AF23" s="15"/>
      <c r="AG23" s="15"/>
      <c r="AH23" s="15"/>
      <c r="AI23" s="15"/>
      <c r="AJ23" s="15"/>
      <c r="AK23" s="15"/>
      <c r="AL23" s="15"/>
      <c r="AM23" s="15"/>
      <c r="AZ23" s="21"/>
      <c r="BA23" s="21"/>
    </row>
    <row r="24" spans="1:154 14670:16384" x14ac:dyDescent="0.25">
      <c r="B24" s="22"/>
      <c r="C24" s="594" t="s">
        <v>6</v>
      </c>
      <c r="D24" s="595"/>
      <c r="E24" s="595"/>
      <c r="F24" s="596"/>
      <c r="H24" s="573" t="str">
        <f ca="1">IFERROR(VLOOKUP($G$1, Overall!A2:R230,11,FALSE),"-")</f>
        <v/>
      </c>
      <c r="I24" s="573"/>
      <c r="K24" s="581" t="str">
        <f ca="1">IFERROR(VLOOKUP($G$1, Overall!A2:R230,12,FALSE),"-")</f>
        <v/>
      </c>
      <c r="L24" s="581" t="str">
        <f>IFERROR(VLOOKUP($G$1, Overall!#REF!,13),"")</f>
        <v/>
      </c>
      <c r="N24" s="580" t="str">
        <f ca="1">IFERROR(VLOOKUP($G$1, Overall!A2:R230,13,FALSE),"-")</f>
        <v/>
      </c>
      <c r="O24" s="580"/>
      <c r="Q24" s="590" t="str">
        <f ca="1">IFERROR(VLOOKUP($G$1, Overall!A2:R230,14,FALSE),"-")</f>
        <v/>
      </c>
      <c r="R24" s="590"/>
      <c r="T24" s="587" t="str">
        <f ca="1">IFERROR(VLOOKUP($G$1, Overall!A2:R230,15,FALSE),"-")</f>
        <v/>
      </c>
      <c r="U24" s="587"/>
      <c r="W24" s="587" t="str">
        <f ca="1">IFERROR(VLOOKUP($G$1, Overall!A2:R230,16,FALSE),"-")</f>
        <v/>
      </c>
      <c r="X24" s="587"/>
      <c r="Z24" s="548" t="str">
        <f ca="1">IFERROR(VLOOKUP($G$1, Overall!A2:R230,18,FALSE),"-")</f>
        <v/>
      </c>
      <c r="AA24" s="549"/>
      <c r="AB24" s="90"/>
      <c r="AD24" s="16"/>
      <c r="AE24" s="16"/>
      <c r="AF24" s="16"/>
      <c r="AG24" s="16"/>
      <c r="AH24" s="16"/>
      <c r="AI24" s="16"/>
      <c r="AJ24" s="16"/>
      <c r="AK24" s="16"/>
      <c r="AL24" s="16"/>
      <c r="AM24" s="16"/>
      <c r="AZ24" s="21"/>
      <c r="BA24" s="21"/>
    </row>
    <row r="25" spans="1:154 14670:16384" s="22" customFormat="1" x14ac:dyDescent="0.25">
      <c r="C25" s="597" t="s">
        <v>81</v>
      </c>
      <c r="D25" s="598"/>
      <c r="E25" s="598"/>
      <c r="F25" s="599"/>
      <c r="H25" s="550" t="str">
        <f ca="1">ROUND(H27, 4)*100 &amp; "%" &amp; " to " &amp; ROUND(H28, 4)*100 &amp; "%"</f>
        <v>23.08% to 31.79%</v>
      </c>
      <c r="I25" s="551"/>
      <c r="J25" s="36"/>
      <c r="K25" s="550" t="str">
        <f ca="1">ROUND(K27, 4)*100 &amp; "%" &amp; " to " &amp; ROUND(K28, 4)*100 &amp; "%"</f>
        <v>55.38% to 65.91%</v>
      </c>
      <c r="L25" s="551"/>
      <c r="M25" s="36"/>
      <c r="N25" s="550" t="str">
        <f ca="1">ROUND(N27, 4)*100 &amp; "%" &amp; " to " &amp; ROUND(N28, 4)*100 &amp; "%"</f>
        <v>3.57% to 9.59%</v>
      </c>
      <c r="O25" s="551"/>
      <c r="P25" s="37"/>
      <c r="Q25" s="550" t="str">
        <f ca="1">DOLLAR(Q$27, 2) &amp; " to " &amp; DOLLAR(Q$28, 2)</f>
        <v>$41.15 to $64.13</v>
      </c>
      <c r="R25" s="551"/>
      <c r="S25" s="37"/>
      <c r="T25" s="564" t="str">
        <f ca="1">ROUND(T$27, 2) &amp; " to " &amp; ROUND(T$28, 2)</f>
        <v>0.71 to 1.08</v>
      </c>
      <c r="U25" s="565"/>
      <c r="V25" s="38"/>
      <c r="W25" s="550" t="str">
        <f ca="1">ROUND(W$27, 2) &amp; " to " &amp; ROUND(W$28, 2)</f>
        <v>0.05 to 0.15</v>
      </c>
      <c r="X25" s="551"/>
      <c r="Y25" s="38"/>
      <c r="Z25" s="550" t="str">
        <f ca="1">ROUND(Z$27, 2) &amp; " to " &amp; ROUND(Z$28, 2)</f>
        <v>0.3 to 0.7</v>
      </c>
      <c r="AA25" s="551"/>
      <c r="AB25" s="90"/>
      <c r="AC25" s="17"/>
      <c r="AD25" s="17"/>
      <c r="AH25" s="17"/>
      <c r="AI25" s="17"/>
      <c r="AJ25" s="17"/>
      <c r="AK25" s="17"/>
      <c r="AL25" s="17"/>
      <c r="AM25" s="17"/>
      <c r="AZ25" s="21"/>
      <c r="BA25" s="21"/>
    </row>
    <row r="26" spans="1:154 14670:16384" x14ac:dyDescent="0.25">
      <c r="B26" s="74"/>
      <c r="C26" s="584" t="s">
        <v>15</v>
      </c>
      <c r="D26" s="585"/>
      <c r="E26" s="585"/>
      <c r="F26" s="586"/>
      <c r="H26" s="589">
        <f ca="1">_xlfn.PERCENTILE.INC(Overall!K2:K230, 0.5)</f>
        <v>0.26666666666666666</v>
      </c>
      <c r="I26" s="589"/>
      <c r="K26" s="550">
        <f ca="1">_xlfn.PERCENTILE.INC(Overall!L2:L230, 0.5)</f>
        <v>0.59854014598540151</v>
      </c>
      <c r="L26" s="551"/>
      <c r="M26" s="80"/>
      <c r="N26" s="570">
        <f ca="1">_xlfn.PERCENTILE.INC(Overall!M2:M230, 0.5)</f>
        <v>6.4102564102564097E-2</v>
      </c>
      <c r="O26" s="570"/>
      <c r="P26" s="79"/>
      <c r="Q26" s="569">
        <f ca="1">_xlfn.PERCENTILE.INC(Overall!N2:N230, 0.5)</f>
        <v>50.395629238884709</v>
      </c>
      <c r="R26" s="569"/>
      <c r="S26" s="79"/>
      <c r="T26" s="588">
        <f ca="1">_xlfn.PERCENTILE.INC(Overall!O2:O230, 0.5)</f>
        <v>0.88951484377895551</v>
      </c>
      <c r="U26" s="588"/>
      <c r="V26" s="78"/>
      <c r="W26" s="588">
        <f ca="1">_xlfn.PERCENTILE.INC(Overall!P2:P230, 0.5)</f>
        <v>9.1553293171955402E-2</v>
      </c>
      <c r="X26" s="588"/>
      <c r="Y26" s="78"/>
      <c r="Z26" s="552">
        <f ca="1">_xlfn.PERCENTILE.INC(Overall!R2:R230, 0.5)</f>
        <v>0.5</v>
      </c>
      <c r="AA26" s="553"/>
      <c r="AB26" s="90"/>
      <c r="AC26" s="17"/>
      <c r="AD26" s="17"/>
      <c r="AH26" s="17"/>
      <c r="AI26" s="17"/>
      <c r="AJ26" s="17"/>
      <c r="AK26" s="17"/>
      <c r="AL26" s="17"/>
      <c r="AM26" s="17"/>
      <c r="AZ26" s="21"/>
      <c r="BA26" s="21"/>
    </row>
    <row r="27" spans="1:154 14670:16384" s="22" customFormat="1" ht="15" hidden="1" customHeight="1" x14ac:dyDescent="0.25">
      <c r="D27"/>
      <c r="E27"/>
      <c r="F27"/>
      <c r="H27" s="573">
        <f ca="1">_xlfn.PERCENTILE.INC(Overall!K2:K230, $AB$31)</f>
        <v>0.23084036009613426</v>
      </c>
      <c r="I27" s="573"/>
      <c r="K27" s="574">
        <f ca="1">_xlfn.PERCENTILE.INC(Overall!L2:L231, $AB$31)</f>
        <v>0.55380116959064329</v>
      </c>
      <c r="L27" s="575"/>
      <c r="M27" s="80"/>
      <c r="N27" s="566">
        <f ca="1">_xlfn.PERCENTILE.INC(Overall!M2:M230, $AB$31)</f>
        <v>3.5721925133689839E-2</v>
      </c>
      <c r="O27" s="566"/>
      <c r="P27" s="79"/>
      <c r="Q27" s="567">
        <f ca="1">_xlfn.PERCENTILE.INC(Overall!N2:N230, $AB$31)</f>
        <v>41.145756077598037</v>
      </c>
      <c r="R27" s="567"/>
      <c r="S27" s="79"/>
      <c r="T27" s="568">
        <f ca="1">_xlfn.PERCENTILE.INC(Overall!O2:O230, $AB$31)</f>
        <v>0.70574835227837673</v>
      </c>
      <c r="U27" s="568"/>
      <c r="V27" s="78"/>
      <c r="W27" s="568">
        <f ca="1">_xlfn.PERCENTILE.INC(Overall!P2:P230, $AB$31)</f>
        <v>5.1424564130206005E-2</v>
      </c>
      <c r="X27" s="568"/>
      <c r="Y27" s="78"/>
      <c r="Z27" s="558">
        <f ca="1">_xlfn.PERCENTILE.INC(Overall!R2:R230, $AB$31)</f>
        <v>0.2994</v>
      </c>
      <c r="AA27" s="559"/>
      <c r="AB27" s="90"/>
      <c r="AC27"/>
      <c r="AD27" s="16"/>
      <c r="AE27" s="16"/>
      <c r="AF27" s="16"/>
      <c r="AG27" s="16"/>
      <c r="AH27" s="16"/>
      <c r="AI27" s="16"/>
      <c r="AJ27" s="16"/>
      <c r="AK27" s="16"/>
      <c r="AL27" s="16"/>
      <c r="AM27" s="16"/>
    </row>
    <row r="28" spans="1:154 14670:16384" s="22" customFormat="1" ht="15" hidden="1" customHeight="1" x14ac:dyDescent="0.25">
      <c r="D28"/>
      <c r="E28"/>
      <c r="F28"/>
      <c r="H28" s="573">
        <f ca="1">_xlfn.PERCENTILE.INC(Overall!K2:K230, $AB$32)</f>
        <v>0.31789809038707334</v>
      </c>
      <c r="I28" s="573"/>
      <c r="K28" s="574">
        <f ca="1">_xlfn.PERCENTILE.INC(Overall!L2:L230, $AB$32)</f>
        <v>0.65907946781733195</v>
      </c>
      <c r="L28" s="575"/>
      <c r="M28" s="80"/>
      <c r="N28" s="566">
        <f ca="1">_xlfn.PERCENTILE.INC(Overall!M2:M230, $AB$32)</f>
        <v>9.5926563396442913E-2</v>
      </c>
      <c r="O28" s="566"/>
      <c r="P28" s="79"/>
      <c r="Q28" s="567">
        <f ca="1">_xlfn.PERCENTILE.INC(Overall!N2:N230, $AB$32)</f>
        <v>64.134402204545495</v>
      </c>
      <c r="R28" s="567"/>
      <c r="S28" s="79"/>
      <c r="T28" s="568">
        <f ca="1">_xlfn.PERCENTILE.INC(Overall!O2:O230, $AB$32)</f>
        <v>1.0775613109134048</v>
      </c>
      <c r="U28" s="568"/>
      <c r="V28" s="78"/>
      <c r="W28" s="568">
        <f ca="1">_xlfn.PERCENTILE.INC(Overall!P2:P230, $AB$32)</f>
        <v>0.14956388025433737</v>
      </c>
      <c r="X28" s="568"/>
      <c r="Y28" s="78"/>
      <c r="Z28" s="558">
        <f ca="1">_xlfn.PERCENTILE.INC(Overall!R2:R230, $AB$32)</f>
        <v>0.69959999999999989</v>
      </c>
      <c r="AA28" s="559"/>
      <c r="AB28" s="90"/>
      <c r="AC28"/>
      <c r="AD28" s="16"/>
      <c r="AE28" s="16"/>
      <c r="AF28" s="16"/>
      <c r="AG28" s="16"/>
      <c r="AH28" s="16"/>
      <c r="AI28" s="16"/>
      <c r="AJ28" s="16"/>
      <c r="AK28" s="16"/>
      <c r="AL28" s="16"/>
      <c r="AM28" s="16"/>
    </row>
    <row r="29" spans="1:154 14670:16384" ht="15.75" thickBot="1" x14ac:dyDescent="0.3">
      <c r="F29" s="73"/>
    </row>
    <row r="30" spans="1:154 14670:16384" ht="15.75" thickBot="1" x14ac:dyDescent="0.3">
      <c r="Z30" s="538" t="s">
        <v>93</v>
      </c>
      <c r="AA30" s="539"/>
      <c r="AB30" s="540"/>
    </row>
    <row r="31" spans="1:154 14670:16384" ht="15.75" thickBot="1" x14ac:dyDescent="0.3">
      <c r="A31" s="22">
        <f>IF(Z37="Participation Rate",1,IF(Z37="Immediate Gift Rate",2,IF(Z37="Recurring Gift Rate",3,IF(Z37="Immediate Amount per Hour",4,IF(Z37="Immediate Gifts per Hour",5,IF(Z37="Recurring Gifts Per Hour", 6,IF(Z37="Fundraising Score",7, IFERROR(Z37,0))))))))</f>
        <v>1</v>
      </c>
      <c r="Z31" s="556" t="s">
        <v>73</v>
      </c>
      <c r="AA31" s="557"/>
      <c r="AB31" s="51">
        <v>0.3</v>
      </c>
    </row>
    <row r="32" spans="1:154 14670:16384" ht="15.75" thickBot="1" x14ac:dyDescent="0.3">
      <c r="Z32" s="554" t="s">
        <v>74</v>
      </c>
      <c r="AA32" s="555"/>
      <c r="AB32" s="51">
        <v>0.7</v>
      </c>
    </row>
    <row r="33" spans="26:44" ht="15.75" thickBot="1" x14ac:dyDescent="0.3">
      <c r="Z33" s="536" t="s">
        <v>75</v>
      </c>
      <c r="AA33" s="537"/>
      <c r="AB33" s="229">
        <v>43466</v>
      </c>
    </row>
    <row r="34" spans="26:44" ht="15.75" thickBot="1" x14ac:dyDescent="0.3">
      <c r="Z34" s="541" t="s">
        <v>76</v>
      </c>
      <c r="AA34" s="542"/>
      <c r="AB34" s="229">
        <v>43830</v>
      </c>
    </row>
    <row r="35" spans="26:44" ht="15.75" thickBot="1" x14ac:dyDescent="0.3"/>
    <row r="36" spans="26:44" ht="15.75" thickBot="1" x14ac:dyDescent="0.3">
      <c r="Z36" s="538" t="s">
        <v>92</v>
      </c>
      <c r="AA36" s="539"/>
      <c r="AB36" s="540"/>
    </row>
    <row r="37" spans="26:44" ht="15.75" thickBot="1" x14ac:dyDescent="0.3">
      <c r="Z37" s="543" t="s">
        <v>108</v>
      </c>
      <c r="AA37" s="544"/>
      <c r="AB37" s="545"/>
    </row>
    <row r="38" spans="26:44" ht="15.75" thickBot="1" x14ac:dyDescent="0.3">
      <c r="Z38" s="68" t="s">
        <v>249</v>
      </c>
      <c r="AA38" s="69"/>
      <c r="AB38" s="51">
        <v>0.1</v>
      </c>
    </row>
    <row r="39" spans="26:44" ht="15.75" thickBot="1" x14ac:dyDescent="0.3">
      <c r="Z39" s="127" t="s">
        <v>250</v>
      </c>
      <c r="AA39" s="128"/>
      <c r="AB39" s="51">
        <v>0.05</v>
      </c>
    </row>
    <row r="40" spans="26:44" ht="15.75" thickBot="1" x14ac:dyDescent="0.3">
      <c r="Z40" s="68" t="s">
        <v>200</v>
      </c>
      <c r="AA40" s="69"/>
      <c r="AB40" s="129">
        <v>0.05</v>
      </c>
    </row>
    <row r="41" spans="26:44" ht="15.75" thickBot="1" x14ac:dyDescent="0.3"/>
    <row r="42" spans="26:44" ht="15.75" thickBot="1" x14ac:dyDescent="0.3">
      <c r="Z42" s="538" t="s">
        <v>87</v>
      </c>
      <c r="AA42" s="539"/>
      <c r="AB42" s="540"/>
    </row>
    <row r="43" spans="26:44" ht="15.75" thickBot="1" x14ac:dyDescent="0.3">
      <c r="Z43" s="536" t="s">
        <v>86</v>
      </c>
      <c r="AA43" s="537"/>
      <c r="AB43" s="67" t="s">
        <v>11</v>
      </c>
    </row>
    <row r="44" spans="26:44" ht="15.75" thickBot="1" x14ac:dyDescent="0.3">
      <c r="Z44" s="541" t="s">
        <v>90</v>
      </c>
      <c r="AA44" s="542"/>
      <c r="AB44" s="72">
        <f>SUMIFS('Caller Portal Instructions'!D76:BA76,$C$13:$AZ$13,"&gt;="&amp;$AB$33,$C$13:$AZ$13,"&lt;="&amp;$AB$34)</f>
        <v>53</v>
      </c>
    </row>
    <row r="45" spans="26:44" ht="15.75" thickBot="1" x14ac:dyDescent="0.3">
      <c r="Z45" s="536" t="s">
        <v>91</v>
      </c>
      <c r="AA45" s="537"/>
      <c r="AB45" s="72">
        <v>0</v>
      </c>
    </row>
    <row r="46" spans="26:44" x14ac:dyDescent="0.25">
      <c r="Z46" s="560" t="s">
        <v>82</v>
      </c>
      <c r="AA46" s="561"/>
      <c r="AB46" s="571">
        <f ca="1">SUMIFS($C$14:$AZ$14,$C$13:$AZ$13,"&gt;="&amp;$AB$33,$C$13:$AZ$13,"&lt;="&amp;$AB$34)</f>
        <v>0</v>
      </c>
    </row>
    <row r="47" spans="26:44" ht="15.75" thickBot="1" x14ac:dyDescent="0.3">
      <c r="Z47" s="562"/>
      <c r="AA47" s="563"/>
      <c r="AB47" s="572"/>
      <c r="AM47" s="4"/>
      <c r="AO47" s="4"/>
      <c r="AP47" s="4"/>
      <c r="AQ47" s="4"/>
      <c r="AR47" s="4"/>
    </row>
  </sheetData>
  <sheetProtection sort="0" autoFilter="0"/>
  <protectedRanges>
    <protectedRange sqref="G1:J1" name="Employee Name"/>
    <protectedRange sqref="Y1 AB31:AB34 Z37 AB38:AB40 AB43 AB45 AB46" name="Settings"/>
  </protectedRanges>
  <mergeCells count="64">
    <mergeCell ref="V1:X1"/>
    <mergeCell ref="C23:F23"/>
    <mergeCell ref="C24:F24"/>
    <mergeCell ref="C25:F25"/>
    <mergeCell ref="G1:J1"/>
    <mergeCell ref="C26:F26"/>
    <mergeCell ref="W24:X24"/>
    <mergeCell ref="W26:X26"/>
    <mergeCell ref="W23:X23"/>
    <mergeCell ref="H25:I25"/>
    <mergeCell ref="K25:L25"/>
    <mergeCell ref="N25:O25"/>
    <mergeCell ref="Q25:R25"/>
    <mergeCell ref="K26:L26"/>
    <mergeCell ref="H26:I26"/>
    <mergeCell ref="T23:U23"/>
    <mergeCell ref="T24:U24"/>
    <mergeCell ref="T26:U26"/>
    <mergeCell ref="Q23:R23"/>
    <mergeCell ref="Q24:R24"/>
    <mergeCell ref="H27:I27"/>
    <mergeCell ref="H28:I28"/>
    <mergeCell ref="K27:L27"/>
    <mergeCell ref="K28:L28"/>
    <mergeCell ref="S1:T1"/>
    <mergeCell ref="H23:I23"/>
    <mergeCell ref="K23:L23"/>
    <mergeCell ref="N23:O23"/>
    <mergeCell ref="N24:O24"/>
    <mergeCell ref="K24:L24"/>
    <mergeCell ref="H24:I24"/>
    <mergeCell ref="N1:O1"/>
    <mergeCell ref="L1:M1"/>
    <mergeCell ref="Z46:AA47"/>
    <mergeCell ref="T25:U25"/>
    <mergeCell ref="N27:O27"/>
    <mergeCell ref="N28:O28"/>
    <mergeCell ref="Q28:R28"/>
    <mergeCell ref="Q27:R27"/>
    <mergeCell ref="T27:U27"/>
    <mergeCell ref="T28:U28"/>
    <mergeCell ref="Q26:R26"/>
    <mergeCell ref="N26:O26"/>
    <mergeCell ref="Z34:AA34"/>
    <mergeCell ref="Z36:AB36"/>
    <mergeCell ref="W27:X27"/>
    <mergeCell ref="W28:X28"/>
    <mergeCell ref="W25:X25"/>
    <mergeCell ref="AB46:AB47"/>
    <mergeCell ref="Z23:AA23"/>
    <mergeCell ref="Z24:AA24"/>
    <mergeCell ref="Z25:AA25"/>
    <mergeCell ref="Z26:AA26"/>
    <mergeCell ref="Z32:AA32"/>
    <mergeCell ref="Z31:AA31"/>
    <mergeCell ref="Z27:AA27"/>
    <mergeCell ref="Z28:AA28"/>
    <mergeCell ref="Z30:AB30"/>
    <mergeCell ref="Z45:AA45"/>
    <mergeCell ref="Z43:AA43"/>
    <mergeCell ref="Z42:AB42"/>
    <mergeCell ref="Z33:AA33"/>
    <mergeCell ref="Z44:AA44"/>
    <mergeCell ref="Z37:AB37"/>
  </mergeCells>
  <conditionalFormatting sqref="C14:AZ14">
    <cfRule type="cellIs" dxfId="77" priority="319" operator="equal">
      <formula>""</formula>
    </cfRule>
  </conditionalFormatting>
  <conditionalFormatting sqref="AB46:AB47">
    <cfRule type="cellIs" dxfId="76" priority="5" stopIfTrue="1" operator="equal">
      <formula>0</formula>
    </cfRule>
    <cfRule type="colorScale" priority="36">
      <colorScale>
        <cfvo type="num" val="($AB$44-$AB$45)*0.7"/>
        <cfvo type="num" val="($AB$44-$AB$45)*0.75"/>
        <cfvo type="num" val="($AB$44-$AB$45)*0.8"/>
        <color rgb="FFFF0000"/>
        <color rgb="FFFFEB84"/>
        <color rgb="FF0B8319"/>
      </colorScale>
    </cfRule>
  </conditionalFormatting>
  <conditionalFormatting sqref="K24:L24">
    <cfRule type="cellIs" dxfId="75" priority="28" operator="greaterThan">
      <formula>K$28</formula>
    </cfRule>
    <cfRule type="cellIs" dxfId="74" priority="29" operator="between">
      <formula>K$27</formula>
      <formula>K$28</formula>
    </cfRule>
    <cfRule type="cellIs" dxfId="73" priority="30" operator="lessThan">
      <formula>K$27</formula>
    </cfRule>
  </conditionalFormatting>
  <conditionalFormatting sqref="N24:O24">
    <cfRule type="cellIs" dxfId="72" priority="25" operator="greaterThan">
      <formula>N$28</formula>
    </cfRule>
    <cfRule type="cellIs" dxfId="71" priority="26" operator="between">
      <formula>N$27</formula>
      <formula>N$28</formula>
    </cfRule>
    <cfRule type="cellIs" dxfId="70" priority="27" operator="lessThan">
      <formula>N$27</formula>
    </cfRule>
  </conditionalFormatting>
  <conditionalFormatting sqref="Q24:R24">
    <cfRule type="cellIs" dxfId="69" priority="22" operator="greaterThan">
      <formula>Q$28</formula>
    </cfRule>
    <cfRule type="cellIs" dxfId="68" priority="23" operator="between">
      <formula>Q$27</formula>
      <formula>Q$28</formula>
    </cfRule>
    <cfRule type="cellIs" dxfId="67" priority="24" operator="lessThan">
      <formula>Q$27</formula>
    </cfRule>
  </conditionalFormatting>
  <conditionalFormatting sqref="T24:U24">
    <cfRule type="cellIs" dxfId="66" priority="19" operator="greaterThan">
      <formula>T$28</formula>
    </cfRule>
    <cfRule type="cellIs" dxfId="65" priority="20" operator="between">
      <formula>T$27</formula>
      <formula>T$28</formula>
    </cfRule>
    <cfRule type="cellIs" dxfId="64" priority="21" operator="lessThan">
      <formula>T$27</formula>
    </cfRule>
  </conditionalFormatting>
  <conditionalFormatting sqref="W24:X24">
    <cfRule type="cellIs" dxfId="63" priority="16" operator="greaterThan">
      <formula>W$28</formula>
    </cfRule>
    <cfRule type="cellIs" dxfId="62" priority="17" operator="between">
      <formula>W$27</formula>
      <formula>W$28</formula>
    </cfRule>
    <cfRule type="cellIs" dxfId="61" priority="18" operator="lessThan">
      <formula>W$27</formula>
    </cfRule>
  </conditionalFormatting>
  <conditionalFormatting sqref="Z24:AA24">
    <cfRule type="cellIs" dxfId="60" priority="13" operator="greaterThan">
      <formula>Z$28</formula>
    </cfRule>
    <cfRule type="cellIs" dxfId="59" priority="14" operator="between">
      <formula>Z$27</formula>
      <formula>Z$28</formula>
    </cfRule>
    <cfRule type="cellIs" dxfId="58" priority="15" operator="lessThan">
      <formula>Z$27</formula>
    </cfRule>
  </conditionalFormatting>
  <conditionalFormatting sqref="C4:AB4">
    <cfRule type="cellIs" dxfId="57" priority="9" operator="equal">
      <formula>""</formula>
    </cfRule>
  </conditionalFormatting>
  <conditionalFormatting sqref="C5:AB11">
    <cfRule type="cellIs" dxfId="56" priority="7" stopIfTrue="1" operator="equal">
      <formula>""</formula>
    </cfRule>
  </conditionalFormatting>
  <conditionalFormatting sqref="K24:L24 N24:O24 Q24:R24 T24:U24 W24:X24 Z24:AA24">
    <cfRule type="cellIs" dxfId="55" priority="6" stopIfTrue="1" operator="equal">
      <formula>"-"</formula>
    </cfRule>
  </conditionalFormatting>
  <conditionalFormatting sqref="C15:AZ21">
    <cfRule type="cellIs" dxfId="54" priority="50" stopIfTrue="1" operator="equal">
      <formula>""</formula>
    </cfRule>
  </conditionalFormatting>
  <conditionalFormatting sqref="H24">
    <cfRule type="cellIs" dxfId="53" priority="2" operator="lessThanOrEqual">
      <formula>H27</formula>
    </cfRule>
    <cfRule type="cellIs" dxfId="52" priority="3" operator="between">
      <formula>H27</formula>
      <formula>H28</formula>
    </cfRule>
    <cfRule type="cellIs" dxfId="51" priority="4" operator="greaterThanOrEqual">
      <formula>H28</formula>
    </cfRule>
  </conditionalFormatting>
  <dataValidations count="3">
    <dataValidation type="list" allowBlank="1" showInputMessage="1" showErrorMessage="1" sqref="H2">
      <formula1>#REF!</formula1>
    </dataValidation>
    <dataValidation type="list" allowBlank="1" showInputMessage="1" showErrorMessage="1" sqref="G1:J1">
      <formula1>Active_Caller</formula1>
    </dataValidation>
    <dataValidation type="date" operator="greaterThan" allowBlank="1" showInputMessage="1" showErrorMessage="1" sqref="AB34">
      <formula1>43344</formula1>
    </dataValidation>
  </dataValidations>
  <pageMargins left="0.7" right="0.7" top="0.75" bottom="0.75" header="0.3" footer="0.3"/>
  <pageSetup fitToWidth="0" orientation="landscape" r:id="rId1"/>
  <drawing r:id="rId2"/>
  <legacyDrawing r:id="rId3"/>
  <mc:AlternateContent xmlns:mc="http://schemas.openxmlformats.org/markup-compatibility/2006">
    <mc:Choice Requires="x14">
      <controls>
        <mc:AlternateContent xmlns:mc="http://schemas.openxmlformats.org/markup-compatibility/2006">
          <mc:Choice Requires="x14">
            <control shapeId="1110" r:id="rId4" name="Scroll Bar 86">
              <controlPr defaultSize="0" autoPict="0">
                <anchor moveWithCells="1">
                  <from>
                    <xdr:col>1</xdr:col>
                    <xdr:colOff>1781175</xdr:colOff>
                    <xdr:row>11</xdr:row>
                    <xdr:rowOff>19050</xdr:rowOff>
                  </from>
                  <to>
                    <xdr:col>27</xdr:col>
                    <xdr:colOff>590550</xdr:colOff>
                    <xdr:row>11</xdr:row>
                    <xdr:rowOff>190500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cellIs" priority="326" stopIfTrue="1" operator="between" id="{F3BD6A62-F43E-40E3-8D8C-167FC9F68931}">
            <xm:f>'Caller Portal Instructions'!D55</xm:f>
            <xm:f>10000</xm:f>
            <x14:dxf>
              <font>
                <color theme="4" tint="-0.499984740745262"/>
              </font>
              <fill>
                <patternFill>
                  <bgColor theme="4" tint="0.39994506668294322"/>
                </patternFill>
              </fill>
            </x14:dxf>
          </x14:cfRule>
          <x14:cfRule type="cellIs" priority="327" stopIfTrue="1" operator="between" id="{62947CF5-2328-414E-8E1C-A44DEB975FB7}">
            <xm:f>0</xm:f>
            <xm:f>'Caller Portal Instructions'!D45</xm:f>
            <x14:dxf>
              <font>
                <color rgb="FFFF0000"/>
              </font>
              <fill>
                <patternFill>
                  <bgColor rgb="FFFFABAB"/>
                </patternFill>
              </fill>
            </x14:dxf>
          </x14:cfRule>
          <x14:cfRule type="cellIs" priority="328" stopIfTrue="1" operator="between" id="{B00B2EC2-4026-4497-8B91-50097C7B9BBE}">
            <xm:f>'Caller Portal Instructions'!D45</xm:f>
            <xm:f>'Caller Portal Instructions'!D55</xm:f>
            <x14:dxf>
              <font>
                <color theme="9" tint="-0.499984740745262"/>
              </font>
              <fill>
                <patternFill>
                  <bgColor theme="9" tint="0.39994506668294322"/>
                </patternFill>
              </fill>
            </x14:dxf>
          </x14:cfRule>
          <xm:sqref>C15:AZ21</xm:sqref>
        </x14:conditionalFormatting>
        <x14:conditionalFormatting xmlns:xm="http://schemas.microsoft.com/office/excel/2006/main">
          <x14:cfRule type="cellIs" priority="10" stopIfTrue="1" operator="between" id="{D8AC0003-B9E7-4FF1-A4E9-C7903ED857A8}">
            <xm:f>OFFSET('Caller Portal Instructions'!D55,0,$AB$2)</xm:f>
            <xm:f>10000</xm:f>
            <x14:dxf>
              <font>
                <color theme="4" tint="-0.499984740745262"/>
              </font>
              <fill>
                <patternFill>
                  <bgColor theme="4" tint="0.39994506668294322"/>
                </patternFill>
              </fill>
            </x14:dxf>
          </x14:cfRule>
          <x14:cfRule type="cellIs" priority="11" stopIfTrue="1" operator="between" id="{BF4C6A3D-9ECB-43D3-8E03-A7CD79A26359}">
            <xm:f>0</xm:f>
            <xm:f>OFFSET('Caller Portal Instructions'!D45,0,$AB$2)</xm:f>
            <x14:dxf>
              <font>
                <color rgb="FFFF0000"/>
              </font>
              <fill>
                <patternFill>
                  <bgColor rgb="FFFFABAB"/>
                </patternFill>
              </fill>
            </x14:dxf>
          </x14:cfRule>
          <x14:cfRule type="cellIs" priority="12" stopIfTrue="1" operator="between" id="{04E01F46-0386-4ACF-B686-38273E87E10B}">
            <xm:f>OFFSET('Caller Portal Instructions'!D45,0,$AB$2)</xm:f>
            <xm:f>OFFSET('Caller Portal Instructions'!D55,0,$AB$2)</xm:f>
            <x14:dxf>
              <font>
                <color theme="9" tint="-0.499984740745262"/>
              </font>
              <fill>
                <patternFill>
                  <bgColor theme="9" tint="0.39994506668294322"/>
                </patternFill>
              </fill>
            </x14:dxf>
          </x14:cfRule>
          <xm:sqref>C5:AB11</xm:sqref>
        </x14:conditionalFormatting>
        <x14:conditionalFormatting xmlns:xm="http://schemas.microsoft.com/office/excel/2006/main">
          <x14:cfRule type="containsText" priority="1" stopIfTrue="1" operator="containsText" id="{123C097A-87C7-4230-82F5-80F401F3249C}">
            <xm:f>NOT(ISERROR(SEARCH("-",H24)))</xm:f>
            <xm:f>"-"</xm:f>
            <x14:dxf/>
          </x14:cfRule>
          <xm:sqref>H24:I24</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14:formula1>
            <xm:f>'Caller Portal Instructions'!$D$20:$V$20</xm:f>
          </x14:formula1>
          <xm:sqref>AB31:AB32</xm:sqref>
        </x14:dataValidation>
        <x14:dataValidation type="list" allowBlank="1" showInputMessage="1" showErrorMessage="1">
          <x14:formula1>
            <xm:f>'Caller Portal Instructions'!$C$72:$C$75</xm:f>
          </x14:formula1>
          <xm:sqref>AB43</xm:sqref>
        </x14:dataValidation>
        <x14:dataValidation type="list" allowBlank="1" showInputMessage="1" showErrorMessage="1">
          <x14:formula1>
            <xm:f>'Caller Portal Instructions'!$D$27:$J$27</xm:f>
          </x14:formula1>
          <xm:sqref>Z37:AB37</xm:sqref>
        </x14:dataValidation>
        <x14:dataValidation type="list" allowBlank="1" showInputMessage="1" showErrorMessage="1">
          <x14:formula1>
            <xm:f>'Caller Portal Instructions'!$D$28:$L$28</xm:f>
          </x14:formula1>
          <xm:sqref>AB38:AB40</xm:sqref>
        </x14:dataValidation>
        <x14:dataValidation type="list" allowBlank="1" showInputMessage="1" showErrorMessage="1">
          <x14:formula1>
            <xm:f>'Caller Portal Instructions'!$D$29:$E$29</xm:f>
          </x14:formula1>
          <xm:sqref>Y1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N428"/>
  <sheetViews>
    <sheetView topLeftCell="Q1" zoomScale="85" zoomScaleNormal="85" workbookViewId="0">
      <selection activeCell="AB1" sqref="AB1"/>
    </sheetView>
  </sheetViews>
  <sheetFormatPr defaultRowHeight="15" x14ac:dyDescent="0.25"/>
  <cols>
    <col min="1" max="1" width="23" style="81" bestFit="1" customWidth="1"/>
    <col min="2" max="5" width="12.7109375" style="87" customWidth="1"/>
    <col min="6" max="6" width="12.7109375" style="108" customWidth="1"/>
    <col min="7" max="9" width="15.7109375" style="88" customWidth="1"/>
    <col min="10" max="12" width="14.28515625" style="114" customWidth="1"/>
    <col min="13" max="14" width="14.28515625" style="89" customWidth="1"/>
    <col min="15" max="16" width="14.28515625" style="169" customWidth="1"/>
    <col min="17" max="18" width="14.28515625" style="89" customWidth="1"/>
    <col min="19" max="24" width="14.28515625" style="87" customWidth="1"/>
    <col min="25" max="25" width="13.42578125" style="81" customWidth="1"/>
    <col min="26" max="26" width="22.140625" style="81" bestFit="1" customWidth="1"/>
    <col min="27" max="27" width="9.140625" style="81"/>
    <col min="28" max="28" width="21" style="81" customWidth="1"/>
    <col min="29" max="16384" width="9.140625" style="81"/>
  </cols>
  <sheetData>
    <row r="1" spans="1:30" ht="27.75" customHeight="1" thickBot="1" x14ac:dyDescent="0.3">
      <c r="A1" s="109" t="s">
        <v>94</v>
      </c>
      <c r="B1" s="131" t="s">
        <v>252</v>
      </c>
      <c r="C1" s="110" t="s">
        <v>95</v>
      </c>
      <c r="D1" s="110" t="s">
        <v>185</v>
      </c>
      <c r="E1" s="110" t="s">
        <v>186</v>
      </c>
      <c r="F1" s="110" t="s">
        <v>187</v>
      </c>
      <c r="G1" s="111" t="s">
        <v>10</v>
      </c>
      <c r="H1" s="112" t="s">
        <v>188</v>
      </c>
      <c r="I1" s="112" t="s">
        <v>189</v>
      </c>
      <c r="J1" s="112" t="s">
        <v>14</v>
      </c>
      <c r="K1" s="113" t="s">
        <v>108</v>
      </c>
      <c r="L1" s="113" t="s">
        <v>109</v>
      </c>
      <c r="M1" s="113" t="s">
        <v>110</v>
      </c>
      <c r="N1" s="110" t="s">
        <v>190</v>
      </c>
      <c r="O1" s="168" t="s">
        <v>191</v>
      </c>
      <c r="P1" s="168" t="s">
        <v>192</v>
      </c>
      <c r="Q1" s="132" t="s">
        <v>96</v>
      </c>
      <c r="R1" s="132" t="s">
        <v>201</v>
      </c>
      <c r="S1" s="133" t="s">
        <v>202</v>
      </c>
      <c r="T1" s="115" t="s">
        <v>193</v>
      </c>
      <c r="U1" s="115" t="s">
        <v>194</v>
      </c>
      <c r="V1" s="115" t="s">
        <v>195</v>
      </c>
      <c r="W1" s="115" t="s">
        <v>196</v>
      </c>
      <c r="X1" s="115" t="s">
        <v>197</v>
      </c>
      <c r="Y1" s="115" t="s">
        <v>198</v>
      </c>
      <c r="Z1" s="167" t="s">
        <v>258</v>
      </c>
      <c r="AB1" s="73" t="s">
        <v>259</v>
      </c>
      <c r="AC1"/>
      <c r="AD1"/>
    </row>
    <row r="2" spans="1:30" ht="15" customHeight="1" x14ac:dyDescent="0.25">
      <c r="A2" s="202" t="s">
        <v>259</v>
      </c>
      <c r="B2" s="134" t="b">
        <v>1</v>
      </c>
      <c r="C2" s="135">
        <f t="shared" ref="C2:C33" ca="1" si="0">SUMPRODUCT(SUMIF(INDIRECT("'"&amp;SheetList&amp;"'!B4:B150"),$A2,INDIRECT("'"&amp;SheetList&amp;"'!C4:C150")))</f>
        <v>0</v>
      </c>
      <c r="D2" s="135">
        <f t="shared" ref="D2:D33" ca="1" si="1">SUMPRODUCT(SUMIF(INDIRECT("'"&amp;SheetList&amp;"'!B4:B150"),$A2,INDIRECT("'"&amp;SheetList&amp;"'!D4:D150")))</f>
        <v>0</v>
      </c>
      <c r="E2" s="135">
        <f t="shared" ref="E2:E33" ca="1" si="2">SUMPRODUCT(SUMIF(INDIRECT("'"&amp;SheetList&amp;"'!B4:B150"),$A2,INDIRECT("'"&amp;SheetList&amp;"'!E4:E150")))</f>
        <v>0</v>
      </c>
      <c r="F2" s="135">
        <f t="shared" ref="F2:F33" ca="1" si="3">SUMPRODUCT(SUMIF(INDIRECT("'"&amp;SheetList&amp;"'!B4:B150"),$A2,INDIRECT("'"&amp;SheetList&amp;"'!F4:F150")))</f>
        <v>0</v>
      </c>
      <c r="G2" s="136">
        <f t="shared" ref="G2:G33" ca="1" si="4">SUMPRODUCT(SUMIF(INDIRECT("'"&amp;SheetList&amp;"'!B4:B150"),$A2,INDIRECT("'"&amp;SheetList&amp;"'!G4:G150")))</f>
        <v>0</v>
      </c>
      <c r="H2" s="137">
        <f t="shared" ref="H2:H33" ca="1" si="5">SUMPRODUCT(SUMIF(INDIRECT("'"&amp;SheetList&amp;"'!B4:B150"),$A2,INDIRECT("'"&amp;SheetList&amp;"'!h4:h150")))</f>
        <v>0</v>
      </c>
      <c r="I2" s="137">
        <f t="shared" ref="I2:I33" ca="1" si="6">SUMPRODUCT(SUMIF(INDIRECT("'"&amp;SheetList&amp;"'!B4:B150"),$A2,INDIRECT("'"&amp;SheetList&amp;"'!i4:i150")))</f>
        <v>0</v>
      </c>
      <c r="J2" s="137">
        <f t="shared" ref="J2:J33" ca="1" si="7">SUMPRODUCT(SUMIF(INDIRECT("'"&amp;SheetList&amp;"'!B4:B150"),$A2,INDIRECT("'"&amp;SheetList&amp;"'!j4:j150")))</f>
        <v>0</v>
      </c>
      <c r="K2" s="138" t="str">
        <f ca="1">IFERROR(IF(AND('CALLER Portal'!$Y$1 = "False", OverallTable[[#This Row],[Active]] = FALSE), "",OverallTable[[#This Row],[Total Gifts]]/OverallTable[[#This Row],[Contacts]]),"")</f>
        <v/>
      </c>
      <c r="L2" s="138" t="str">
        <f ca="1">IF(AND('CALLER Portal'!$Y$1 = "False", OverallTable[[#This Row],[Active]] = FALSE), "", IF(C2 = 0,"",IFERROR((E2+F2)/D2,0)))</f>
        <v/>
      </c>
      <c r="M2" s="138" t="str">
        <f ca="1">IF(AND('CALLER Portal'!$Y$1 = "False", OverallTable[[#This Row],[Active]] = FALSE), "",IF(C2 = 0,"",IFERROR(F2/D2,0)))</f>
        <v/>
      </c>
      <c r="N2" s="139" t="str">
        <f ca="1">IF(AND('CALLER Portal'!$Y$1 = "False", OverallTable[[#This Row],[Active]] = FALSE), "", IFERROR((H2+I2)/C2,""))</f>
        <v/>
      </c>
      <c r="O2" s="174" t="str">
        <f ca="1">IF(AND('CALLER Portal'!$Y$1 = "False", OverallTable[[#This Row],[Active]] = FALSE),"",IF(C2 = 0,"",IFERROR((E2+F2)/C2,0)))</f>
        <v/>
      </c>
      <c r="P2" s="174" t="str">
        <f ca="1">IF(AND('CALLER Portal'!$Y$1 = "False", OverallTable[[#This Row],[Active]] = FALSE), "", IF(C2 = 0,"",IFERROR((F2)/C2,0)))</f>
        <v/>
      </c>
      <c r="Q2" s="140" t="str">
        <f t="shared" ref="Q2:Q33" ca="1" si="8">IFERROR(G2/C2,"")</f>
        <v/>
      </c>
      <c r="R2" s="140" t="str">
        <f ca="1">IFERROR(_xlfn.PERCENTRANK.INC(OverallTable[F-Score], OverallTable[[#This Row],[F-Score]]),"")</f>
        <v/>
      </c>
      <c r="S2" s="140"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2" s="201" t="str">
        <f t="shared" ref="T2:T33" ca="1" si="9">IFERROR(_xlfn.PERCENTRANK.EXC(K:K, K2), "")</f>
        <v/>
      </c>
      <c r="U2" s="141" t="str">
        <f t="shared" ref="U2:U33" ca="1" si="10">IFERROR(_xlfn.PERCENTRANK.EXC(L:L, L2), "")</f>
        <v/>
      </c>
      <c r="V2" s="141" t="str">
        <f t="shared" ref="V2:V33" ca="1" si="11">IFERROR(_xlfn.PERCENTRANK.EXC(M:M, M2), "")</f>
        <v/>
      </c>
      <c r="W2" s="141" t="str">
        <f t="shared" ref="W2:W33" ca="1" si="12">IFERROR(_xlfn.PERCENTRANK.EXC(N:N, N2), "")</f>
        <v/>
      </c>
      <c r="X2" s="141" t="str">
        <f t="shared" ref="X2:X33" ca="1" si="13">IFERROR(_xlfn.PERCENTRANK.EXC(O:O, O2), "")</f>
        <v/>
      </c>
      <c r="Y2" s="141" t="str">
        <f t="shared" ref="Y2:Y33" ca="1" si="14">IFERROR(_xlfn.PERCENTRANK.EXC(P:P, P2), "")</f>
        <v/>
      </c>
      <c r="Z2" s="141" t="str">
        <f>IFERROR(IF('CALLER Portal'!$Y$1 = "TRUE", OverallTable[[#This Row],[Name]],IF(AND('CALLER Portal'!$Y$1 = "FALSE", OverallTable[[#This Row],[Active]] = TRUE),OverallTable[[#This Row],[Name]],"(Blank)")),"")</f>
        <v>(Blank)</v>
      </c>
      <c r="AB2" s="73" t="s">
        <v>436</v>
      </c>
      <c r="AC2"/>
      <c r="AD2"/>
    </row>
    <row r="3" spans="1:30" x14ac:dyDescent="0.25">
      <c r="A3" s="82" t="s">
        <v>436</v>
      </c>
      <c r="B3" s="134" t="b">
        <v>1</v>
      </c>
      <c r="C3" s="91">
        <f t="shared" ca="1" si="0"/>
        <v>0</v>
      </c>
      <c r="D3" s="91">
        <f t="shared" ca="1" si="1"/>
        <v>0</v>
      </c>
      <c r="E3" s="91">
        <f t="shared" ca="1" si="2"/>
        <v>0</v>
      </c>
      <c r="F3" s="91">
        <f t="shared" ca="1" si="3"/>
        <v>0</v>
      </c>
      <c r="G3" s="107">
        <f t="shared" ca="1" si="4"/>
        <v>0</v>
      </c>
      <c r="H3" s="84">
        <f t="shared" ca="1" si="5"/>
        <v>0</v>
      </c>
      <c r="I3" s="84">
        <f t="shared" ca="1" si="6"/>
        <v>0</v>
      </c>
      <c r="J3" s="84">
        <f t="shared" ca="1" si="7"/>
        <v>0</v>
      </c>
      <c r="K3" s="92" t="str">
        <f ca="1">IFERROR(IF(AND('CALLER Portal'!$Y$1 = "False", OverallTable[[#This Row],[Active]] = FALSE), "",OverallTable[[#This Row],[Total Gifts]]/OverallTable[[#This Row],[Contacts]]),"")</f>
        <v/>
      </c>
      <c r="L3" s="92" t="str">
        <f ca="1">IF(AND('CALLER Portal'!$Y$1 = "False", OverallTable[[#This Row],[Active]] = FALSE), "", IF(C3 = 0,"",IFERROR((E3+F3)/D3,0)))</f>
        <v/>
      </c>
      <c r="M3" s="92" t="str">
        <f ca="1">IF(AND('CALLER Portal'!$Y$1 = "False", OverallTable[[#This Row],[Active]] = FALSE), "",IF(C3 = 0,"",IFERROR(F3/D3,0)))</f>
        <v/>
      </c>
      <c r="N3" s="85" t="str">
        <f ca="1">IF(AND('CALLER Portal'!$Y$1 = "False", OverallTable[[#This Row],[Active]] = FALSE), "", IFERROR((H3+I3)/C3,""))</f>
        <v/>
      </c>
      <c r="O3" s="173" t="str">
        <f ca="1">IF(AND('CALLER Portal'!$Y$1 = "False", OverallTable[[#This Row],[Active]] = FALSE),"",IF(C3 = 0,"",IFERROR((E3+F3)/C3,0)))</f>
        <v/>
      </c>
      <c r="P3" s="173" t="str">
        <f ca="1">IF(AND('CALLER Portal'!$Y$1 = "False", OverallTable[[#This Row],[Active]] = FALSE), "", IF(C3 = 0,"",IFERROR((F3)/C3,0)))</f>
        <v/>
      </c>
      <c r="Q3" s="86" t="str">
        <f t="shared" ca="1" si="8"/>
        <v/>
      </c>
      <c r="R3" s="86" t="str">
        <f ca="1">IFERROR(_xlfn.PERCENTRANK.INC(OverallTable[F-Score], OverallTable[[#This Row],[F-Score]]),"")</f>
        <v/>
      </c>
      <c r="S3"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3" s="116" t="str">
        <f t="shared" ca="1" si="9"/>
        <v/>
      </c>
      <c r="U3" s="117" t="str">
        <f t="shared" ca="1" si="10"/>
        <v/>
      </c>
      <c r="V3" s="117" t="str">
        <f t="shared" ca="1" si="11"/>
        <v/>
      </c>
      <c r="W3" s="117" t="str">
        <f t="shared" ca="1" si="12"/>
        <v/>
      </c>
      <c r="X3" s="117" t="str">
        <f t="shared" ca="1" si="13"/>
        <v/>
      </c>
      <c r="Y3" s="117" t="str">
        <f t="shared" ca="1" si="14"/>
        <v/>
      </c>
      <c r="Z3" s="141" t="str">
        <f>IFERROR(IF('CALLER Portal'!$Y$1 = "TRUE", OverallTable[[#This Row],[Name]],IF(AND('CALLER Portal'!$Y$1 = "FALSE", OverallTable[[#This Row],[Active]] = TRUE),OverallTable[[#This Row],[Name]],"(Blank)")),"")</f>
        <v>Aaron Lake</v>
      </c>
      <c r="AB3" s="73" t="s">
        <v>363</v>
      </c>
      <c r="AC3"/>
      <c r="AD3"/>
    </row>
    <row r="4" spans="1:30" x14ac:dyDescent="0.25">
      <c r="A4" s="82" t="s">
        <v>363</v>
      </c>
      <c r="B4" s="134" t="b">
        <v>1</v>
      </c>
      <c r="C4" s="83">
        <f t="shared" ca="1" si="0"/>
        <v>0</v>
      </c>
      <c r="D4" s="83">
        <f t="shared" ca="1" si="1"/>
        <v>0</v>
      </c>
      <c r="E4" s="83">
        <f t="shared" ca="1" si="2"/>
        <v>0</v>
      </c>
      <c r="F4" s="83">
        <f t="shared" ca="1" si="3"/>
        <v>0</v>
      </c>
      <c r="G4" s="107">
        <f t="shared" ca="1" si="4"/>
        <v>0</v>
      </c>
      <c r="H4" s="84">
        <f t="shared" ca="1" si="5"/>
        <v>0</v>
      </c>
      <c r="I4" s="84">
        <f t="shared" ca="1" si="6"/>
        <v>0</v>
      </c>
      <c r="J4" s="84">
        <f t="shared" ca="1" si="7"/>
        <v>0</v>
      </c>
      <c r="K4" s="92" t="str">
        <f ca="1">IFERROR(IF(AND('CALLER Portal'!$Y$1 = "False", OverallTable[[#This Row],[Active]] = FALSE), "",OverallTable[[#This Row],[Total Gifts]]/OverallTable[[#This Row],[Contacts]]),"")</f>
        <v/>
      </c>
      <c r="L4" s="92" t="str">
        <f ca="1">IF(AND('CALLER Portal'!$Y$1 = "False", OverallTable[[#This Row],[Active]] = FALSE), "", IF(C4 = 0,"",IFERROR((E4+F4)/D4,0)))</f>
        <v/>
      </c>
      <c r="M4" s="92" t="str">
        <f ca="1">IF(AND('CALLER Portal'!$Y$1 = "False", OverallTable[[#This Row],[Active]] = FALSE), "",IF(C4 = 0,"",IFERROR(F4/D4,0)))</f>
        <v/>
      </c>
      <c r="N4" s="85" t="str">
        <f ca="1">IF(AND('CALLER Portal'!$Y$1 = "False", OverallTable[[#This Row],[Active]] = FALSE), "", IFERROR((H4+I4)/C4,""))</f>
        <v/>
      </c>
      <c r="O4" s="170" t="str">
        <f ca="1">IF(AND('CALLER Portal'!$Y$1 = "False", OverallTable[[#This Row],[Active]] = FALSE),"",IF(C4 = 0,"",IFERROR((E4+F4)/C4,0)))</f>
        <v/>
      </c>
      <c r="P4" s="170" t="str">
        <f ca="1">IF(AND('CALLER Portal'!$Y$1 = "False", OverallTable[[#This Row],[Active]] = FALSE), "", IF(C4 = 0,"",IFERROR((F4)/C4,0)))</f>
        <v/>
      </c>
      <c r="Q4" s="86" t="str">
        <f t="shared" ca="1" si="8"/>
        <v/>
      </c>
      <c r="R4" s="86" t="str">
        <f ca="1">IFERROR(_xlfn.PERCENTRANK.INC(OverallTable[F-Score], OverallTable[[#This Row],[F-Score]]),"")</f>
        <v/>
      </c>
      <c r="S4"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4" s="116" t="str">
        <f t="shared" ca="1" si="9"/>
        <v/>
      </c>
      <c r="U4" s="117" t="str">
        <f t="shared" ca="1" si="10"/>
        <v/>
      </c>
      <c r="V4" s="117" t="str">
        <f t="shared" ca="1" si="11"/>
        <v/>
      </c>
      <c r="W4" s="117" t="str">
        <f t="shared" ca="1" si="12"/>
        <v/>
      </c>
      <c r="X4" s="117" t="str">
        <f t="shared" ca="1" si="13"/>
        <v/>
      </c>
      <c r="Y4" s="117" t="str">
        <f t="shared" ca="1" si="14"/>
        <v/>
      </c>
      <c r="Z4" s="141" t="str">
        <f>IFERROR(IF('CALLER Portal'!$Y$1 = "TRUE", OverallTable[[#This Row],[Name]],IF(AND('CALLER Portal'!$Y$1 = "FALSE", OverallTable[[#This Row],[Active]] = TRUE),OverallTable[[#This Row],[Name]],"(Blank)")),"")</f>
        <v xml:space="preserve">Aayat Barr </v>
      </c>
      <c r="AB4" s="73" t="s">
        <v>388</v>
      </c>
      <c r="AC4"/>
      <c r="AD4"/>
    </row>
    <row r="5" spans="1:30" x14ac:dyDescent="0.25">
      <c r="A5" s="82" t="s">
        <v>388</v>
      </c>
      <c r="B5" s="134" t="b">
        <v>1</v>
      </c>
      <c r="C5" s="83">
        <f t="shared" ca="1" si="0"/>
        <v>0</v>
      </c>
      <c r="D5" s="83">
        <f t="shared" ca="1" si="1"/>
        <v>0</v>
      </c>
      <c r="E5" s="83">
        <f t="shared" ca="1" si="2"/>
        <v>0</v>
      </c>
      <c r="F5" s="83">
        <f t="shared" ca="1" si="3"/>
        <v>0</v>
      </c>
      <c r="G5" s="107">
        <f t="shared" ca="1" si="4"/>
        <v>0</v>
      </c>
      <c r="H5" s="84">
        <f t="shared" ca="1" si="5"/>
        <v>0</v>
      </c>
      <c r="I5" s="84">
        <f t="shared" ca="1" si="6"/>
        <v>0</v>
      </c>
      <c r="J5" s="84">
        <f t="shared" ca="1" si="7"/>
        <v>0</v>
      </c>
      <c r="K5" s="92" t="str">
        <f ca="1">IFERROR(IF(AND('CALLER Portal'!$Y$1 = "False", OverallTable[[#This Row],[Active]] = FALSE), "",OverallTable[[#This Row],[Total Gifts]]/OverallTable[[#This Row],[Contacts]]),"")</f>
        <v/>
      </c>
      <c r="L5" s="92" t="str">
        <f ca="1">IF(AND('CALLER Portal'!$Y$1 = "False", OverallTable[[#This Row],[Active]] = FALSE), "", IF(C5 = 0,"",IFERROR((E5+F5)/D5,0)))</f>
        <v/>
      </c>
      <c r="M5" s="92" t="str">
        <f ca="1">IF(AND('CALLER Portal'!$Y$1 = "False", OverallTable[[#This Row],[Active]] = FALSE), "",IF(C5 = 0,"",IFERROR(F5/D5,0)))</f>
        <v/>
      </c>
      <c r="N5" s="85" t="str">
        <f ca="1">IF(AND('CALLER Portal'!$Y$1 = "False", OverallTable[[#This Row],[Active]] = FALSE), "", IFERROR((H5+I5)/C5,""))</f>
        <v/>
      </c>
      <c r="O5" s="170" t="str">
        <f ca="1">IF(AND('CALLER Portal'!$Y$1 = "False", OverallTable[[#This Row],[Active]] = FALSE),"",IF(C5 = 0,"",IFERROR((E5+F5)/C5,0)))</f>
        <v/>
      </c>
      <c r="P5" s="170" t="str">
        <f ca="1">IF(AND('CALLER Portal'!$Y$1 = "False", OverallTable[[#This Row],[Active]] = FALSE), "", IF(C5 = 0,"",IFERROR((F5)/C5,0)))</f>
        <v/>
      </c>
      <c r="Q5" s="86" t="str">
        <f t="shared" ca="1" si="8"/>
        <v/>
      </c>
      <c r="R5" s="86" t="str">
        <f ca="1">IFERROR(_xlfn.PERCENTRANK.INC(OverallTable[F-Score], OverallTable[[#This Row],[F-Score]]),"")</f>
        <v/>
      </c>
      <c r="S5"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5" s="116" t="str">
        <f t="shared" ca="1" si="9"/>
        <v/>
      </c>
      <c r="U5" s="117" t="str">
        <f t="shared" ca="1" si="10"/>
        <v/>
      </c>
      <c r="V5" s="117" t="str">
        <f t="shared" ca="1" si="11"/>
        <v/>
      </c>
      <c r="W5" s="117" t="str">
        <f t="shared" ca="1" si="12"/>
        <v/>
      </c>
      <c r="X5" s="117" t="str">
        <f t="shared" ca="1" si="13"/>
        <v/>
      </c>
      <c r="Y5" s="117" t="str">
        <f t="shared" ca="1" si="14"/>
        <v/>
      </c>
      <c r="Z5" s="141" t="str">
        <f>IFERROR(IF('CALLER Portal'!$Y$1 = "TRUE", OverallTable[[#This Row],[Name]],IF(AND('CALLER Portal'!$Y$1 = "FALSE", OverallTable[[#This Row],[Active]] = TRUE),OverallTable[[#This Row],[Name]],"(Blank)")),"")</f>
        <v xml:space="preserve">Aayush Shop </v>
      </c>
      <c r="AB5" s="73" t="s">
        <v>337</v>
      </c>
      <c r="AC5"/>
      <c r="AD5"/>
    </row>
    <row r="6" spans="1:30" x14ac:dyDescent="0.25">
      <c r="A6" s="158" t="s">
        <v>337</v>
      </c>
      <c r="B6" s="134" t="b">
        <v>1</v>
      </c>
      <c r="C6" s="239">
        <f t="shared" ca="1" si="0"/>
        <v>44.021000000000008</v>
      </c>
      <c r="D6" s="239">
        <f t="shared" ca="1" si="1"/>
        <v>77</v>
      </c>
      <c r="E6" s="239">
        <f t="shared" ca="1" si="2"/>
        <v>51</v>
      </c>
      <c r="F6" s="239">
        <f t="shared" ca="1" si="3"/>
        <v>5</v>
      </c>
      <c r="G6" s="240">
        <f t="shared" ca="1" si="4"/>
        <v>220</v>
      </c>
      <c r="H6" s="241">
        <f t="shared" ca="1" si="5"/>
        <v>2950</v>
      </c>
      <c r="I6" s="241">
        <f t="shared" ca="1" si="6"/>
        <v>600</v>
      </c>
      <c r="J6" s="241">
        <f t="shared" ca="1" si="7"/>
        <v>4730</v>
      </c>
      <c r="K6" s="242">
        <f ca="1">IFERROR(IF(AND('CALLER Portal'!$Y$1 = "False", OverallTable[[#This Row],[Active]] = FALSE), "",OverallTable[[#This Row],[Total Gifts]]/OverallTable[[#This Row],[Contacts]]),"")</f>
        <v>0.35</v>
      </c>
      <c r="L6" s="242">
        <f ca="1">IF(AND('CALLER Portal'!$Y$1 = "False", OverallTable[[#This Row],[Active]] = FALSE), "", IF(C6 = 0,"",IFERROR((E6+F6)/D6,0)))</f>
        <v>0.72727272727272729</v>
      </c>
      <c r="M6" s="242">
        <f ca="1">IF(AND('CALLER Portal'!$Y$1 = "False", OverallTable[[#This Row],[Active]] = FALSE), "",IF(C6 = 0,"",IFERROR(F6/D6,0)))</f>
        <v>6.4935064935064929E-2</v>
      </c>
      <c r="N6" s="243">
        <f ca="1">IF(AND('CALLER Portal'!$Y$1 = "False", OverallTable[[#This Row],[Active]] = FALSE), "", IFERROR((H6+I6)/C6,""))</f>
        <v>80.643329320097209</v>
      </c>
      <c r="O6" s="244">
        <f ca="1">IF(AND('CALLER Portal'!$Y$1 = "False", OverallTable[[#This Row],[Active]] = FALSE),"",IF(C6 = 0,"",IFERROR((E6+F6)/C6,0)))</f>
        <v>1.2721201244860405</v>
      </c>
      <c r="P6" s="244">
        <f ca="1">IF(AND('CALLER Portal'!$Y$1 = "False", OverallTable[[#This Row],[Active]] = FALSE), "", IF(C6 = 0,"",IFERROR((F6)/C6,0)))</f>
        <v>0.1135821539719679</v>
      </c>
      <c r="Q6" s="245">
        <f t="shared" ca="1" si="8"/>
        <v>4.9976147747665882</v>
      </c>
      <c r="R6" s="245">
        <f ca="1">IFERROR(_xlfn.PERCENTRANK.INC(OverallTable[F-Score], OverallTable[[#This Row],[F-Score]]),"")</f>
        <v>0.92</v>
      </c>
      <c r="S6" s="245">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0.77959999999999996</v>
      </c>
      <c r="T6" s="159">
        <f t="shared" ca="1" si="9"/>
        <v>0.82199999999999995</v>
      </c>
      <c r="U6" s="141">
        <f t="shared" ca="1" si="10"/>
        <v>0.84399999999999997</v>
      </c>
      <c r="V6" s="141">
        <f t="shared" ca="1" si="11"/>
        <v>0.52200000000000002</v>
      </c>
      <c r="W6" s="141">
        <f t="shared" ca="1" si="12"/>
        <v>0.877</v>
      </c>
      <c r="X6" s="141">
        <f t="shared" ca="1" si="13"/>
        <v>0.8</v>
      </c>
      <c r="Y6" s="141">
        <f t="shared" ca="1" si="14"/>
        <v>0.58799999999999997</v>
      </c>
      <c r="Z6" s="141" t="str">
        <f>IFERROR(IF('CALLER Portal'!$Y$1 = "TRUE", OverallTable[[#This Row],[Name]],IF(AND('CALLER Portal'!$Y$1 = "FALSE", OverallTable[[#This Row],[Active]] = TRUE),OverallTable[[#This Row],[Name]],"(Blank)")),"")</f>
        <v xml:space="preserve">Abby Red </v>
      </c>
      <c r="AB6" s="73" t="s">
        <v>327</v>
      </c>
      <c r="AC6"/>
      <c r="AD6"/>
    </row>
    <row r="7" spans="1:30" x14ac:dyDescent="0.25">
      <c r="A7" s="82" t="s">
        <v>327</v>
      </c>
      <c r="B7" s="134" t="b">
        <v>1</v>
      </c>
      <c r="C7" s="83">
        <f t="shared" ca="1" si="0"/>
        <v>0</v>
      </c>
      <c r="D7" s="83">
        <f t="shared" ca="1" si="1"/>
        <v>0</v>
      </c>
      <c r="E7" s="83">
        <f t="shared" ca="1" si="2"/>
        <v>0</v>
      </c>
      <c r="F7" s="83">
        <f t="shared" ca="1" si="3"/>
        <v>0</v>
      </c>
      <c r="G7" s="107">
        <f t="shared" ca="1" si="4"/>
        <v>0</v>
      </c>
      <c r="H7" s="84">
        <f t="shared" ca="1" si="5"/>
        <v>0</v>
      </c>
      <c r="I7" s="84">
        <f t="shared" ca="1" si="6"/>
        <v>0</v>
      </c>
      <c r="J7" s="84">
        <f t="shared" ca="1" si="7"/>
        <v>0</v>
      </c>
      <c r="K7" s="92" t="str">
        <f ca="1">IFERROR(IF(AND('CALLER Portal'!$Y$1 = "False", OverallTable[[#This Row],[Active]] = FALSE), "",OverallTable[[#This Row],[Total Gifts]]/OverallTable[[#This Row],[Contacts]]),"")</f>
        <v/>
      </c>
      <c r="L7" s="92" t="str">
        <f ca="1">IF(AND('CALLER Portal'!$Y$1 = "False", OverallTable[[#This Row],[Active]] = FALSE), "", IF(C7 = 0,"",IFERROR((E7+F7)/D7,0)))</f>
        <v/>
      </c>
      <c r="M7" s="92" t="str">
        <f ca="1">IF(AND('CALLER Portal'!$Y$1 = "False", OverallTable[[#This Row],[Active]] = FALSE), "",IF(C7 = 0,"",IFERROR(F7/D7,0)))</f>
        <v/>
      </c>
      <c r="N7" s="85" t="str">
        <f ca="1">IF(AND('CALLER Portal'!$Y$1 = "False", OverallTable[[#This Row],[Active]] = FALSE), "", IFERROR((H7+I7)/C7,""))</f>
        <v/>
      </c>
      <c r="O7" s="170" t="str">
        <f ca="1">IF(AND('CALLER Portal'!$Y$1 = "False", OverallTable[[#This Row],[Active]] = FALSE),"",IF(C7 = 0,"",IFERROR((E7+F7)/C7,0)))</f>
        <v/>
      </c>
      <c r="P7" s="170" t="str">
        <f ca="1">IF(AND('CALLER Portal'!$Y$1 = "False", OverallTable[[#This Row],[Active]] = FALSE), "", IF(C7 = 0,"",IFERROR((F7)/C7,0)))</f>
        <v/>
      </c>
      <c r="Q7" s="86" t="str">
        <f t="shared" ca="1" si="8"/>
        <v/>
      </c>
      <c r="R7" s="86" t="str">
        <f ca="1">IFERROR(_xlfn.PERCENTRANK.INC(OverallTable[F-Score], OverallTable[[#This Row],[F-Score]]),"")</f>
        <v/>
      </c>
      <c r="S7"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7" s="116" t="str">
        <f t="shared" ca="1" si="9"/>
        <v/>
      </c>
      <c r="U7" s="117" t="str">
        <f t="shared" ca="1" si="10"/>
        <v/>
      </c>
      <c r="V7" s="117" t="str">
        <f t="shared" ca="1" si="11"/>
        <v/>
      </c>
      <c r="W7" s="117" t="str">
        <f t="shared" ca="1" si="12"/>
        <v/>
      </c>
      <c r="X7" s="117" t="str">
        <f t="shared" ca="1" si="13"/>
        <v/>
      </c>
      <c r="Y7" s="117" t="str">
        <f t="shared" ca="1" si="14"/>
        <v/>
      </c>
      <c r="Z7" s="141" t="str">
        <f>IFERROR(IF('CALLER Portal'!$Y$1 = "TRUE", OverallTable[[#This Row],[Name]],IF(AND('CALLER Portal'!$Y$1 = "FALSE", OverallTable[[#This Row],[Active]] = TRUE),OverallTable[[#This Row],[Name]],"(Blank)")),"")</f>
        <v xml:space="preserve">Abigail Mueller </v>
      </c>
      <c r="AB7" s="73" t="s">
        <v>418</v>
      </c>
      <c r="AC7"/>
      <c r="AD7"/>
    </row>
    <row r="8" spans="1:30" x14ac:dyDescent="0.25">
      <c r="A8" s="82" t="s">
        <v>418</v>
      </c>
      <c r="B8" s="134" t="b">
        <v>1</v>
      </c>
      <c r="C8" s="91">
        <f t="shared" ca="1" si="0"/>
        <v>0</v>
      </c>
      <c r="D8" s="91">
        <f t="shared" ca="1" si="1"/>
        <v>0</v>
      </c>
      <c r="E8" s="91">
        <f t="shared" ca="1" si="2"/>
        <v>0</v>
      </c>
      <c r="F8" s="91">
        <f t="shared" ca="1" si="3"/>
        <v>0</v>
      </c>
      <c r="G8" s="107">
        <f t="shared" ca="1" si="4"/>
        <v>0</v>
      </c>
      <c r="H8" s="84">
        <f t="shared" ca="1" si="5"/>
        <v>0</v>
      </c>
      <c r="I8" s="84">
        <f t="shared" ca="1" si="6"/>
        <v>0</v>
      </c>
      <c r="J8" s="84">
        <f t="shared" ca="1" si="7"/>
        <v>0</v>
      </c>
      <c r="K8" s="92" t="str">
        <f ca="1">IFERROR(IF(AND('CALLER Portal'!$Y$1 = "False", OverallTable[[#This Row],[Active]] = FALSE), "",OverallTable[[#This Row],[Total Gifts]]/OverallTable[[#This Row],[Contacts]]),"")</f>
        <v/>
      </c>
      <c r="L8" s="92" t="str">
        <f ca="1">IF(AND('CALLER Portal'!$Y$1 = "False", OverallTable[[#This Row],[Active]] = FALSE), "", IF(C8 = 0,"",IFERROR((E8+F8)/D8,0)))</f>
        <v/>
      </c>
      <c r="M8" s="92" t="str">
        <f ca="1">IF(AND('CALLER Portal'!$Y$1 = "False", OverallTable[[#This Row],[Active]] = FALSE), "",IF(C8 = 0,"",IFERROR(F8/D8,0)))</f>
        <v/>
      </c>
      <c r="N8" s="85" t="str">
        <f ca="1">IF(AND('CALLER Portal'!$Y$1 = "False", OverallTable[[#This Row],[Active]] = FALSE), "", IFERROR((H8+I8)/C8,""))</f>
        <v/>
      </c>
      <c r="O8" s="173" t="str">
        <f ca="1">IF(AND('CALLER Portal'!$Y$1 = "False", OverallTable[[#This Row],[Active]] = FALSE),"",IF(C8 = 0,"",IFERROR((E8+F8)/C8,0)))</f>
        <v/>
      </c>
      <c r="P8" s="173" t="str">
        <f ca="1">IF(AND('CALLER Portal'!$Y$1 = "False", OverallTable[[#This Row],[Active]] = FALSE), "", IF(C8 = 0,"",IFERROR((F8)/C8,0)))</f>
        <v/>
      </c>
      <c r="Q8" s="86" t="str">
        <f t="shared" ca="1" si="8"/>
        <v/>
      </c>
      <c r="R8" s="86" t="str">
        <f ca="1">IFERROR(_xlfn.PERCENTRANK.INC(OverallTable[F-Score], OverallTable[[#This Row],[F-Score]]),"")</f>
        <v/>
      </c>
      <c r="S8"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8" s="116" t="str">
        <f t="shared" ca="1" si="9"/>
        <v/>
      </c>
      <c r="U8" s="117" t="str">
        <f t="shared" ca="1" si="10"/>
        <v/>
      </c>
      <c r="V8" s="117" t="str">
        <f t="shared" ca="1" si="11"/>
        <v/>
      </c>
      <c r="W8" s="117" t="str">
        <f t="shared" ca="1" si="12"/>
        <v/>
      </c>
      <c r="X8" s="117" t="str">
        <f t="shared" ca="1" si="13"/>
        <v/>
      </c>
      <c r="Y8" s="117" t="str">
        <f t="shared" ca="1" si="14"/>
        <v/>
      </c>
      <c r="Z8" s="141" t="str">
        <f>IFERROR(IF('CALLER Portal'!$Y$1 = "TRUE", OverallTable[[#This Row],[Name]],IF(AND('CALLER Portal'!$Y$1 = "FALSE", OverallTable[[#This Row],[Active]] = TRUE),OverallTable[[#This Row],[Name]],"(Blank)")),"")</f>
        <v xml:space="preserve">Abu Darmin </v>
      </c>
      <c r="AB8" s="73" t="s">
        <v>273</v>
      </c>
      <c r="AC8"/>
      <c r="AD8"/>
    </row>
    <row r="9" spans="1:30" x14ac:dyDescent="0.25">
      <c r="A9" s="82" t="s">
        <v>273</v>
      </c>
      <c r="B9" s="134" t="b">
        <v>1</v>
      </c>
      <c r="C9" s="83">
        <f t="shared" ca="1" si="0"/>
        <v>0</v>
      </c>
      <c r="D9" s="83">
        <f t="shared" ca="1" si="1"/>
        <v>0</v>
      </c>
      <c r="E9" s="83">
        <f t="shared" ca="1" si="2"/>
        <v>0</v>
      </c>
      <c r="F9" s="83">
        <f t="shared" ca="1" si="3"/>
        <v>0</v>
      </c>
      <c r="G9" s="107">
        <f t="shared" ca="1" si="4"/>
        <v>0</v>
      </c>
      <c r="H9" s="84">
        <f t="shared" ca="1" si="5"/>
        <v>0</v>
      </c>
      <c r="I9" s="84">
        <f t="shared" ca="1" si="6"/>
        <v>0</v>
      </c>
      <c r="J9" s="84">
        <f t="shared" ca="1" si="7"/>
        <v>0</v>
      </c>
      <c r="K9" s="92" t="str">
        <f ca="1">IFERROR(IF(AND('CALLER Portal'!$Y$1 = "False", OverallTable[[#This Row],[Active]] = FALSE), "",OverallTable[[#This Row],[Total Gifts]]/OverallTable[[#This Row],[Contacts]]),"")</f>
        <v/>
      </c>
      <c r="L9" s="92" t="str">
        <f ca="1">IF(AND('CALLER Portal'!$Y$1 = "False", OverallTable[[#This Row],[Active]] = FALSE), "", IF(C9 = 0,"",IFERROR((E9+F9)/D9,0)))</f>
        <v/>
      </c>
      <c r="M9" s="92" t="str">
        <f ca="1">IF(AND('CALLER Portal'!$Y$1 = "False", OverallTable[[#This Row],[Active]] = FALSE), "",IF(C9 = 0,"",IFERROR(F9/D9,0)))</f>
        <v/>
      </c>
      <c r="N9" s="85" t="str">
        <f ca="1">IF(AND('CALLER Portal'!$Y$1 = "False", OverallTable[[#This Row],[Active]] = FALSE), "", IFERROR((H9+I9)/C9,""))</f>
        <v/>
      </c>
      <c r="O9" s="170" t="str">
        <f ca="1">IF(AND('CALLER Portal'!$Y$1 = "False", OverallTable[[#This Row],[Active]] = FALSE),"",IF(C9 = 0,"",IFERROR((E9+F9)/C9,0)))</f>
        <v/>
      </c>
      <c r="P9" s="170" t="str">
        <f ca="1">IF(AND('CALLER Portal'!$Y$1 = "False", OverallTable[[#This Row],[Active]] = FALSE), "", IF(C9 = 0,"",IFERROR((F9)/C9,0)))</f>
        <v/>
      </c>
      <c r="Q9" s="86" t="str">
        <f t="shared" ca="1" si="8"/>
        <v/>
      </c>
      <c r="R9" s="86" t="str">
        <f ca="1">IFERROR(_xlfn.PERCENTRANK.INC(OverallTable[F-Score], OverallTable[[#This Row],[F-Score]]),"")</f>
        <v/>
      </c>
      <c r="S9"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9" s="116" t="str">
        <f t="shared" ca="1" si="9"/>
        <v/>
      </c>
      <c r="U9" s="117" t="str">
        <f t="shared" ca="1" si="10"/>
        <v/>
      </c>
      <c r="V9" s="117" t="str">
        <f t="shared" ca="1" si="11"/>
        <v/>
      </c>
      <c r="W9" s="117" t="str">
        <f t="shared" ca="1" si="12"/>
        <v/>
      </c>
      <c r="X9" s="117" t="str">
        <f t="shared" ca="1" si="13"/>
        <v/>
      </c>
      <c r="Y9" s="117" t="str">
        <f t="shared" ca="1" si="14"/>
        <v/>
      </c>
      <c r="Z9" s="141" t="str">
        <f>IFERROR(IF('CALLER Portal'!$Y$1 = "TRUE", OverallTable[[#This Row],[Name]],IF(AND('CALLER Portal'!$Y$1 = "FALSE", OverallTable[[#This Row],[Active]] = TRUE),OverallTable[[#This Row],[Name]],"(Blank)")),"")</f>
        <v xml:space="preserve">Adam Briggs </v>
      </c>
      <c r="AB9" s="73" t="s">
        <v>433</v>
      </c>
      <c r="AC9"/>
      <c r="AD9"/>
    </row>
    <row r="10" spans="1:30" x14ac:dyDescent="0.25">
      <c r="A10" s="82" t="s">
        <v>433</v>
      </c>
      <c r="B10" s="134" t="b">
        <v>1</v>
      </c>
      <c r="C10" s="91">
        <f t="shared" ca="1" si="0"/>
        <v>0</v>
      </c>
      <c r="D10" s="91">
        <f t="shared" ca="1" si="1"/>
        <v>0</v>
      </c>
      <c r="E10" s="91">
        <f t="shared" ca="1" si="2"/>
        <v>0</v>
      </c>
      <c r="F10" s="91">
        <f t="shared" ca="1" si="3"/>
        <v>0</v>
      </c>
      <c r="G10" s="107">
        <f t="shared" ca="1" si="4"/>
        <v>0</v>
      </c>
      <c r="H10" s="84">
        <f t="shared" ca="1" si="5"/>
        <v>0</v>
      </c>
      <c r="I10" s="84">
        <f t="shared" ca="1" si="6"/>
        <v>0</v>
      </c>
      <c r="J10" s="84">
        <f t="shared" ca="1" si="7"/>
        <v>0</v>
      </c>
      <c r="K10" s="92" t="str">
        <f ca="1">IFERROR(IF(AND('CALLER Portal'!$Y$1 = "False", OverallTable[[#This Row],[Active]] = FALSE), "",OverallTable[[#This Row],[Total Gifts]]/OverallTable[[#This Row],[Contacts]]),"")</f>
        <v/>
      </c>
      <c r="L10" s="92" t="str">
        <f ca="1">IF(AND('CALLER Portal'!$Y$1 = "False", OverallTable[[#This Row],[Active]] = FALSE), "", IF(C10 = 0,"",IFERROR((E10+F10)/D10,0)))</f>
        <v/>
      </c>
      <c r="M10" s="92" t="str">
        <f ca="1">IF(AND('CALLER Portal'!$Y$1 = "False", OverallTable[[#This Row],[Active]] = FALSE), "",IF(C10 = 0,"",IFERROR(F10/D10,0)))</f>
        <v/>
      </c>
      <c r="N10" s="85" t="str">
        <f ca="1">IF(AND('CALLER Portal'!$Y$1 = "False", OverallTable[[#This Row],[Active]] = FALSE), "", IFERROR((H10+I10)/C10,""))</f>
        <v/>
      </c>
      <c r="O10" s="173" t="str">
        <f ca="1">IF(AND('CALLER Portal'!$Y$1 = "False", OverallTable[[#This Row],[Active]] = FALSE),"",IF(C10 = 0,"",IFERROR((E10+F10)/C10,0)))</f>
        <v/>
      </c>
      <c r="P10" s="173" t="str">
        <f ca="1">IF(AND('CALLER Portal'!$Y$1 = "False", OverallTable[[#This Row],[Active]] = FALSE), "", IF(C10 = 0,"",IFERROR((F10)/C10,0)))</f>
        <v/>
      </c>
      <c r="Q10" s="86" t="str">
        <f t="shared" ca="1" si="8"/>
        <v/>
      </c>
      <c r="R10" s="86" t="str">
        <f ca="1">IFERROR(_xlfn.PERCENTRANK.INC(OverallTable[F-Score], OverallTable[[#This Row],[F-Score]]),"")</f>
        <v/>
      </c>
      <c r="S10"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10" s="201" t="str">
        <f t="shared" ca="1" si="9"/>
        <v/>
      </c>
      <c r="U10" s="117" t="str">
        <f t="shared" ca="1" si="10"/>
        <v/>
      </c>
      <c r="V10" s="117" t="str">
        <f t="shared" ca="1" si="11"/>
        <v/>
      </c>
      <c r="W10" s="117" t="str">
        <f t="shared" ca="1" si="12"/>
        <v/>
      </c>
      <c r="X10" s="117" t="str">
        <f t="shared" ca="1" si="13"/>
        <v/>
      </c>
      <c r="Y10" s="117" t="str">
        <f t="shared" ca="1" si="14"/>
        <v/>
      </c>
      <c r="Z10" s="141" t="str">
        <f>IFERROR(IF('CALLER Portal'!$Y$1 = "TRUE", OverallTable[[#This Row],[Name]],IF(AND('CALLER Portal'!$Y$1 = "FALSE", OverallTable[[#This Row],[Active]] = TRUE),OverallTable[[#This Row],[Name]],"(Blank)")),"")</f>
        <v xml:space="preserve">Agatha Snow </v>
      </c>
      <c r="AB10" s="73" t="s">
        <v>272</v>
      </c>
      <c r="AC10"/>
      <c r="AD10"/>
    </row>
    <row r="11" spans="1:30" x14ac:dyDescent="0.25">
      <c r="A11" s="82" t="s">
        <v>272</v>
      </c>
      <c r="B11" s="134" t="b">
        <v>1</v>
      </c>
      <c r="C11" s="83">
        <f t="shared" ca="1" si="0"/>
        <v>95.919000000000011</v>
      </c>
      <c r="D11" s="83">
        <f t="shared" ca="1" si="1"/>
        <v>182</v>
      </c>
      <c r="E11" s="83">
        <f t="shared" ca="1" si="2"/>
        <v>87</v>
      </c>
      <c r="F11" s="83">
        <f t="shared" ca="1" si="3"/>
        <v>30</v>
      </c>
      <c r="G11" s="107">
        <f t="shared" ca="1" si="4"/>
        <v>772</v>
      </c>
      <c r="H11" s="84">
        <f t="shared" ca="1" si="5"/>
        <v>3553</v>
      </c>
      <c r="I11" s="84">
        <f t="shared" ca="1" si="6"/>
        <v>3804</v>
      </c>
      <c r="J11" s="84">
        <f t="shared" ca="1" si="7"/>
        <v>10462</v>
      </c>
      <c r="K11" s="92">
        <f ca="1">IFERROR(IF(AND('CALLER Portal'!$Y$1 = "False", OverallTable[[#This Row],[Active]] = FALSE), "",OverallTable[[#This Row],[Total Gifts]]/OverallTable[[#This Row],[Contacts]]),"")</f>
        <v>0.23575129533678757</v>
      </c>
      <c r="L11" s="92">
        <f ca="1">IF(AND('CALLER Portal'!$Y$1 = "False", OverallTable[[#This Row],[Active]] = FALSE), "", IF(C11 = 0,"",IFERROR((E11+F11)/D11,0)))</f>
        <v>0.6428571428571429</v>
      </c>
      <c r="M11" s="92">
        <f ca="1">IF(AND('CALLER Portal'!$Y$1 = "False", OverallTable[[#This Row],[Active]] = FALSE), "",IF(C11 = 0,"",IFERROR(F11/D11,0)))</f>
        <v>0.16483516483516483</v>
      </c>
      <c r="N11" s="85">
        <f ca="1">IF(AND('CALLER Portal'!$Y$1 = "False", OverallTable[[#This Row],[Active]] = FALSE), "", IFERROR((H11+I11)/C11,""))</f>
        <v>76.700132403382014</v>
      </c>
      <c r="O11" s="170">
        <f ca="1">IF(AND('CALLER Portal'!$Y$1 = "False", OverallTable[[#This Row],[Active]] = FALSE),"",IF(C11 = 0,"",IFERROR((E11+F11)/C11,0)))</f>
        <v>1.2197791886904574</v>
      </c>
      <c r="P11" s="170">
        <f ca="1">IF(AND('CALLER Portal'!$Y$1 = "False", OverallTable[[#This Row],[Active]] = FALSE), "", IF(C11 = 0,"",IFERROR((F11)/C11,0)))</f>
        <v>0.31276389453601472</v>
      </c>
      <c r="Q11" s="86">
        <f t="shared" ca="1" si="8"/>
        <v>8.048457552726779</v>
      </c>
      <c r="R11" s="86">
        <f ca="1">IFERROR(_xlfn.PERCENTRANK.INC(OverallTable[F-Score], OverallTable[[#This Row],[F-Score]]),"")</f>
        <v>0.82899999999999996</v>
      </c>
      <c r="S11" s="86">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0.70620000000000005</v>
      </c>
      <c r="T11" s="116">
        <f t="shared" ca="1" si="9"/>
        <v>0.33300000000000002</v>
      </c>
      <c r="U11" s="117">
        <f t="shared" ca="1" si="10"/>
        <v>0.64400000000000002</v>
      </c>
      <c r="V11" s="117">
        <f t="shared" ca="1" si="11"/>
        <v>0.92200000000000004</v>
      </c>
      <c r="W11" s="117">
        <f t="shared" ca="1" si="12"/>
        <v>0.82199999999999995</v>
      </c>
      <c r="X11" s="117">
        <f t="shared" ca="1" si="13"/>
        <v>0.78800000000000003</v>
      </c>
      <c r="Y11" s="117">
        <f t="shared" ca="1" si="14"/>
        <v>0.96599999999999997</v>
      </c>
      <c r="Z11" s="141" t="str">
        <f>IFERROR(IF('CALLER Portal'!$Y$1 = "TRUE", OverallTable[[#This Row],[Name]],IF(AND('CALLER Portal'!$Y$1 = "FALSE", OverallTable[[#This Row],[Active]] = TRUE),OverallTable[[#This Row],[Name]],"(Blank)")),"")</f>
        <v xml:space="preserve">Alara Bench </v>
      </c>
      <c r="AB11" s="73" t="s">
        <v>428</v>
      </c>
      <c r="AC11"/>
      <c r="AD11"/>
    </row>
    <row r="12" spans="1:30" x14ac:dyDescent="0.25">
      <c r="A12" s="158" t="s">
        <v>428</v>
      </c>
      <c r="B12" s="134" t="b">
        <v>1</v>
      </c>
      <c r="C12" s="239">
        <f t="shared" ca="1" si="0"/>
        <v>17.301000000000002</v>
      </c>
      <c r="D12" s="239">
        <f t="shared" ca="1" si="1"/>
        <v>16</v>
      </c>
      <c r="E12" s="239">
        <f t="shared" ca="1" si="2"/>
        <v>14</v>
      </c>
      <c r="F12" s="239">
        <f t="shared" ca="1" si="3"/>
        <v>2</v>
      </c>
      <c r="G12" s="240">
        <f t="shared" ca="1" si="4"/>
        <v>98</v>
      </c>
      <c r="H12" s="241">
        <f t="shared" ca="1" si="5"/>
        <v>680</v>
      </c>
      <c r="I12" s="241">
        <f t="shared" ca="1" si="6"/>
        <v>180</v>
      </c>
      <c r="J12" s="241">
        <f t="shared" ca="1" si="7"/>
        <v>860</v>
      </c>
      <c r="K12" s="242">
        <f ca="1">IFERROR(IF(AND('CALLER Portal'!$Y$1 = "False", OverallTable[[#This Row],[Active]] = FALSE), "",OverallTable[[#This Row],[Total Gifts]]/OverallTable[[#This Row],[Contacts]]),"")</f>
        <v>0.16326530612244897</v>
      </c>
      <c r="L12" s="242">
        <f ca="1">IF(AND('CALLER Portal'!$Y$1 = "False", OverallTable[[#This Row],[Active]] = FALSE), "", IF(C12 = 0,"",IFERROR((E12+F12)/D12,0)))</f>
        <v>1</v>
      </c>
      <c r="M12" s="242">
        <f ca="1">IF(AND('CALLER Portal'!$Y$1 = "False", OverallTable[[#This Row],[Active]] = FALSE), "",IF(C12 = 0,"",IFERROR(F12/D12,0)))</f>
        <v>0.125</v>
      </c>
      <c r="N12" s="243">
        <f ca="1">IF(AND('CALLER Portal'!$Y$1 = "False", OverallTable[[#This Row],[Active]] = FALSE), "", IFERROR((H12+I12)/C12,""))</f>
        <v>49.708109357840584</v>
      </c>
      <c r="O12" s="244">
        <f ca="1">IF(AND('CALLER Portal'!$Y$1 = "False", OverallTable[[#This Row],[Active]] = FALSE),"",IF(C12 = 0,"",IFERROR((E12+F12)/C12,0)))</f>
        <v>0.92480203456447596</v>
      </c>
      <c r="P12" s="244">
        <f ca="1">IF(AND('CALLER Portal'!$Y$1 = "False", OverallTable[[#This Row],[Active]] = FALSE), "", IF(C12 = 0,"",IFERROR((F12)/C12,0)))</f>
        <v>0.1156002543205595</v>
      </c>
      <c r="Q12" s="245">
        <f t="shared" ca="1" si="8"/>
        <v>5.664412461707415</v>
      </c>
      <c r="R12" s="245">
        <f ca="1">IFERROR(_xlfn.PERCENTRANK.INC(OverallTable[F-Score], OverallTable[[#This Row],[F-Score]]),"")</f>
        <v>0.53400000000000003</v>
      </c>
      <c r="S12" s="245">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0.5494</v>
      </c>
      <c r="T12" s="159">
        <f t="shared" ca="1" si="9"/>
        <v>7.6999999999999999E-2</v>
      </c>
      <c r="U12" s="141">
        <f t="shared" ca="1" si="10"/>
        <v>0.96599999999999997</v>
      </c>
      <c r="V12" s="141">
        <f t="shared" ca="1" si="11"/>
        <v>0.77700000000000002</v>
      </c>
      <c r="W12" s="141">
        <f t="shared" ca="1" si="12"/>
        <v>0.46600000000000003</v>
      </c>
      <c r="X12" s="141">
        <f t="shared" ca="1" si="13"/>
        <v>0.54400000000000004</v>
      </c>
      <c r="Y12" s="141">
        <f t="shared" ca="1" si="14"/>
        <v>0.61099999999999999</v>
      </c>
      <c r="Z12" s="141" t="str">
        <f>IFERROR(IF('CALLER Portal'!$Y$1 = "TRUE", OverallTable[[#This Row],[Name]],IF(AND('CALLER Portal'!$Y$1 = "FALSE", OverallTable[[#This Row],[Active]] = TRUE),OverallTable[[#This Row],[Name]],"(Blank)")),"")</f>
        <v xml:space="preserve">Alfriede Tre </v>
      </c>
      <c r="AB12" s="73" t="s">
        <v>347</v>
      </c>
      <c r="AC12"/>
      <c r="AD12"/>
    </row>
    <row r="13" spans="1:30" x14ac:dyDescent="0.25">
      <c r="A13" s="151" t="s">
        <v>347</v>
      </c>
      <c r="B13" s="134" t="b">
        <v>1</v>
      </c>
      <c r="C13" s="152">
        <f t="shared" ca="1" si="0"/>
        <v>0</v>
      </c>
      <c r="D13" s="152">
        <f t="shared" ca="1" si="1"/>
        <v>0</v>
      </c>
      <c r="E13" s="152">
        <f t="shared" ca="1" si="2"/>
        <v>0</v>
      </c>
      <c r="F13" s="152">
        <f t="shared" ca="1" si="3"/>
        <v>0</v>
      </c>
      <c r="G13" s="153">
        <f t="shared" ca="1" si="4"/>
        <v>0</v>
      </c>
      <c r="H13" s="154">
        <f t="shared" ca="1" si="5"/>
        <v>0</v>
      </c>
      <c r="I13" s="154">
        <f t="shared" ca="1" si="6"/>
        <v>0</v>
      </c>
      <c r="J13" s="154">
        <f t="shared" ca="1" si="7"/>
        <v>0</v>
      </c>
      <c r="K13" s="155" t="str">
        <f ca="1">IFERROR(IF(AND('CALLER Portal'!$Y$1 = "False", OverallTable[[#This Row],[Active]] = FALSE), "",OverallTable[[#This Row],[Total Gifts]]/OverallTable[[#This Row],[Contacts]]),"")</f>
        <v/>
      </c>
      <c r="L13" s="155" t="str">
        <f ca="1">IF(AND('CALLER Portal'!$Y$1 = "False", OverallTable[[#This Row],[Active]] = FALSE), "", IF(C13 = 0,"",IFERROR((E13+F13)/D13,0)))</f>
        <v/>
      </c>
      <c r="M13" s="155" t="str">
        <f ca="1">IF(AND('CALLER Portal'!$Y$1 = "False", OverallTable[[#This Row],[Active]] = FALSE), "",IF(C13 = 0,"",IFERROR(F13/D13,0)))</f>
        <v/>
      </c>
      <c r="N13" s="156" t="str">
        <f ca="1">IF(AND('CALLER Portal'!$Y$1 = "False", OverallTable[[#This Row],[Active]] = FALSE), "", IFERROR((H13+I13)/C13,""))</f>
        <v/>
      </c>
      <c r="O13" s="171" t="str">
        <f ca="1">IF(AND('CALLER Portal'!$Y$1 = "False", OverallTable[[#This Row],[Active]] = FALSE),"",IF(C13 = 0,"",IFERROR((E13+F13)/C13,0)))</f>
        <v/>
      </c>
      <c r="P13" s="171" t="str">
        <f ca="1">IF(AND('CALLER Portal'!$Y$1 = "False", OverallTable[[#This Row],[Active]] = FALSE), "", IF(C13 = 0,"",IFERROR((F13)/C13,0)))</f>
        <v/>
      </c>
      <c r="Q13" s="157" t="str">
        <f t="shared" ca="1" si="8"/>
        <v/>
      </c>
      <c r="R13" s="157" t="str">
        <f ca="1">IFERROR(_xlfn.PERCENTRANK.INC(OverallTable[F-Score], OverallTable[[#This Row],[F-Score]]),"")</f>
        <v/>
      </c>
      <c r="S13" s="157"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13" s="159" t="str">
        <f t="shared" ca="1" si="9"/>
        <v/>
      </c>
      <c r="U13" s="141" t="str">
        <f t="shared" ca="1" si="10"/>
        <v/>
      </c>
      <c r="V13" s="141" t="str">
        <f t="shared" ca="1" si="11"/>
        <v/>
      </c>
      <c r="W13" s="141" t="str">
        <f t="shared" ca="1" si="12"/>
        <v/>
      </c>
      <c r="X13" s="141" t="str">
        <f t="shared" ca="1" si="13"/>
        <v/>
      </c>
      <c r="Y13" s="141" t="str">
        <f t="shared" ca="1" si="14"/>
        <v/>
      </c>
      <c r="Z13" s="141" t="str">
        <f>IFERROR(IF('CALLER Portal'!$Y$1 = "TRUE", OverallTable[[#This Row],[Name]],IF(AND('CALLER Portal'!$Y$1 = "FALSE", OverallTable[[#This Row],[Active]] = TRUE),OverallTable[[#This Row],[Name]],"(Blank)")),"")</f>
        <v xml:space="preserve">Allfred Haliday </v>
      </c>
      <c r="AB13" s="73" t="s">
        <v>292</v>
      </c>
      <c r="AC13"/>
      <c r="AD13"/>
    </row>
    <row r="14" spans="1:30" x14ac:dyDescent="0.25">
      <c r="A14" s="82" t="s">
        <v>292</v>
      </c>
      <c r="B14" s="134" t="b">
        <v>1</v>
      </c>
      <c r="C14" s="83">
        <f t="shared" ca="1" si="0"/>
        <v>0</v>
      </c>
      <c r="D14" s="83">
        <f t="shared" ca="1" si="1"/>
        <v>0</v>
      </c>
      <c r="E14" s="83">
        <f t="shared" ca="1" si="2"/>
        <v>0</v>
      </c>
      <c r="F14" s="83">
        <f t="shared" ca="1" si="3"/>
        <v>0</v>
      </c>
      <c r="G14" s="107">
        <f t="shared" ca="1" si="4"/>
        <v>0</v>
      </c>
      <c r="H14" s="84">
        <f t="shared" ca="1" si="5"/>
        <v>0</v>
      </c>
      <c r="I14" s="84">
        <f t="shared" ca="1" si="6"/>
        <v>0</v>
      </c>
      <c r="J14" s="84">
        <f t="shared" ca="1" si="7"/>
        <v>0</v>
      </c>
      <c r="K14" s="92" t="str">
        <f ca="1">IFERROR(IF(AND('CALLER Portal'!$Y$1 = "False", OverallTable[[#This Row],[Active]] = FALSE), "",OverallTable[[#This Row],[Total Gifts]]/OverallTable[[#This Row],[Contacts]]),"")</f>
        <v/>
      </c>
      <c r="L14" s="92" t="str">
        <f ca="1">IF(AND('CALLER Portal'!$Y$1 = "False", OverallTable[[#This Row],[Active]] = FALSE), "", IF(C14 = 0,"",IFERROR((E14+F14)/D14,0)))</f>
        <v/>
      </c>
      <c r="M14" s="92" t="str">
        <f ca="1">IF(AND('CALLER Portal'!$Y$1 = "False", OverallTable[[#This Row],[Active]] = FALSE), "",IF(C14 = 0,"",IFERROR(F14/D14,0)))</f>
        <v/>
      </c>
      <c r="N14" s="85" t="str">
        <f ca="1">IF(AND('CALLER Portal'!$Y$1 = "False", OverallTable[[#This Row],[Active]] = FALSE), "", IFERROR((H14+I14)/C14,""))</f>
        <v/>
      </c>
      <c r="O14" s="170" t="str">
        <f ca="1">IF(AND('CALLER Portal'!$Y$1 = "False", OverallTable[[#This Row],[Active]] = FALSE),"",IF(C14 = 0,"",IFERROR((E14+F14)/C14,0)))</f>
        <v/>
      </c>
      <c r="P14" s="170" t="str">
        <f ca="1">IF(AND('CALLER Portal'!$Y$1 = "False", OverallTable[[#This Row],[Active]] = FALSE), "", IF(C14 = 0,"",IFERROR((F14)/C14,0)))</f>
        <v/>
      </c>
      <c r="Q14" s="86" t="str">
        <f t="shared" ca="1" si="8"/>
        <v/>
      </c>
      <c r="R14" s="86" t="str">
        <f ca="1">IFERROR(_xlfn.PERCENTRANK.INC(OverallTable[F-Score], OverallTable[[#This Row],[F-Score]]),"")</f>
        <v/>
      </c>
      <c r="S14"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14" s="116" t="str">
        <f t="shared" ca="1" si="9"/>
        <v/>
      </c>
      <c r="U14" s="117" t="str">
        <f t="shared" ca="1" si="10"/>
        <v/>
      </c>
      <c r="V14" s="117" t="str">
        <f t="shared" ca="1" si="11"/>
        <v/>
      </c>
      <c r="W14" s="117" t="str">
        <f t="shared" ca="1" si="12"/>
        <v/>
      </c>
      <c r="X14" s="117" t="str">
        <f t="shared" ca="1" si="13"/>
        <v/>
      </c>
      <c r="Y14" s="117" t="str">
        <f t="shared" ca="1" si="14"/>
        <v/>
      </c>
      <c r="Z14" s="141" t="str">
        <f>IFERROR(IF('CALLER Portal'!$Y$1 = "TRUE", OverallTable[[#This Row],[Name]],IF(AND('CALLER Portal'!$Y$1 = "FALSE", OverallTable[[#This Row],[Active]] = TRUE),OverallTable[[#This Row],[Name]],"(Blank)")),"")</f>
        <v xml:space="preserve">Alys Davey </v>
      </c>
      <c r="AB14" s="73" t="s">
        <v>372</v>
      </c>
      <c r="AC14"/>
      <c r="AD14"/>
    </row>
    <row r="15" spans="1:30" x14ac:dyDescent="0.25">
      <c r="A15" s="82" t="s">
        <v>372</v>
      </c>
      <c r="B15" s="134" t="b">
        <v>1</v>
      </c>
      <c r="C15" s="83">
        <f t="shared" ca="1" si="0"/>
        <v>0</v>
      </c>
      <c r="D15" s="83">
        <f t="shared" ca="1" si="1"/>
        <v>0</v>
      </c>
      <c r="E15" s="83">
        <f t="shared" ca="1" si="2"/>
        <v>0</v>
      </c>
      <c r="F15" s="83">
        <f t="shared" ca="1" si="3"/>
        <v>0</v>
      </c>
      <c r="G15" s="107">
        <f t="shared" ca="1" si="4"/>
        <v>0</v>
      </c>
      <c r="H15" s="84">
        <f t="shared" ca="1" si="5"/>
        <v>0</v>
      </c>
      <c r="I15" s="84">
        <f t="shared" ca="1" si="6"/>
        <v>0</v>
      </c>
      <c r="J15" s="84">
        <f t="shared" ca="1" si="7"/>
        <v>0</v>
      </c>
      <c r="K15" s="92" t="str">
        <f ca="1">IFERROR(IF(AND('CALLER Portal'!$Y$1 = "False", OverallTable[[#This Row],[Active]] = FALSE), "",OverallTable[[#This Row],[Total Gifts]]/OverallTable[[#This Row],[Contacts]]),"")</f>
        <v/>
      </c>
      <c r="L15" s="92" t="str">
        <f ca="1">IF(AND('CALLER Portal'!$Y$1 = "False", OverallTable[[#This Row],[Active]] = FALSE), "", IF(C15 = 0,"",IFERROR((E15+F15)/D15,0)))</f>
        <v/>
      </c>
      <c r="M15" s="92" t="str">
        <f ca="1">IF(AND('CALLER Portal'!$Y$1 = "False", OverallTable[[#This Row],[Active]] = FALSE), "",IF(C15 = 0,"",IFERROR(F15/D15,0)))</f>
        <v/>
      </c>
      <c r="N15" s="85" t="str">
        <f ca="1">IF(AND('CALLER Portal'!$Y$1 = "False", OverallTable[[#This Row],[Active]] = FALSE), "", IFERROR((H15+I15)/C15,""))</f>
        <v/>
      </c>
      <c r="O15" s="170" t="str">
        <f ca="1">IF(AND('CALLER Portal'!$Y$1 = "False", OverallTable[[#This Row],[Active]] = FALSE),"",IF(C15 = 0,"",IFERROR((E15+F15)/C15,0)))</f>
        <v/>
      </c>
      <c r="P15" s="170" t="str">
        <f ca="1">IF(AND('CALLER Portal'!$Y$1 = "False", OverallTable[[#This Row],[Active]] = FALSE), "", IF(C15 = 0,"",IFERROR((F15)/C15,0)))</f>
        <v/>
      </c>
      <c r="Q15" s="86" t="str">
        <f t="shared" ca="1" si="8"/>
        <v/>
      </c>
      <c r="R15" s="86" t="str">
        <f ca="1">IFERROR(_xlfn.PERCENTRANK.INC(OverallTable[F-Score], OverallTable[[#This Row],[F-Score]]),"")</f>
        <v/>
      </c>
      <c r="S15"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15" s="116" t="str">
        <f t="shared" ca="1" si="9"/>
        <v/>
      </c>
      <c r="U15" s="117" t="str">
        <f t="shared" ca="1" si="10"/>
        <v/>
      </c>
      <c r="V15" s="117" t="str">
        <f t="shared" ca="1" si="11"/>
        <v/>
      </c>
      <c r="W15" s="117" t="str">
        <f t="shared" ca="1" si="12"/>
        <v/>
      </c>
      <c r="X15" s="117" t="str">
        <f t="shared" ca="1" si="13"/>
        <v/>
      </c>
      <c r="Y15" s="117" t="str">
        <f t="shared" ca="1" si="14"/>
        <v/>
      </c>
      <c r="Z15" s="141" t="str">
        <f>IFERROR(IF('CALLER Portal'!$Y$1 = "TRUE", OverallTable[[#This Row],[Name]],IF(AND('CALLER Portal'!$Y$1 = "FALSE", OverallTable[[#This Row],[Active]] = TRUE),OverallTable[[#This Row],[Name]],"(Blank)")),"")</f>
        <v xml:space="preserve">Angel Cordova </v>
      </c>
      <c r="AB15" s="73" t="s">
        <v>407</v>
      </c>
      <c r="AC15"/>
      <c r="AD15"/>
    </row>
    <row r="16" spans="1:30" x14ac:dyDescent="0.25">
      <c r="A16" s="82" t="s">
        <v>407</v>
      </c>
      <c r="B16" s="134" t="b">
        <v>1</v>
      </c>
      <c r="C16" s="83">
        <f t="shared" ca="1" si="0"/>
        <v>0</v>
      </c>
      <c r="D16" s="83">
        <f t="shared" ca="1" si="1"/>
        <v>0</v>
      </c>
      <c r="E16" s="83">
        <f t="shared" ca="1" si="2"/>
        <v>0</v>
      </c>
      <c r="F16" s="83">
        <f t="shared" ca="1" si="3"/>
        <v>0</v>
      </c>
      <c r="G16" s="107">
        <f t="shared" ca="1" si="4"/>
        <v>0</v>
      </c>
      <c r="H16" s="84">
        <f t="shared" ca="1" si="5"/>
        <v>0</v>
      </c>
      <c r="I16" s="84">
        <f t="shared" ca="1" si="6"/>
        <v>0</v>
      </c>
      <c r="J16" s="84">
        <f t="shared" ca="1" si="7"/>
        <v>0</v>
      </c>
      <c r="K16" s="92" t="str">
        <f ca="1">IFERROR(IF(AND('CALLER Portal'!$Y$1 = "False", OverallTable[[#This Row],[Active]] = FALSE), "",OverallTable[[#This Row],[Total Gifts]]/OverallTable[[#This Row],[Contacts]]),"")</f>
        <v/>
      </c>
      <c r="L16" s="92" t="str">
        <f ca="1">IF(AND('CALLER Portal'!$Y$1 = "False", OverallTable[[#This Row],[Active]] = FALSE), "", IF(C16 = 0,"",IFERROR((E16+F16)/D16,0)))</f>
        <v/>
      </c>
      <c r="M16" s="92" t="str">
        <f ca="1">IF(AND('CALLER Portal'!$Y$1 = "False", OverallTable[[#This Row],[Active]] = FALSE), "",IF(C16 = 0,"",IFERROR(F16/D16,0)))</f>
        <v/>
      </c>
      <c r="N16" s="85" t="str">
        <f ca="1">IF(AND('CALLER Portal'!$Y$1 = "False", OverallTable[[#This Row],[Active]] = FALSE), "", IFERROR((H16+I16)/C16,""))</f>
        <v/>
      </c>
      <c r="O16" s="170" t="str">
        <f ca="1">IF(AND('CALLER Portal'!$Y$1 = "False", OverallTable[[#This Row],[Active]] = FALSE),"",IF(C16 = 0,"",IFERROR((E16+F16)/C16,0)))</f>
        <v/>
      </c>
      <c r="P16" s="170" t="str">
        <f ca="1">IF(AND('CALLER Portal'!$Y$1 = "False", OverallTable[[#This Row],[Active]] = FALSE), "", IF(C16 = 0,"",IFERROR((F16)/C16,0)))</f>
        <v/>
      </c>
      <c r="Q16" s="86" t="str">
        <f t="shared" ca="1" si="8"/>
        <v/>
      </c>
      <c r="R16" s="86" t="str">
        <f ca="1">IFERROR(_xlfn.PERCENTRANK.INC(OverallTable[F-Score], OverallTable[[#This Row],[F-Score]]),"")</f>
        <v/>
      </c>
      <c r="S16"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16" s="116" t="str">
        <f t="shared" ca="1" si="9"/>
        <v/>
      </c>
      <c r="U16" s="117" t="str">
        <f t="shared" ca="1" si="10"/>
        <v/>
      </c>
      <c r="V16" s="117" t="str">
        <f t="shared" ca="1" si="11"/>
        <v/>
      </c>
      <c r="W16" s="117" t="str">
        <f t="shared" ca="1" si="12"/>
        <v/>
      </c>
      <c r="X16" s="117" t="str">
        <f t="shared" ca="1" si="13"/>
        <v/>
      </c>
      <c r="Y16" s="117" t="str">
        <f t="shared" ca="1" si="14"/>
        <v/>
      </c>
      <c r="Z16" s="141" t="str">
        <f>IFERROR(IF('CALLER Portal'!$Y$1 = "TRUE", OverallTable[[#This Row],[Name]],IF(AND('CALLER Portal'!$Y$1 = "FALSE", OverallTable[[#This Row],[Active]] = TRUE),OverallTable[[#This Row],[Name]],"(Blank)")),"")</f>
        <v xml:space="preserve">Anne Ferrell </v>
      </c>
      <c r="AB16" s="73" t="s">
        <v>399</v>
      </c>
      <c r="AC16"/>
      <c r="AD16"/>
    </row>
    <row r="17" spans="1:30" x14ac:dyDescent="0.25">
      <c r="A17" s="158" t="s">
        <v>399</v>
      </c>
      <c r="B17" s="134" t="b">
        <v>1</v>
      </c>
      <c r="C17" s="239">
        <f t="shared" ca="1" si="0"/>
        <v>26.096</v>
      </c>
      <c r="D17" s="239">
        <f t="shared" ca="1" si="1"/>
        <v>59</v>
      </c>
      <c r="E17" s="239">
        <f t="shared" ca="1" si="2"/>
        <v>36</v>
      </c>
      <c r="F17" s="239">
        <f t="shared" ca="1" si="3"/>
        <v>2</v>
      </c>
      <c r="G17" s="240">
        <f t="shared" ca="1" si="4"/>
        <v>190</v>
      </c>
      <c r="H17" s="241">
        <f t="shared" ca="1" si="5"/>
        <v>1657</v>
      </c>
      <c r="I17" s="241">
        <f t="shared" ca="1" si="6"/>
        <v>180</v>
      </c>
      <c r="J17" s="241">
        <f t="shared" ca="1" si="7"/>
        <v>3847</v>
      </c>
      <c r="K17" s="242">
        <f ca="1">IFERROR(IF(AND('CALLER Portal'!$Y$1 = "False", OverallTable[[#This Row],[Active]] = FALSE), "",OverallTable[[#This Row],[Total Gifts]]/OverallTable[[#This Row],[Contacts]]),"")</f>
        <v>0.31052631578947371</v>
      </c>
      <c r="L17" s="242">
        <f ca="1">IF(AND('CALLER Portal'!$Y$1 = "False", OverallTable[[#This Row],[Active]] = FALSE), "", IF(C17 = 0,"",IFERROR((E17+F17)/D17,0)))</f>
        <v>0.64406779661016944</v>
      </c>
      <c r="M17" s="242">
        <f ca="1">IF(AND('CALLER Portal'!$Y$1 = "False", OverallTable[[#This Row],[Active]] = FALSE), "",IF(C17 = 0,"",IFERROR(F17/D17,0)))</f>
        <v>3.3898305084745763E-2</v>
      </c>
      <c r="N17" s="243">
        <f ca="1">IF(AND('CALLER Portal'!$Y$1 = "False", OverallTable[[#This Row],[Active]] = FALSE), "", IFERROR((H17+I17)/C17,""))</f>
        <v>70.393930104230535</v>
      </c>
      <c r="O17" s="244">
        <f ca="1">IF(AND('CALLER Portal'!$Y$1 = "False", OverallTable[[#This Row],[Active]] = FALSE),"",IF(C17 = 0,"",IFERROR((E17+F17)/C17,0)))</f>
        <v>1.4561618638871858</v>
      </c>
      <c r="P17" s="244">
        <f ca="1">IF(AND('CALLER Portal'!$Y$1 = "False", OverallTable[[#This Row],[Active]] = FALSE), "", IF(C17 = 0,"",IFERROR((F17)/C17,0)))</f>
        <v>7.6640098099325565E-2</v>
      </c>
      <c r="Q17" s="245">
        <f t="shared" ca="1" si="8"/>
        <v>7.2808093194359289</v>
      </c>
      <c r="R17" s="245">
        <f ca="1">IFERROR(_xlfn.PERCENTRANK.INC(OverallTable[F-Score], OverallTable[[#This Row],[F-Score]]),"")</f>
        <v>0.75</v>
      </c>
      <c r="S17" s="245">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0.67170000000000007</v>
      </c>
      <c r="T17" s="159">
        <f t="shared" ca="1" si="9"/>
        <v>0.66600000000000004</v>
      </c>
      <c r="U17" s="141">
        <f t="shared" ca="1" si="10"/>
        <v>0.65500000000000003</v>
      </c>
      <c r="V17" s="141">
        <f t="shared" ca="1" si="11"/>
        <v>0.255</v>
      </c>
      <c r="W17" s="141">
        <f t="shared" ca="1" si="12"/>
        <v>0.77700000000000002</v>
      </c>
      <c r="X17" s="141">
        <f t="shared" ca="1" si="13"/>
        <v>0.93300000000000005</v>
      </c>
      <c r="Y17" s="141">
        <f t="shared" ca="1" si="14"/>
        <v>0.4</v>
      </c>
      <c r="Z17" s="141" t="str">
        <f>IFERROR(IF('CALLER Portal'!$Y$1 = "TRUE", OverallTable[[#This Row],[Name]],IF(AND('CALLER Portal'!$Y$1 = "FALSE", OverallTable[[#This Row],[Active]] = TRUE),OverallTable[[#This Row],[Name]],"(Blank)")),"")</f>
        <v xml:space="preserve">Antoinette Brandy </v>
      </c>
      <c r="AB17" s="73" t="s">
        <v>295</v>
      </c>
      <c r="AC17"/>
      <c r="AD17"/>
    </row>
    <row r="18" spans="1:30" x14ac:dyDescent="0.25">
      <c r="A18" s="82" t="s">
        <v>295</v>
      </c>
      <c r="B18" s="134" t="b">
        <v>1</v>
      </c>
      <c r="C18" s="83">
        <f t="shared" ca="1" si="0"/>
        <v>3.7739999999999996</v>
      </c>
      <c r="D18" s="83">
        <f t="shared" ca="1" si="1"/>
        <v>3</v>
      </c>
      <c r="E18" s="83">
        <f t="shared" ca="1" si="2"/>
        <v>1</v>
      </c>
      <c r="F18" s="83">
        <f t="shared" ca="1" si="3"/>
        <v>1</v>
      </c>
      <c r="G18" s="107">
        <f t="shared" ca="1" si="4"/>
        <v>15</v>
      </c>
      <c r="H18" s="84">
        <f t="shared" ca="1" si="5"/>
        <v>50</v>
      </c>
      <c r="I18" s="84">
        <f t="shared" ca="1" si="6"/>
        <v>120</v>
      </c>
      <c r="J18" s="84">
        <f t="shared" ca="1" si="7"/>
        <v>190</v>
      </c>
      <c r="K18" s="92">
        <f ca="1">IFERROR(IF(AND('CALLER Portal'!$Y$1 = "False", OverallTable[[#This Row],[Active]] = FALSE), "",OverallTable[[#This Row],[Total Gifts]]/OverallTable[[#This Row],[Contacts]]),"")</f>
        <v>0.2</v>
      </c>
      <c r="L18" s="92">
        <f ca="1">IF(AND('CALLER Portal'!$Y$1 = "False", OverallTable[[#This Row],[Active]] = FALSE), "", IF(C18 = 0,"",IFERROR((E18+F18)/D18,0)))</f>
        <v>0.66666666666666663</v>
      </c>
      <c r="M18" s="92">
        <f ca="1">IF(AND('CALLER Portal'!$Y$1 = "False", OverallTable[[#This Row],[Active]] = FALSE), "",IF(C18 = 0,"",IFERROR(F18/D18,0)))</f>
        <v>0.33333333333333331</v>
      </c>
      <c r="N18" s="85">
        <f ca="1">IF(AND('CALLER Portal'!$Y$1 = "False", OverallTable[[#This Row],[Active]] = FALSE), "", IFERROR((H18+I18)/C18,""))</f>
        <v>45.04504504504505</v>
      </c>
      <c r="O18" s="170">
        <f ca="1">IF(AND('CALLER Portal'!$Y$1 = "False", OverallTable[[#This Row],[Active]] = FALSE),"",IF(C18 = 0,"",IFERROR((E18+F18)/C18,0)))</f>
        <v>0.52994170641229466</v>
      </c>
      <c r="P18" s="170">
        <f ca="1">IF(AND('CALLER Portal'!$Y$1 = "False", OverallTable[[#This Row],[Active]] = FALSE), "", IF(C18 = 0,"",IFERROR((F18)/C18,0)))</f>
        <v>0.26497085320614733</v>
      </c>
      <c r="Q18" s="86">
        <f t="shared" ca="1" si="8"/>
        <v>3.9745627980922102</v>
      </c>
      <c r="R18" s="86">
        <f ca="1">IFERROR(_xlfn.PERCENTRANK.INC(OverallTable[F-Score], OverallTable[[#This Row],[F-Score]]),"")</f>
        <v>0.42</v>
      </c>
      <c r="S18" s="86">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0.46180000000000004</v>
      </c>
      <c r="T18" s="116">
        <f t="shared" ca="1" si="9"/>
        <v>0.14399999999999999</v>
      </c>
      <c r="U18" s="117">
        <f t="shared" ca="1" si="10"/>
        <v>0.71099999999999997</v>
      </c>
      <c r="V18" s="117">
        <f t="shared" ca="1" si="11"/>
        <v>0.98799999999999999</v>
      </c>
      <c r="W18" s="117">
        <f t="shared" ca="1" si="12"/>
        <v>0.35499999999999998</v>
      </c>
      <c r="X18" s="117">
        <f t="shared" ca="1" si="13"/>
        <v>0.155</v>
      </c>
      <c r="Y18" s="117">
        <f t="shared" ca="1" si="14"/>
        <v>0.9</v>
      </c>
      <c r="Z18" s="141" t="str">
        <f>IFERROR(IF('CALLER Portal'!$Y$1 = "TRUE", OverallTable[[#This Row],[Name]],IF(AND('CALLER Portal'!$Y$1 = "FALSE", OverallTable[[#This Row],[Active]] = TRUE),OverallTable[[#This Row],[Name]],"(Blank)")),"")</f>
        <v xml:space="preserve">Anwen Robinson </v>
      </c>
      <c r="AB18" s="73" t="s">
        <v>321</v>
      </c>
      <c r="AC18"/>
      <c r="AD18"/>
    </row>
    <row r="19" spans="1:30" x14ac:dyDescent="0.25">
      <c r="A19" s="82" t="s">
        <v>321</v>
      </c>
      <c r="B19" s="134" t="b">
        <v>1</v>
      </c>
      <c r="C19" s="83">
        <f t="shared" ca="1" si="0"/>
        <v>38.985999999999997</v>
      </c>
      <c r="D19" s="83">
        <f t="shared" ca="1" si="1"/>
        <v>42</v>
      </c>
      <c r="E19" s="83">
        <f t="shared" ca="1" si="2"/>
        <v>19</v>
      </c>
      <c r="F19" s="83">
        <f t="shared" ca="1" si="3"/>
        <v>1</v>
      </c>
      <c r="G19" s="107">
        <f t="shared" ca="1" si="4"/>
        <v>173</v>
      </c>
      <c r="H19" s="84">
        <f t="shared" ca="1" si="5"/>
        <v>1130</v>
      </c>
      <c r="I19" s="84">
        <f t="shared" ca="1" si="6"/>
        <v>180</v>
      </c>
      <c r="J19" s="84">
        <f t="shared" ca="1" si="7"/>
        <v>2305</v>
      </c>
      <c r="K19" s="92">
        <f ca="1">IFERROR(IF(AND('CALLER Portal'!$Y$1 = "False", OverallTable[[#This Row],[Active]] = FALSE), "",OverallTable[[#This Row],[Total Gifts]]/OverallTable[[#This Row],[Contacts]]),"")</f>
        <v>0.24277456647398843</v>
      </c>
      <c r="L19" s="92">
        <f ca="1">IF(AND('CALLER Portal'!$Y$1 = "False", OverallTable[[#This Row],[Active]] = FALSE), "", IF(C19 = 0,"",IFERROR((E19+F19)/D19,0)))</f>
        <v>0.47619047619047616</v>
      </c>
      <c r="M19" s="92">
        <f ca="1">IF(AND('CALLER Portal'!$Y$1 = "False", OverallTable[[#This Row],[Active]] = FALSE), "",IF(C19 = 0,"",IFERROR(F19/D19,0)))</f>
        <v>2.3809523809523808E-2</v>
      </c>
      <c r="N19" s="85">
        <f ca="1">IF(AND('CALLER Portal'!$Y$1 = "False", OverallTable[[#This Row],[Active]] = FALSE), "", IFERROR((H19+I19)/C19,""))</f>
        <v>33.60180577643257</v>
      </c>
      <c r="O19" s="170">
        <f ca="1">IF(AND('CALLER Portal'!$Y$1 = "False", OverallTable[[#This Row],[Active]] = FALSE),"",IF(C19 = 0,"",IFERROR((E19+F19)/C19,0)))</f>
        <v>0.51300466834248193</v>
      </c>
      <c r="P19" s="170">
        <f ca="1">IF(AND('CALLER Portal'!$Y$1 = "False", OverallTable[[#This Row],[Active]] = FALSE), "", IF(C19 = 0,"",IFERROR((F19)/C19,0)))</f>
        <v>2.5650233417124097E-2</v>
      </c>
      <c r="Q19" s="86">
        <f t="shared" ca="1" si="8"/>
        <v>4.4374903811624691</v>
      </c>
      <c r="R19" s="86">
        <f ca="1">IFERROR(_xlfn.PERCENTRANK.INC(OverallTable[F-Score], OverallTable[[#This Row],[F-Score]]),"")</f>
        <v>0.113</v>
      </c>
      <c r="S19" s="86">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0.2041</v>
      </c>
      <c r="T19" s="116">
        <f t="shared" ca="1" si="9"/>
        <v>0.36599999999999999</v>
      </c>
      <c r="U19" s="117">
        <f t="shared" ca="1" si="10"/>
        <v>0.111</v>
      </c>
      <c r="V19" s="117">
        <f t="shared" ca="1" si="11"/>
        <v>0.21099999999999999</v>
      </c>
      <c r="W19" s="117">
        <f t="shared" ca="1" si="12"/>
        <v>0.222</v>
      </c>
      <c r="X19" s="117">
        <f t="shared" ca="1" si="13"/>
        <v>0.122</v>
      </c>
      <c r="Y19" s="117">
        <f t="shared" ca="1" si="14"/>
        <v>0.188</v>
      </c>
      <c r="Z19" s="141" t="str">
        <f>IFERROR(IF('CALLER Portal'!$Y$1 = "TRUE", OverallTable[[#This Row],[Name]],IF(AND('CALLER Portal'!$Y$1 = "FALSE", OverallTable[[#This Row],[Active]] = TRUE),OverallTable[[#This Row],[Name]],"(Blank)")),"")</f>
        <v xml:space="preserve">Aqib Tyler </v>
      </c>
      <c r="AB19" s="73" t="s">
        <v>406</v>
      </c>
    </row>
    <row r="20" spans="1:30" x14ac:dyDescent="0.25">
      <c r="A20" s="82" t="s">
        <v>406</v>
      </c>
      <c r="B20" s="134" t="b">
        <v>1</v>
      </c>
      <c r="C20" s="83">
        <f t="shared" ca="1" si="0"/>
        <v>0</v>
      </c>
      <c r="D20" s="83">
        <f t="shared" ca="1" si="1"/>
        <v>0</v>
      </c>
      <c r="E20" s="83">
        <f t="shared" ca="1" si="2"/>
        <v>0</v>
      </c>
      <c r="F20" s="83">
        <f t="shared" ca="1" si="3"/>
        <v>0</v>
      </c>
      <c r="G20" s="107">
        <f t="shared" ca="1" si="4"/>
        <v>0</v>
      </c>
      <c r="H20" s="84">
        <f t="shared" ca="1" si="5"/>
        <v>0</v>
      </c>
      <c r="I20" s="84">
        <f t="shared" ca="1" si="6"/>
        <v>0</v>
      </c>
      <c r="J20" s="84">
        <f t="shared" ca="1" si="7"/>
        <v>0</v>
      </c>
      <c r="K20" s="92" t="str">
        <f ca="1">IFERROR(IF(AND('CALLER Portal'!$Y$1 = "False", OverallTable[[#This Row],[Active]] = FALSE), "",OverallTable[[#This Row],[Total Gifts]]/OverallTable[[#This Row],[Contacts]]),"")</f>
        <v/>
      </c>
      <c r="L20" s="92" t="str">
        <f ca="1">IF(AND('CALLER Portal'!$Y$1 = "False", OverallTable[[#This Row],[Active]] = FALSE), "", IF(C20 = 0,"",IFERROR((E20+F20)/D20,0)))</f>
        <v/>
      </c>
      <c r="M20" s="92" t="str">
        <f ca="1">IF(AND('CALLER Portal'!$Y$1 = "False", OverallTable[[#This Row],[Active]] = FALSE), "",IF(C20 = 0,"",IFERROR(F20/D20,0)))</f>
        <v/>
      </c>
      <c r="N20" s="85" t="str">
        <f ca="1">IF(AND('CALLER Portal'!$Y$1 = "False", OverallTable[[#This Row],[Active]] = FALSE), "", IFERROR((H20+I20)/C20,""))</f>
        <v/>
      </c>
      <c r="O20" s="170" t="str">
        <f ca="1">IF(AND('CALLER Portal'!$Y$1 = "False", OverallTable[[#This Row],[Active]] = FALSE),"",IF(C20 = 0,"",IFERROR((E20+F20)/C20,0)))</f>
        <v/>
      </c>
      <c r="P20" s="170" t="str">
        <f ca="1">IF(AND('CALLER Portal'!$Y$1 = "False", OverallTable[[#This Row],[Active]] = FALSE), "", IF(C20 = 0,"",IFERROR((F20)/C20,0)))</f>
        <v/>
      </c>
      <c r="Q20" s="86" t="str">
        <f t="shared" ca="1" si="8"/>
        <v/>
      </c>
      <c r="R20" s="86" t="str">
        <f ca="1">IFERROR(_xlfn.PERCENTRANK.INC(OverallTable[F-Score], OverallTable[[#This Row],[F-Score]]),"")</f>
        <v/>
      </c>
      <c r="S20"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20" s="116" t="str">
        <f t="shared" ca="1" si="9"/>
        <v/>
      </c>
      <c r="U20" s="117" t="str">
        <f t="shared" ca="1" si="10"/>
        <v/>
      </c>
      <c r="V20" s="117" t="str">
        <f t="shared" ca="1" si="11"/>
        <v/>
      </c>
      <c r="W20" s="117" t="str">
        <f t="shared" ca="1" si="12"/>
        <v/>
      </c>
      <c r="X20" s="117" t="str">
        <f t="shared" ca="1" si="13"/>
        <v/>
      </c>
      <c r="Y20" s="117" t="str">
        <f t="shared" ca="1" si="14"/>
        <v/>
      </c>
      <c r="Z20" s="141" t="str">
        <f>IFERROR(IF('CALLER Portal'!$Y$1 = "TRUE", OverallTable[[#This Row],[Name]],IF(AND('CALLER Portal'!$Y$1 = "FALSE", OverallTable[[#This Row],[Active]] = TRUE),OverallTable[[#This Row],[Name]],"(Blank)")),"")</f>
        <v xml:space="preserve">Ariyan Whitworth </v>
      </c>
      <c r="AB20" s="73" t="s">
        <v>315</v>
      </c>
    </row>
    <row r="21" spans="1:30" x14ac:dyDescent="0.25">
      <c r="A21" s="82" t="s">
        <v>315</v>
      </c>
      <c r="B21" s="134" t="b">
        <v>1</v>
      </c>
      <c r="C21" s="83">
        <f t="shared" ca="1" si="0"/>
        <v>0</v>
      </c>
      <c r="D21" s="83">
        <f t="shared" ca="1" si="1"/>
        <v>0</v>
      </c>
      <c r="E21" s="83">
        <f t="shared" ca="1" si="2"/>
        <v>0</v>
      </c>
      <c r="F21" s="83">
        <f t="shared" ca="1" si="3"/>
        <v>0</v>
      </c>
      <c r="G21" s="107">
        <f t="shared" ca="1" si="4"/>
        <v>0</v>
      </c>
      <c r="H21" s="84">
        <f t="shared" ca="1" si="5"/>
        <v>0</v>
      </c>
      <c r="I21" s="84">
        <f t="shared" ca="1" si="6"/>
        <v>0</v>
      </c>
      <c r="J21" s="84">
        <f t="shared" ca="1" si="7"/>
        <v>0</v>
      </c>
      <c r="K21" s="92" t="str">
        <f ca="1">IFERROR(IF(AND('CALLER Portal'!$Y$1 = "False", OverallTable[[#This Row],[Active]] = FALSE), "",OverallTable[[#This Row],[Total Gifts]]/OverallTable[[#This Row],[Contacts]]),"")</f>
        <v/>
      </c>
      <c r="L21" s="92" t="str">
        <f ca="1">IF(AND('CALLER Portal'!$Y$1 = "False", OverallTable[[#This Row],[Active]] = FALSE), "", IF(C21 = 0,"",IFERROR((E21+F21)/D21,0)))</f>
        <v/>
      </c>
      <c r="M21" s="92" t="str">
        <f ca="1">IF(AND('CALLER Portal'!$Y$1 = "False", OverallTable[[#This Row],[Active]] = FALSE), "",IF(C21 = 0,"",IFERROR(F21/D21,0)))</f>
        <v/>
      </c>
      <c r="N21" s="85" t="str">
        <f ca="1">IF(AND('CALLER Portal'!$Y$1 = "False", OverallTable[[#This Row],[Active]] = FALSE), "", IFERROR((H21+I21)/C21,""))</f>
        <v/>
      </c>
      <c r="O21" s="170" t="str">
        <f ca="1">IF(AND('CALLER Portal'!$Y$1 = "False", OverallTable[[#This Row],[Active]] = FALSE),"",IF(C21 = 0,"",IFERROR((E21+F21)/C21,0)))</f>
        <v/>
      </c>
      <c r="P21" s="170" t="str">
        <f ca="1">IF(AND('CALLER Portal'!$Y$1 = "False", OverallTable[[#This Row],[Active]] = FALSE), "", IF(C21 = 0,"",IFERROR((F21)/C21,0)))</f>
        <v/>
      </c>
      <c r="Q21" s="86" t="str">
        <f t="shared" ca="1" si="8"/>
        <v/>
      </c>
      <c r="R21" s="86" t="str">
        <f ca="1">IFERROR(_xlfn.PERCENTRANK.INC(OverallTable[F-Score], OverallTable[[#This Row],[F-Score]]),"")</f>
        <v/>
      </c>
      <c r="S21"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21" s="116" t="str">
        <f t="shared" ca="1" si="9"/>
        <v/>
      </c>
      <c r="U21" s="117" t="str">
        <f t="shared" ca="1" si="10"/>
        <v/>
      </c>
      <c r="V21" s="117" t="str">
        <f t="shared" ca="1" si="11"/>
        <v/>
      </c>
      <c r="W21" s="117" t="str">
        <f t="shared" ca="1" si="12"/>
        <v/>
      </c>
      <c r="X21" s="117" t="str">
        <f t="shared" ca="1" si="13"/>
        <v/>
      </c>
      <c r="Y21" s="117" t="str">
        <f t="shared" ca="1" si="14"/>
        <v/>
      </c>
      <c r="Z21" s="141" t="str">
        <f>IFERROR(IF('CALLER Portal'!$Y$1 = "TRUE", OverallTable[[#This Row],[Name]],IF(AND('CALLER Portal'!$Y$1 = "FALSE", OverallTable[[#This Row],[Active]] = TRUE),OverallTable[[#This Row],[Name]],"(Blank)")),"")</f>
        <v xml:space="preserve">Ashleigh Wu </v>
      </c>
      <c r="AB21" s="73" t="s">
        <v>279</v>
      </c>
    </row>
    <row r="22" spans="1:30" x14ac:dyDescent="0.25">
      <c r="A22" s="160" t="s">
        <v>279</v>
      </c>
      <c r="B22" s="134" t="b">
        <v>1</v>
      </c>
      <c r="C22" s="161">
        <f t="shared" ca="1" si="0"/>
        <v>73.489000000000004</v>
      </c>
      <c r="D22" s="161">
        <f t="shared" ca="1" si="1"/>
        <v>108</v>
      </c>
      <c r="E22" s="161">
        <f t="shared" ca="1" si="2"/>
        <v>63</v>
      </c>
      <c r="F22" s="161">
        <f t="shared" ca="1" si="3"/>
        <v>8</v>
      </c>
      <c r="G22" s="162">
        <f t="shared" ca="1" si="4"/>
        <v>439</v>
      </c>
      <c r="H22" s="163">
        <f t="shared" ca="1" si="5"/>
        <v>3341</v>
      </c>
      <c r="I22" s="163">
        <f t="shared" ca="1" si="6"/>
        <v>960</v>
      </c>
      <c r="J22" s="163">
        <f t="shared" ca="1" si="7"/>
        <v>6076</v>
      </c>
      <c r="K22" s="165">
        <f ca="1">IFERROR(IF(AND('CALLER Portal'!$Y$1 = "False", OverallTable[[#This Row],[Active]] = FALSE), "",OverallTable[[#This Row],[Total Gifts]]/OverallTable[[#This Row],[Contacts]]),"")</f>
        <v>0.24601366742596811</v>
      </c>
      <c r="L22" s="165">
        <f ca="1">IF(AND('CALLER Portal'!$Y$1 = "False", OverallTable[[#This Row],[Active]] = FALSE), "", IF(C22 = 0,"",IFERROR((E22+F22)/D22,0)))</f>
        <v>0.65740740740740744</v>
      </c>
      <c r="M22" s="165">
        <f ca="1">IF(AND('CALLER Portal'!$Y$1 = "False", OverallTable[[#This Row],[Active]] = FALSE), "",IF(C22 = 0,"",IFERROR(F22/D22,0)))</f>
        <v>7.407407407407407E-2</v>
      </c>
      <c r="N22" s="166">
        <f ca="1">IF(AND('CALLER Portal'!$Y$1 = "False", OverallTable[[#This Row],[Active]] = FALSE), "", IFERROR((H22+I22)/C22,""))</f>
        <v>58.525765760862164</v>
      </c>
      <c r="O22" s="172">
        <f ca="1">IF(AND('CALLER Portal'!$Y$1 = "False", OverallTable[[#This Row],[Active]] = FALSE),"",IF(C22 = 0,"",IFERROR((E22+F22)/C22,0)))</f>
        <v>0.96613098558968002</v>
      </c>
      <c r="P22" s="172">
        <f ca="1">IF(AND('CALLER Portal'!$Y$1 = "False", OverallTable[[#This Row],[Active]] = FALSE), "", IF(C22 = 0,"",IFERROR((F22)/C22,0)))</f>
        <v>0.10885982936221747</v>
      </c>
      <c r="Q22" s="164">
        <f t="shared" ca="1" si="8"/>
        <v>5.973683136251684</v>
      </c>
      <c r="R22" s="164">
        <f ca="1">IFERROR(_xlfn.PERCENTRANK.INC(OverallTable[F-Score], OverallTable[[#This Row],[F-Score]]),"")</f>
        <v>0.59</v>
      </c>
      <c r="S22" s="164">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0.56489999999999996</v>
      </c>
      <c r="T22" s="159">
        <f t="shared" ca="1" si="9"/>
        <v>0.38800000000000001</v>
      </c>
      <c r="U22" s="141">
        <f t="shared" ca="1" si="10"/>
        <v>0.68799999999999994</v>
      </c>
      <c r="V22" s="141">
        <f t="shared" ca="1" si="11"/>
        <v>0.57699999999999996</v>
      </c>
      <c r="W22" s="141">
        <f t="shared" ca="1" si="12"/>
        <v>0.6</v>
      </c>
      <c r="X22" s="141">
        <f t="shared" ca="1" si="13"/>
        <v>0.57699999999999996</v>
      </c>
      <c r="Y22" s="141">
        <f t="shared" ca="1" si="14"/>
        <v>0.56599999999999995</v>
      </c>
      <c r="Z22" s="141" t="str">
        <f>IFERROR(IF('CALLER Portal'!$Y$1 = "TRUE", OverallTable[[#This Row],[Name]],IF(AND('CALLER Portal'!$Y$1 = "FALSE", OverallTable[[#This Row],[Active]] = TRUE),OverallTable[[#This Row],[Name]],"(Blank)")),"")</f>
        <v xml:space="preserve">Barbara Sparks </v>
      </c>
      <c r="AB22" s="73" t="s">
        <v>432</v>
      </c>
    </row>
    <row r="23" spans="1:30" x14ac:dyDescent="0.25">
      <c r="A23" s="82" t="s">
        <v>432</v>
      </c>
      <c r="B23" s="134" t="b">
        <v>1</v>
      </c>
      <c r="C23" s="91">
        <f t="shared" ca="1" si="0"/>
        <v>63.301999999999992</v>
      </c>
      <c r="D23" s="91">
        <f t="shared" ca="1" si="1"/>
        <v>103</v>
      </c>
      <c r="E23" s="91">
        <f t="shared" ca="1" si="2"/>
        <v>67</v>
      </c>
      <c r="F23" s="91">
        <f t="shared" ca="1" si="3"/>
        <v>1</v>
      </c>
      <c r="G23" s="107">
        <f t="shared" ca="1" si="4"/>
        <v>303</v>
      </c>
      <c r="H23" s="84">
        <f t="shared" ca="1" si="5"/>
        <v>3761</v>
      </c>
      <c r="I23" s="84">
        <f t="shared" ca="1" si="6"/>
        <v>240</v>
      </c>
      <c r="J23" s="84">
        <f t="shared" ca="1" si="7"/>
        <v>5401</v>
      </c>
      <c r="K23" s="92">
        <f ca="1">IFERROR(IF(AND('CALLER Portal'!$Y$1 = "False", OverallTable[[#This Row],[Active]] = FALSE), "",OverallTable[[#This Row],[Total Gifts]]/OverallTable[[#This Row],[Contacts]]),"")</f>
        <v>0.33993399339933994</v>
      </c>
      <c r="L23" s="92">
        <f ca="1">IF(AND('CALLER Portal'!$Y$1 = "False", OverallTable[[#This Row],[Active]] = FALSE), "", IF(C23 = 0,"",IFERROR((E23+F23)/D23,0)))</f>
        <v>0.66019417475728159</v>
      </c>
      <c r="M23" s="92">
        <f ca="1">IF(AND('CALLER Portal'!$Y$1 = "False", OverallTable[[#This Row],[Active]] = FALSE), "",IF(C23 = 0,"",IFERROR(F23/D23,0)))</f>
        <v>9.7087378640776691E-3</v>
      </c>
      <c r="N23" s="85">
        <f ca="1">IF(AND('CALLER Portal'!$Y$1 = "False", OverallTable[[#This Row],[Active]] = FALSE), "", IFERROR((H23+I23)/C23,""))</f>
        <v>63.204954029888476</v>
      </c>
      <c r="O23" s="173">
        <f ca="1">IF(AND('CALLER Portal'!$Y$1 = "False", OverallTable[[#This Row],[Active]] = FALSE),"",IF(C23 = 0,"",IFERROR((E23+F23)/C23,0)))</f>
        <v>1.0742156645919561</v>
      </c>
      <c r="P23" s="173">
        <f ca="1">IF(AND('CALLER Portal'!$Y$1 = "False", OverallTable[[#This Row],[Active]] = FALSE), "", IF(C23 = 0,"",IFERROR((F23)/C23,0)))</f>
        <v>1.5797289185175825E-2</v>
      </c>
      <c r="Q23" s="86">
        <f t="shared" ca="1" si="8"/>
        <v>4.7865786231082748</v>
      </c>
      <c r="R23" s="86">
        <f ca="1">IFERROR(_xlfn.PERCENTRANK.INC(OverallTable[F-Score], OverallTable[[#This Row],[F-Score]]),"")</f>
        <v>0.64700000000000002</v>
      </c>
      <c r="S23" s="86">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0.59939999999999993</v>
      </c>
      <c r="T23" s="201">
        <f t="shared" ca="1" si="9"/>
        <v>0.78800000000000003</v>
      </c>
      <c r="U23" s="141">
        <f t="shared" ca="1" si="10"/>
        <v>0.7</v>
      </c>
      <c r="V23" s="141">
        <f t="shared" ca="1" si="11"/>
        <v>0.16600000000000001</v>
      </c>
      <c r="W23" s="141">
        <f t="shared" ca="1" si="12"/>
        <v>0.67700000000000005</v>
      </c>
      <c r="X23" s="141">
        <f t="shared" ca="1" si="13"/>
        <v>0.66600000000000004</v>
      </c>
      <c r="Y23" s="141">
        <f t="shared" ca="1" si="14"/>
        <v>0.16600000000000001</v>
      </c>
      <c r="Z23" s="141" t="str">
        <f>IFERROR(IF('CALLER Portal'!$Y$1 = "TRUE", OverallTable[[#This Row],[Name]],IF(AND('CALLER Portal'!$Y$1 = "FALSE", OverallTable[[#This Row],[Active]] = TRUE),OverallTable[[#This Row],[Name]],"(Blank)")),"")</f>
        <v xml:space="preserve">Bartholomew Tegi </v>
      </c>
      <c r="AB23" s="73" t="s">
        <v>320</v>
      </c>
    </row>
    <row r="24" spans="1:30" x14ac:dyDescent="0.25">
      <c r="A24" s="82" t="s">
        <v>320</v>
      </c>
      <c r="B24" s="134" t="b">
        <v>1</v>
      </c>
      <c r="C24" s="83">
        <f t="shared" ca="1" si="0"/>
        <v>0</v>
      </c>
      <c r="D24" s="83">
        <f t="shared" ca="1" si="1"/>
        <v>0</v>
      </c>
      <c r="E24" s="83">
        <f t="shared" ca="1" si="2"/>
        <v>0</v>
      </c>
      <c r="F24" s="83">
        <f t="shared" ca="1" si="3"/>
        <v>0</v>
      </c>
      <c r="G24" s="107">
        <f t="shared" ca="1" si="4"/>
        <v>0</v>
      </c>
      <c r="H24" s="84">
        <f t="shared" ca="1" si="5"/>
        <v>0</v>
      </c>
      <c r="I24" s="84">
        <f t="shared" ca="1" si="6"/>
        <v>0</v>
      </c>
      <c r="J24" s="84">
        <f t="shared" ca="1" si="7"/>
        <v>0</v>
      </c>
      <c r="K24" s="92" t="str">
        <f ca="1">IFERROR(IF(AND('CALLER Portal'!$Y$1 = "False", OverallTable[[#This Row],[Active]] = FALSE), "",OverallTable[[#This Row],[Total Gifts]]/OverallTable[[#This Row],[Contacts]]),"")</f>
        <v/>
      </c>
      <c r="L24" s="92" t="str">
        <f ca="1">IF(AND('CALLER Portal'!$Y$1 = "False", OverallTable[[#This Row],[Active]] = FALSE), "", IF(C24 = 0,"",IFERROR((E24+F24)/D24,0)))</f>
        <v/>
      </c>
      <c r="M24" s="92" t="str">
        <f ca="1">IF(AND('CALLER Portal'!$Y$1 = "False", OverallTable[[#This Row],[Active]] = FALSE), "",IF(C24 = 0,"",IFERROR(F24/D24,0)))</f>
        <v/>
      </c>
      <c r="N24" s="85" t="str">
        <f ca="1">IF(AND('CALLER Portal'!$Y$1 = "False", OverallTable[[#This Row],[Active]] = FALSE), "", IFERROR((H24+I24)/C24,""))</f>
        <v/>
      </c>
      <c r="O24" s="170" t="str">
        <f ca="1">IF(AND('CALLER Portal'!$Y$1 = "False", OverallTable[[#This Row],[Active]] = FALSE),"",IF(C24 = 0,"",IFERROR((E24+F24)/C24,0)))</f>
        <v/>
      </c>
      <c r="P24" s="170" t="str">
        <f ca="1">IF(AND('CALLER Portal'!$Y$1 = "False", OverallTable[[#This Row],[Active]] = FALSE), "", IF(C24 = 0,"",IFERROR((F24)/C24,0)))</f>
        <v/>
      </c>
      <c r="Q24" s="86" t="str">
        <f t="shared" ca="1" si="8"/>
        <v/>
      </c>
      <c r="R24" s="86" t="str">
        <f ca="1">IFERROR(_xlfn.PERCENTRANK.INC(OverallTable[F-Score], OverallTable[[#This Row],[F-Score]]),"")</f>
        <v/>
      </c>
      <c r="S24"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24" s="116" t="str">
        <f t="shared" ca="1" si="9"/>
        <v/>
      </c>
      <c r="U24" s="117" t="str">
        <f t="shared" ca="1" si="10"/>
        <v/>
      </c>
      <c r="V24" s="117" t="str">
        <f t="shared" ca="1" si="11"/>
        <v/>
      </c>
      <c r="W24" s="117" t="str">
        <f t="shared" ca="1" si="12"/>
        <v/>
      </c>
      <c r="X24" s="117" t="str">
        <f t="shared" ca="1" si="13"/>
        <v/>
      </c>
      <c r="Y24" s="117" t="str">
        <f t="shared" ca="1" si="14"/>
        <v/>
      </c>
      <c r="Z24" s="141" t="str">
        <f>IFERROR(IF('CALLER Portal'!$Y$1 = "TRUE", OverallTable[[#This Row],[Name]],IF(AND('CALLER Portal'!$Y$1 = "FALSE", OverallTable[[#This Row],[Active]] = TRUE),OverallTable[[#This Row],[Name]],"(Blank)")),"")</f>
        <v xml:space="preserve">Beau Dolden </v>
      </c>
      <c r="AB24" s="73" t="s">
        <v>333</v>
      </c>
    </row>
    <row r="25" spans="1:30" x14ac:dyDescent="0.25">
      <c r="A25" s="158" t="s">
        <v>333</v>
      </c>
      <c r="B25" s="134" t="b">
        <v>1</v>
      </c>
      <c r="C25" s="239">
        <f t="shared" ca="1" si="0"/>
        <v>47.576999999999998</v>
      </c>
      <c r="D25" s="239">
        <f t="shared" ca="1" si="1"/>
        <v>78</v>
      </c>
      <c r="E25" s="239">
        <f t="shared" ca="1" si="2"/>
        <v>39</v>
      </c>
      <c r="F25" s="239">
        <f t="shared" ca="1" si="3"/>
        <v>5</v>
      </c>
      <c r="G25" s="240">
        <f t="shared" ca="1" si="4"/>
        <v>227</v>
      </c>
      <c r="H25" s="241">
        <f t="shared" ca="1" si="5"/>
        <v>1847</v>
      </c>
      <c r="I25" s="241">
        <f t="shared" ca="1" si="6"/>
        <v>600</v>
      </c>
      <c r="J25" s="241">
        <f t="shared" ca="1" si="7"/>
        <v>4349</v>
      </c>
      <c r="K25" s="242">
        <f ca="1">IFERROR(IF(AND('CALLER Portal'!$Y$1 = "False", OverallTable[[#This Row],[Active]] = FALSE), "",OverallTable[[#This Row],[Total Gifts]]/OverallTable[[#This Row],[Contacts]]),"")</f>
        <v>0.34361233480176212</v>
      </c>
      <c r="L25" s="242">
        <f ca="1">IF(AND('CALLER Portal'!$Y$1 = "False", OverallTable[[#This Row],[Active]] = FALSE), "", IF(C25 = 0,"",IFERROR((E25+F25)/D25,0)))</f>
        <v>0.5641025641025641</v>
      </c>
      <c r="M25" s="242">
        <f ca="1">IF(AND('CALLER Portal'!$Y$1 = "False", OverallTable[[#This Row],[Active]] = FALSE), "",IF(C25 = 0,"",IFERROR(F25/D25,0)))</f>
        <v>6.4102564102564097E-2</v>
      </c>
      <c r="N25" s="243">
        <f ca="1">IF(AND('CALLER Portal'!$Y$1 = "False", OverallTable[[#This Row],[Active]] = FALSE), "", IFERROR((H25+I25)/C25,""))</f>
        <v>51.432414822288081</v>
      </c>
      <c r="O25" s="244">
        <f ca="1">IF(AND('CALLER Portal'!$Y$1 = "False", OverallTable[[#This Row],[Active]] = FALSE),"",IF(C25 = 0,"",IFERROR((E25+F25)/C25,0)))</f>
        <v>0.92481661306934027</v>
      </c>
      <c r="P25" s="244">
        <f ca="1">IF(AND('CALLER Portal'!$Y$1 = "False", OverallTable[[#This Row],[Active]] = FALSE), "", IF(C25 = 0,"",IFERROR((F25)/C25,0)))</f>
        <v>0.10509279693969775</v>
      </c>
      <c r="Q25" s="245">
        <f t="shared" ca="1" si="8"/>
        <v>4.7712129810622779</v>
      </c>
      <c r="R25" s="245">
        <f ca="1">IFERROR(_xlfn.PERCENTRANK.INC(OverallTable[F-Score], OverallTable[[#This Row],[F-Score]]),"")</f>
        <v>0.54500000000000004</v>
      </c>
      <c r="S25" s="245">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0.54970000000000008</v>
      </c>
      <c r="T25" s="159">
        <f t="shared" ca="1" si="9"/>
        <v>0.8</v>
      </c>
      <c r="U25" s="141">
        <f t="shared" ca="1" si="10"/>
        <v>0.35499999999999998</v>
      </c>
      <c r="V25" s="141">
        <f t="shared" ca="1" si="11"/>
        <v>0.5</v>
      </c>
      <c r="W25" s="141">
        <f t="shared" ca="1" si="12"/>
        <v>0.52200000000000002</v>
      </c>
      <c r="X25" s="141">
        <f t="shared" ca="1" si="13"/>
        <v>0.55500000000000005</v>
      </c>
      <c r="Y25" s="141">
        <f t="shared" ca="1" si="14"/>
        <v>0.53300000000000003</v>
      </c>
      <c r="Z25" s="141" t="str">
        <f>IFERROR(IF('CALLER Portal'!$Y$1 = "TRUE", OverallTable[[#This Row],[Name]],IF(AND('CALLER Portal'!$Y$1 = "FALSE", OverallTable[[#This Row],[Active]] = TRUE),OverallTable[[#This Row],[Name]],"(Blank)")),"")</f>
        <v xml:space="preserve">Berndate Butler </v>
      </c>
      <c r="AB25" s="73" t="s">
        <v>385</v>
      </c>
    </row>
    <row r="26" spans="1:30" x14ac:dyDescent="0.25">
      <c r="A26" s="82" t="s">
        <v>385</v>
      </c>
      <c r="B26" s="134" t="b">
        <v>1</v>
      </c>
      <c r="C26" s="83">
        <f t="shared" ca="1" si="0"/>
        <v>70.445000000000007</v>
      </c>
      <c r="D26" s="83">
        <f t="shared" ca="1" si="1"/>
        <v>49</v>
      </c>
      <c r="E26" s="83">
        <f t="shared" ca="1" si="2"/>
        <v>20</v>
      </c>
      <c r="F26" s="83">
        <f t="shared" ca="1" si="3"/>
        <v>3</v>
      </c>
      <c r="G26" s="107">
        <f t="shared" ca="1" si="4"/>
        <v>208</v>
      </c>
      <c r="H26" s="84">
        <f t="shared" ca="1" si="5"/>
        <v>790</v>
      </c>
      <c r="I26" s="84">
        <f t="shared" ca="1" si="6"/>
        <v>444</v>
      </c>
      <c r="J26" s="84">
        <f t="shared" ca="1" si="7"/>
        <v>2164</v>
      </c>
      <c r="K26" s="92">
        <f ca="1">IFERROR(IF(AND('CALLER Portal'!$Y$1 = "False", OverallTable[[#This Row],[Active]] = FALSE), "",OverallTable[[#This Row],[Total Gifts]]/OverallTable[[#This Row],[Contacts]]),"")</f>
        <v>0.23557692307692307</v>
      </c>
      <c r="L26" s="92">
        <f ca="1">IF(AND('CALLER Portal'!$Y$1 = "False", OverallTable[[#This Row],[Active]] = FALSE), "", IF(C26 = 0,"",IFERROR((E26+F26)/D26,0)))</f>
        <v>0.46938775510204084</v>
      </c>
      <c r="M26" s="92">
        <f ca="1">IF(AND('CALLER Portal'!$Y$1 = "False", OverallTable[[#This Row],[Active]] = FALSE), "",IF(C26 = 0,"",IFERROR(F26/D26,0)))</f>
        <v>6.1224489795918366E-2</v>
      </c>
      <c r="N26" s="85">
        <f ca="1">IF(AND('CALLER Portal'!$Y$1 = "False", OverallTable[[#This Row],[Active]] = FALSE), "", IFERROR((H26+I26)/C26,""))</f>
        <v>17.517212009369011</v>
      </c>
      <c r="O26" s="170">
        <f ca="1">IF(AND('CALLER Portal'!$Y$1 = "False", OverallTable[[#This Row],[Active]] = FALSE),"",IF(C26 = 0,"",IFERROR((E26+F26)/C26,0)))</f>
        <v>0.32649584782454394</v>
      </c>
      <c r="P26" s="170">
        <f ca="1">IF(AND('CALLER Portal'!$Y$1 = "False", OverallTable[[#This Row],[Active]] = FALSE), "", IF(C26 = 0,"",IFERROR((F26)/C26,0)))</f>
        <v>4.2586414933636164E-2</v>
      </c>
      <c r="Q26" s="86">
        <f t="shared" ca="1" si="8"/>
        <v>2.952658102065441</v>
      </c>
      <c r="R26" s="86">
        <f ca="1">IFERROR(_xlfn.PERCENTRANK.INC(OverallTable[F-Score], OverallTable[[#This Row],[F-Score]]),"")</f>
        <v>7.9000000000000001E-2</v>
      </c>
      <c r="S26" s="86">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0.1794</v>
      </c>
      <c r="T26" s="116">
        <f t="shared" ca="1" si="9"/>
        <v>0.32200000000000001</v>
      </c>
      <c r="U26" s="117">
        <f t="shared" ca="1" si="10"/>
        <v>7.6999999999999999E-2</v>
      </c>
      <c r="V26" s="117">
        <f t="shared" ca="1" si="11"/>
        <v>0.44400000000000001</v>
      </c>
      <c r="W26" s="117">
        <f t="shared" ca="1" si="12"/>
        <v>6.6000000000000003E-2</v>
      </c>
      <c r="X26" s="117">
        <f t="shared" ca="1" si="13"/>
        <v>7.6999999999999999E-2</v>
      </c>
      <c r="Y26" s="117">
        <f t="shared" ca="1" si="14"/>
        <v>0.26600000000000001</v>
      </c>
      <c r="Z26" s="141" t="str">
        <f>IFERROR(IF('CALLER Portal'!$Y$1 = "TRUE", OverallTable[[#This Row],[Name]],IF(AND('CALLER Portal'!$Y$1 = "FALSE", OverallTable[[#This Row],[Active]] = TRUE),OverallTable[[#This Row],[Name]],"(Blank)")),"")</f>
        <v xml:space="preserve">Bianka Edin </v>
      </c>
      <c r="AB26" s="73" t="s">
        <v>269</v>
      </c>
    </row>
    <row r="27" spans="1:30" x14ac:dyDescent="0.25">
      <c r="A27" s="82" t="s">
        <v>269</v>
      </c>
      <c r="B27" s="134" t="b">
        <v>1</v>
      </c>
      <c r="C27" s="83">
        <f t="shared" ca="1" si="0"/>
        <v>54.376999999999995</v>
      </c>
      <c r="D27" s="83">
        <f t="shared" ca="1" si="1"/>
        <v>77</v>
      </c>
      <c r="E27" s="83">
        <f t="shared" ca="1" si="2"/>
        <v>25</v>
      </c>
      <c r="F27" s="83">
        <f t="shared" ca="1" si="3"/>
        <v>15</v>
      </c>
      <c r="G27" s="107">
        <f t="shared" ca="1" si="4"/>
        <v>240</v>
      </c>
      <c r="H27" s="84">
        <f t="shared" ca="1" si="5"/>
        <v>1180</v>
      </c>
      <c r="I27" s="84">
        <f t="shared" ca="1" si="6"/>
        <v>1834</v>
      </c>
      <c r="J27" s="84">
        <f t="shared" ca="1" si="7"/>
        <v>5259</v>
      </c>
      <c r="K27" s="92">
        <f ca="1">IFERROR(IF(AND('CALLER Portal'!$Y$1 = "False", OverallTable[[#This Row],[Active]] = FALSE), "",OverallTable[[#This Row],[Total Gifts]]/OverallTable[[#This Row],[Contacts]]),"")</f>
        <v>0.32083333333333336</v>
      </c>
      <c r="L27" s="92">
        <f ca="1">IF(AND('CALLER Portal'!$Y$1 = "False", OverallTable[[#This Row],[Active]] = FALSE), "", IF(C27 = 0,"",IFERROR((E27+F27)/D27,0)))</f>
        <v>0.51948051948051943</v>
      </c>
      <c r="M27" s="92">
        <f ca="1">IF(AND('CALLER Portal'!$Y$1 = "False", OverallTable[[#This Row],[Active]] = FALSE), "",IF(C27 = 0,"",IFERROR(F27/D27,0)))</f>
        <v>0.19480519480519481</v>
      </c>
      <c r="N27" s="85">
        <f ca="1">IF(AND('CALLER Portal'!$Y$1 = "False", OverallTable[[#This Row],[Active]] = FALSE), "", IFERROR((H27+I27)/C27,""))</f>
        <v>55.42784633208894</v>
      </c>
      <c r="O27" s="170">
        <f ca="1">IF(AND('CALLER Portal'!$Y$1 = "False", OverallTable[[#This Row],[Active]] = FALSE),"",IF(C27 = 0,"",IFERROR((E27+F27)/C27,0)))</f>
        <v>0.73560512716773641</v>
      </c>
      <c r="P27" s="170">
        <f ca="1">IF(AND('CALLER Portal'!$Y$1 = "False", OverallTable[[#This Row],[Active]] = FALSE), "", IF(C27 = 0,"",IFERROR((F27)/C27,0)))</f>
        <v>0.27585192268790115</v>
      </c>
      <c r="Q27" s="86">
        <f t="shared" ca="1" si="8"/>
        <v>4.4136307630064184</v>
      </c>
      <c r="R27" s="86">
        <f ca="1">IFERROR(_xlfn.PERCENTRANK.INC(OverallTable[F-Score], OverallTable[[#This Row],[F-Score]]),"")</f>
        <v>0.52200000000000002</v>
      </c>
      <c r="S27" s="86">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0.5484</v>
      </c>
      <c r="T27" s="116">
        <f t="shared" ca="1" si="9"/>
        <v>0.71099999999999997</v>
      </c>
      <c r="U27" s="117">
        <f t="shared" ca="1" si="10"/>
        <v>0.17699999999999999</v>
      </c>
      <c r="V27" s="117">
        <f t="shared" ca="1" si="11"/>
        <v>0.94399999999999995</v>
      </c>
      <c r="W27" s="117">
        <f t="shared" ca="1" si="12"/>
        <v>0.56599999999999995</v>
      </c>
      <c r="X27" s="117">
        <f t="shared" ca="1" si="13"/>
        <v>0.35499999999999998</v>
      </c>
      <c r="Y27" s="117">
        <f t="shared" ca="1" si="14"/>
        <v>0.92200000000000004</v>
      </c>
      <c r="Z27" s="141" t="str">
        <f>IFERROR(IF('CALLER Portal'!$Y$1 = "TRUE", OverallTable[[#This Row],[Name]],IF(AND('CALLER Portal'!$Y$1 = "FALSE", OverallTable[[#This Row],[Active]] = TRUE),OverallTable[[#This Row],[Name]],"(Blank)")),"")</f>
        <v xml:space="preserve">Boris Sandu </v>
      </c>
      <c r="AB27" s="73" t="s">
        <v>408</v>
      </c>
    </row>
    <row r="28" spans="1:30" x14ac:dyDescent="0.25">
      <c r="A28" s="82" t="s">
        <v>408</v>
      </c>
      <c r="B28" s="134" t="b">
        <v>1</v>
      </c>
      <c r="C28" s="83">
        <f t="shared" ca="1" si="0"/>
        <v>7.6390000000000002</v>
      </c>
      <c r="D28" s="83">
        <f t="shared" ca="1" si="1"/>
        <v>9</v>
      </c>
      <c r="E28" s="83">
        <f t="shared" ca="1" si="2"/>
        <v>3</v>
      </c>
      <c r="F28" s="83">
        <f t="shared" ca="1" si="3"/>
        <v>2</v>
      </c>
      <c r="G28" s="107">
        <f t="shared" ca="1" si="4"/>
        <v>43</v>
      </c>
      <c r="H28" s="84">
        <f t="shared" ca="1" si="5"/>
        <v>75</v>
      </c>
      <c r="I28" s="84">
        <f t="shared" ca="1" si="6"/>
        <v>240</v>
      </c>
      <c r="J28" s="84">
        <f t="shared" ca="1" si="7"/>
        <v>570</v>
      </c>
      <c r="K28" s="92">
        <f ca="1">IFERROR(IF(AND('CALLER Portal'!$Y$1 = "False", OverallTable[[#This Row],[Active]] = FALSE), "",OverallTable[[#This Row],[Total Gifts]]/OverallTable[[#This Row],[Contacts]]),"")</f>
        <v>0.20930232558139536</v>
      </c>
      <c r="L28" s="92">
        <f ca="1">IF(AND('CALLER Portal'!$Y$1 = "False", OverallTable[[#This Row],[Active]] = FALSE), "", IF(C28 = 0,"",IFERROR((E28+F28)/D28,0)))</f>
        <v>0.55555555555555558</v>
      </c>
      <c r="M28" s="92">
        <f ca="1">IF(AND('CALLER Portal'!$Y$1 = "False", OverallTable[[#This Row],[Active]] = FALSE), "",IF(C28 = 0,"",IFERROR(F28/D28,0)))</f>
        <v>0.22222222222222221</v>
      </c>
      <c r="N28" s="85">
        <f ca="1">IF(AND('CALLER Portal'!$Y$1 = "False", OverallTable[[#This Row],[Active]] = FALSE), "", IFERROR((H28+I28)/C28,""))</f>
        <v>41.235763843435002</v>
      </c>
      <c r="O28" s="170">
        <f ca="1">IF(AND('CALLER Portal'!$Y$1 = "False", OverallTable[[#This Row],[Active]] = FALSE),"",IF(C28 = 0,"",IFERROR((E28+F28)/C28,0)))</f>
        <v>0.65453593402277788</v>
      </c>
      <c r="P28" s="170">
        <f ca="1">IF(AND('CALLER Portal'!$Y$1 = "False", OverallTable[[#This Row],[Active]] = FALSE), "", IF(C28 = 0,"",IFERROR((F28)/C28,0)))</f>
        <v>0.26181437360911114</v>
      </c>
      <c r="Q28" s="86">
        <f t="shared" ca="1" si="8"/>
        <v>5.6290090325958895</v>
      </c>
      <c r="R28" s="86">
        <f ca="1">IFERROR(_xlfn.PERCENTRANK.INC(OverallTable[F-Score], OverallTable[[#This Row],[F-Score]]),"")</f>
        <v>0.32900000000000001</v>
      </c>
      <c r="S28" s="86">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0.39400000000000002</v>
      </c>
      <c r="T28" s="116">
        <f t="shared" ca="1" si="9"/>
        <v>0.17699999999999999</v>
      </c>
      <c r="U28" s="117">
        <f t="shared" ca="1" si="10"/>
        <v>0.311</v>
      </c>
      <c r="V28" s="117">
        <f t="shared" ca="1" si="11"/>
        <v>0.96599999999999997</v>
      </c>
      <c r="W28" s="117">
        <f t="shared" ca="1" si="12"/>
        <v>0.311</v>
      </c>
      <c r="X28" s="117">
        <f t="shared" ca="1" si="13"/>
        <v>0.24399999999999999</v>
      </c>
      <c r="Y28" s="117">
        <f t="shared" ca="1" si="14"/>
        <v>0.88800000000000001</v>
      </c>
      <c r="Z28" s="141" t="str">
        <f>IFERROR(IF('CALLER Portal'!$Y$1 = "TRUE", OverallTable[[#This Row],[Name]],IF(AND('CALLER Portal'!$Y$1 = "FALSE", OverallTable[[#This Row],[Active]] = TRUE),OverallTable[[#This Row],[Name]],"(Blank)")),"")</f>
        <v xml:space="preserve">Borys Mejia </v>
      </c>
      <c r="AB28" s="73" t="s">
        <v>395</v>
      </c>
    </row>
    <row r="29" spans="1:30" x14ac:dyDescent="0.25">
      <c r="A29" s="82" t="s">
        <v>395</v>
      </c>
      <c r="B29" s="134" t="b">
        <v>1</v>
      </c>
      <c r="C29" s="83">
        <f t="shared" ca="1" si="0"/>
        <v>0</v>
      </c>
      <c r="D29" s="83">
        <f t="shared" ca="1" si="1"/>
        <v>0</v>
      </c>
      <c r="E29" s="83">
        <f t="shared" ca="1" si="2"/>
        <v>0</v>
      </c>
      <c r="F29" s="83">
        <f t="shared" ca="1" si="3"/>
        <v>0</v>
      </c>
      <c r="G29" s="107">
        <f t="shared" ca="1" si="4"/>
        <v>0</v>
      </c>
      <c r="H29" s="84">
        <f t="shared" ca="1" si="5"/>
        <v>0</v>
      </c>
      <c r="I29" s="84">
        <f t="shared" ca="1" si="6"/>
        <v>0</v>
      </c>
      <c r="J29" s="84">
        <f t="shared" ca="1" si="7"/>
        <v>0</v>
      </c>
      <c r="K29" s="92" t="str">
        <f ca="1">IFERROR(IF(AND('CALLER Portal'!$Y$1 = "False", OverallTable[[#This Row],[Active]] = FALSE), "",OverallTable[[#This Row],[Total Gifts]]/OverallTable[[#This Row],[Contacts]]),"")</f>
        <v/>
      </c>
      <c r="L29" s="92" t="str">
        <f ca="1">IF(AND('CALLER Portal'!$Y$1 = "False", OverallTable[[#This Row],[Active]] = FALSE), "", IF(C29 = 0,"",IFERROR((E29+F29)/D29,0)))</f>
        <v/>
      </c>
      <c r="M29" s="92" t="str">
        <f ca="1">IF(AND('CALLER Portal'!$Y$1 = "False", OverallTable[[#This Row],[Active]] = FALSE), "",IF(C29 = 0,"",IFERROR(F29/D29,0)))</f>
        <v/>
      </c>
      <c r="N29" s="85" t="str">
        <f ca="1">IF(AND('CALLER Portal'!$Y$1 = "False", OverallTable[[#This Row],[Active]] = FALSE), "", IFERROR((H29+I29)/C29,""))</f>
        <v/>
      </c>
      <c r="O29" s="170" t="str">
        <f ca="1">IF(AND('CALLER Portal'!$Y$1 = "False", OverallTable[[#This Row],[Active]] = FALSE),"",IF(C29 = 0,"",IFERROR((E29+F29)/C29,0)))</f>
        <v/>
      </c>
      <c r="P29" s="170" t="str">
        <f ca="1">IF(AND('CALLER Portal'!$Y$1 = "False", OverallTable[[#This Row],[Active]] = FALSE), "", IF(C29 = 0,"",IFERROR((F29)/C29,0)))</f>
        <v/>
      </c>
      <c r="Q29" s="86" t="str">
        <f t="shared" ca="1" si="8"/>
        <v/>
      </c>
      <c r="R29" s="86" t="str">
        <f ca="1">IFERROR(_xlfn.PERCENTRANK.INC(OverallTable[F-Score], OverallTable[[#This Row],[F-Score]]),"")</f>
        <v/>
      </c>
      <c r="S29"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29" s="116" t="str">
        <f t="shared" ca="1" si="9"/>
        <v/>
      </c>
      <c r="U29" s="117" t="str">
        <f t="shared" ca="1" si="10"/>
        <v/>
      </c>
      <c r="V29" s="117" t="str">
        <f t="shared" ca="1" si="11"/>
        <v/>
      </c>
      <c r="W29" s="117" t="str">
        <f t="shared" ca="1" si="12"/>
        <v/>
      </c>
      <c r="X29" s="117" t="str">
        <f t="shared" ca="1" si="13"/>
        <v/>
      </c>
      <c r="Y29" s="117" t="str">
        <f t="shared" ca="1" si="14"/>
        <v/>
      </c>
      <c r="Z29" s="141" t="str">
        <f>IFERROR(IF('CALLER Portal'!$Y$1 = "TRUE", OverallTable[[#This Row],[Name]],IF(AND('CALLER Portal'!$Y$1 = "FALSE", OverallTable[[#This Row],[Active]] = TRUE),OverallTable[[#This Row],[Name]],"(Blank)")),"")</f>
        <v xml:space="preserve">Braydon Hampton </v>
      </c>
      <c r="AB29" s="73" t="s">
        <v>281</v>
      </c>
    </row>
    <row r="30" spans="1:30" x14ac:dyDescent="0.25">
      <c r="A30" s="82" t="s">
        <v>281</v>
      </c>
      <c r="B30" s="134" t="b">
        <v>1</v>
      </c>
      <c r="C30" s="83">
        <f t="shared" ca="1" si="0"/>
        <v>0</v>
      </c>
      <c r="D30" s="83">
        <f t="shared" ca="1" si="1"/>
        <v>0</v>
      </c>
      <c r="E30" s="83">
        <f t="shared" ca="1" si="2"/>
        <v>0</v>
      </c>
      <c r="F30" s="83">
        <f t="shared" ca="1" si="3"/>
        <v>0</v>
      </c>
      <c r="G30" s="107">
        <f t="shared" ca="1" si="4"/>
        <v>0</v>
      </c>
      <c r="H30" s="84">
        <f t="shared" ca="1" si="5"/>
        <v>0</v>
      </c>
      <c r="I30" s="84">
        <f t="shared" ca="1" si="6"/>
        <v>0</v>
      </c>
      <c r="J30" s="84">
        <f t="shared" ca="1" si="7"/>
        <v>0</v>
      </c>
      <c r="K30" s="92" t="str">
        <f ca="1">IFERROR(IF(AND('CALLER Portal'!$Y$1 = "False", OverallTable[[#This Row],[Active]] = FALSE), "",OverallTable[[#This Row],[Total Gifts]]/OverallTable[[#This Row],[Contacts]]),"")</f>
        <v/>
      </c>
      <c r="L30" s="92" t="str">
        <f ca="1">IF(AND('CALLER Portal'!$Y$1 = "False", OverallTable[[#This Row],[Active]] = FALSE), "", IF(C30 = 0,"",IFERROR((E30+F30)/D30,0)))</f>
        <v/>
      </c>
      <c r="M30" s="92" t="str">
        <f ca="1">IF(AND('CALLER Portal'!$Y$1 = "False", OverallTable[[#This Row],[Active]] = FALSE), "",IF(C30 = 0,"",IFERROR(F30/D30,0)))</f>
        <v/>
      </c>
      <c r="N30" s="85" t="str">
        <f ca="1">IF(AND('CALLER Portal'!$Y$1 = "False", OverallTable[[#This Row],[Active]] = FALSE), "", IFERROR((H30+I30)/C30,""))</f>
        <v/>
      </c>
      <c r="O30" s="170" t="str">
        <f ca="1">IF(AND('CALLER Portal'!$Y$1 = "False", OverallTable[[#This Row],[Active]] = FALSE),"",IF(C30 = 0,"",IFERROR((E30+F30)/C30,0)))</f>
        <v/>
      </c>
      <c r="P30" s="170" t="str">
        <f ca="1">IF(AND('CALLER Portal'!$Y$1 = "False", OverallTable[[#This Row],[Active]] = FALSE), "", IF(C30 = 0,"",IFERROR((F30)/C30,0)))</f>
        <v/>
      </c>
      <c r="Q30" s="86" t="str">
        <f t="shared" ca="1" si="8"/>
        <v/>
      </c>
      <c r="R30" s="86" t="str">
        <f ca="1">IFERROR(_xlfn.PERCENTRANK.INC(OverallTable[F-Score], OverallTable[[#This Row],[F-Score]]),"")</f>
        <v/>
      </c>
      <c r="S30"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30" s="116" t="str">
        <f t="shared" ca="1" si="9"/>
        <v/>
      </c>
      <c r="U30" s="117" t="str">
        <f t="shared" ca="1" si="10"/>
        <v/>
      </c>
      <c r="V30" s="117" t="str">
        <f t="shared" ca="1" si="11"/>
        <v/>
      </c>
      <c r="W30" s="117" t="str">
        <f t="shared" ca="1" si="12"/>
        <v/>
      </c>
      <c r="X30" s="117" t="str">
        <f t="shared" ca="1" si="13"/>
        <v/>
      </c>
      <c r="Y30" s="117" t="str">
        <f t="shared" ca="1" si="14"/>
        <v/>
      </c>
      <c r="Z30" s="141" t="str">
        <f>IFERROR(IF('CALLER Portal'!$Y$1 = "TRUE", OverallTable[[#This Row],[Name]],IF(AND('CALLER Portal'!$Y$1 = "FALSE", OverallTable[[#This Row],[Active]] = TRUE),OverallTable[[#This Row],[Name]],"(Blank)")),"")</f>
        <v xml:space="preserve">Breanna Hooper </v>
      </c>
      <c r="AB30" s="73" t="s">
        <v>412</v>
      </c>
    </row>
    <row r="31" spans="1:30" x14ac:dyDescent="0.25">
      <c r="A31" s="158" t="s">
        <v>412</v>
      </c>
      <c r="B31" s="134" t="b">
        <v>1</v>
      </c>
      <c r="C31" s="239">
        <f t="shared" ca="1" si="0"/>
        <v>14.792999999999999</v>
      </c>
      <c r="D31" s="239">
        <f t="shared" ca="1" si="1"/>
        <v>21</v>
      </c>
      <c r="E31" s="239">
        <f t="shared" ca="1" si="2"/>
        <v>17</v>
      </c>
      <c r="F31" s="239">
        <f t="shared" ca="1" si="3"/>
        <v>1</v>
      </c>
      <c r="G31" s="240">
        <f t="shared" ca="1" si="4"/>
        <v>87</v>
      </c>
      <c r="H31" s="241">
        <f t="shared" ca="1" si="5"/>
        <v>566</v>
      </c>
      <c r="I31" s="241">
        <f t="shared" ca="1" si="6"/>
        <v>120</v>
      </c>
      <c r="J31" s="241">
        <f t="shared" ca="1" si="7"/>
        <v>836</v>
      </c>
      <c r="K31" s="242">
        <f ca="1">IFERROR(IF(AND('CALLER Portal'!$Y$1 = "False", OverallTable[[#This Row],[Active]] = FALSE), "",OverallTable[[#This Row],[Total Gifts]]/OverallTable[[#This Row],[Contacts]]),"")</f>
        <v>0.2413793103448276</v>
      </c>
      <c r="L31" s="242">
        <f ca="1">IF(AND('CALLER Portal'!$Y$1 = "False", OverallTable[[#This Row],[Active]] = FALSE), "", IF(C31 = 0,"",IFERROR((E31+F31)/D31,0)))</f>
        <v>0.8571428571428571</v>
      </c>
      <c r="M31" s="242">
        <f ca="1">IF(AND('CALLER Portal'!$Y$1 = "False", OverallTable[[#This Row],[Active]] = FALSE), "",IF(C31 = 0,"",IFERROR(F31/D31,0)))</f>
        <v>4.7619047619047616E-2</v>
      </c>
      <c r="N31" s="243">
        <f ca="1">IF(AND('CALLER Portal'!$Y$1 = "False", OverallTable[[#This Row],[Active]] = FALSE), "", IFERROR((H31+I31)/C31,""))</f>
        <v>46.3732846616643</v>
      </c>
      <c r="O31" s="244">
        <f ca="1">IF(AND('CALLER Portal'!$Y$1 = "False", OverallTable[[#This Row],[Active]] = FALSE),"",IF(C31 = 0,"",IFERROR((E31+F31)/C31,0)))</f>
        <v>1.2167917258162646</v>
      </c>
      <c r="P31" s="244">
        <f ca="1">IF(AND('CALLER Portal'!$Y$1 = "False", OverallTable[[#This Row],[Active]] = FALSE), "", IF(C31 = 0,"",IFERROR((F31)/C31,0)))</f>
        <v>6.7599540323125804E-2</v>
      </c>
      <c r="Q31" s="245">
        <f t="shared" ca="1" si="8"/>
        <v>5.8811600081119453</v>
      </c>
      <c r="R31" s="245">
        <f ca="1">IFERROR(_xlfn.PERCENTRANK.INC(OverallTable[F-Score], OverallTable[[#This Row],[F-Score]]),"")</f>
        <v>0.57899999999999996</v>
      </c>
      <c r="S31" s="245">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0.55830000000000002</v>
      </c>
      <c r="T31" s="159">
        <f t="shared" ca="1" si="9"/>
        <v>0.35499999999999998</v>
      </c>
      <c r="U31" s="141">
        <f t="shared" ca="1" si="10"/>
        <v>0.92200000000000004</v>
      </c>
      <c r="V31" s="141">
        <f t="shared" ca="1" si="11"/>
        <v>0.36599999999999999</v>
      </c>
      <c r="W31" s="141">
        <f t="shared" ca="1" si="12"/>
        <v>0.36599999999999999</v>
      </c>
      <c r="X31" s="141">
        <f t="shared" ca="1" si="13"/>
        <v>0.77700000000000002</v>
      </c>
      <c r="Y31" s="141">
        <f t="shared" ca="1" si="14"/>
        <v>0.377</v>
      </c>
      <c r="Z31" s="141" t="str">
        <f>IFERROR(IF('CALLER Portal'!$Y$1 = "TRUE", OverallTable[[#This Row],[Name]],IF(AND('CALLER Portal'!$Y$1 = "FALSE", OverallTable[[#This Row],[Active]] = TRUE),OverallTable[[#This Row],[Name]],"(Blank)")),"")</f>
        <v xml:space="preserve">Brie Poulsen </v>
      </c>
      <c r="AB31" s="73" t="s">
        <v>410</v>
      </c>
    </row>
    <row r="32" spans="1:30" x14ac:dyDescent="0.25">
      <c r="A32" s="82" t="s">
        <v>410</v>
      </c>
      <c r="B32" s="134" t="b">
        <v>1</v>
      </c>
      <c r="C32" s="91">
        <f t="shared" ca="1" si="0"/>
        <v>0</v>
      </c>
      <c r="D32" s="91">
        <f t="shared" ca="1" si="1"/>
        <v>0</v>
      </c>
      <c r="E32" s="91">
        <f t="shared" ca="1" si="2"/>
        <v>0</v>
      </c>
      <c r="F32" s="91">
        <f t="shared" ca="1" si="3"/>
        <v>0</v>
      </c>
      <c r="G32" s="107">
        <f t="shared" ca="1" si="4"/>
        <v>0</v>
      </c>
      <c r="H32" s="84">
        <f t="shared" ca="1" si="5"/>
        <v>0</v>
      </c>
      <c r="I32" s="84">
        <f t="shared" ca="1" si="6"/>
        <v>0</v>
      </c>
      <c r="J32" s="84">
        <f t="shared" ca="1" si="7"/>
        <v>0</v>
      </c>
      <c r="K32" s="92" t="str">
        <f ca="1">IFERROR(IF(AND('CALLER Portal'!$Y$1 = "False", OverallTable[[#This Row],[Active]] = FALSE), "",OverallTable[[#This Row],[Total Gifts]]/OverallTable[[#This Row],[Contacts]]),"")</f>
        <v/>
      </c>
      <c r="L32" s="92" t="str">
        <f ca="1">IF(AND('CALLER Portal'!$Y$1 = "False", OverallTable[[#This Row],[Active]] = FALSE), "", IF(C32 = 0,"",IFERROR((E32+F32)/D32,0)))</f>
        <v/>
      </c>
      <c r="M32" s="92" t="str">
        <f ca="1">IF(AND('CALLER Portal'!$Y$1 = "False", OverallTable[[#This Row],[Active]] = FALSE), "",IF(C32 = 0,"",IFERROR(F32/D32,0)))</f>
        <v/>
      </c>
      <c r="N32" s="85" t="str">
        <f ca="1">IF(AND('CALLER Portal'!$Y$1 = "False", OverallTable[[#This Row],[Active]] = FALSE), "", IFERROR((H32+I32)/C32,""))</f>
        <v/>
      </c>
      <c r="O32" s="173" t="str">
        <f ca="1">IF(AND('CALLER Portal'!$Y$1 = "False", OverallTable[[#This Row],[Active]] = FALSE),"",IF(C32 = 0,"",IFERROR((E32+F32)/C32,0)))</f>
        <v/>
      </c>
      <c r="P32" s="173" t="str">
        <f ca="1">IF(AND('CALLER Portal'!$Y$1 = "False", OverallTable[[#This Row],[Active]] = FALSE), "", IF(C32 = 0,"",IFERROR((F32)/C32,0)))</f>
        <v/>
      </c>
      <c r="Q32" s="86" t="str">
        <f t="shared" ca="1" si="8"/>
        <v/>
      </c>
      <c r="R32" s="86" t="str">
        <f ca="1">IFERROR(_xlfn.PERCENTRANK.INC(OverallTable[F-Score], OverallTable[[#This Row],[F-Score]]),"")</f>
        <v/>
      </c>
      <c r="S32"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32" s="116" t="str">
        <f t="shared" ca="1" si="9"/>
        <v/>
      </c>
      <c r="U32" s="117" t="str">
        <f t="shared" ca="1" si="10"/>
        <v/>
      </c>
      <c r="V32" s="117" t="str">
        <f t="shared" ca="1" si="11"/>
        <v/>
      </c>
      <c r="W32" s="117" t="str">
        <f t="shared" ca="1" si="12"/>
        <v/>
      </c>
      <c r="X32" s="117" t="str">
        <f t="shared" ca="1" si="13"/>
        <v/>
      </c>
      <c r="Y32" s="117" t="str">
        <f t="shared" ca="1" si="14"/>
        <v/>
      </c>
      <c r="Z32" s="141" t="str">
        <f>IFERROR(IF('CALLER Portal'!$Y$1 = "TRUE", OverallTable[[#This Row],[Name]],IF(AND('CALLER Portal'!$Y$1 = "FALSE", OverallTable[[#This Row],[Active]] = TRUE),OverallTable[[#This Row],[Name]],"(Blank)")),"")</f>
        <v xml:space="preserve">Bryn Jacobson </v>
      </c>
      <c r="AB32" s="73" t="s">
        <v>329</v>
      </c>
    </row>
    <row r="33" spans="1:28" x14ac:dyDescent="0.25">
      <c r="A33" s="158" t="s">
        <v>329</v>
      </c>
      <c r="B33" s="134" t="b">
        <v>1</v>
      </c>
      <c r="C33" s="239">
        <f t="shared" ca="1" si="0"/>
        <v>48.321999999999996</v>
      </c>
      <c r="D33" s="239">
        <f t="shared" ca="1" si="1"/>
        <v>114</v>
      </c>
      <c r="E33" s="239">
        <f t="shared" ca="1" si="2"/>
        <v>49</v>
      </c>
      <c r="F33" s="239">
        <f t="shared" ca="1" si="3"/>
        <v>14</v>
      </c>
      <c r="G33" s="240">
        <f t="shared" ca="1" si="4"/>
        <v>376</v>
      </c>
      <c r="H33" s="241">
        <f t="shared" ca="1" si="5"/>
        <v>2875</v>
      </c>
      <c r="I33" s="241">
        <f t="shared" ca="1" si="6"/>
        <v>1356</v>
      </c>
      <c r="J33" s="241">
        <f t="shared" ca="1" si="7"/>
        <v>7301</v>
      </c>
      <c r="K33" s="242">
        <f ca="1">IFERROR(IF(AND('CALLER Portal'!$Y$1 = "False", OverallTable[[#This Row],[Active]] = FALSE), "",OverallTable[[#This Row],[Total Gifts]]/OverallTable[[#This Row],[Contacts]]),"")</f>
        <v>0.30319148936170215</v>
      </c>
      <c r="L33" s="242">
        <f ca="1">IF(AND('CALLER Portal'!$Y$1 = "False", OverallTable[[#This Row],[Active]] = FALSE), "", IF(C33 = 0,"",IFERROR((E33+F33)/D33,0)))</f>
        <v>0.55263157894736847</v>
      </c>
      <c r="M33" s="242">
        <f ca="1">IF(AND('CALLER Portal'!$Y$1 = "False", OverallTable[[#This Row],[Active]] = FALSE), "",IF(C33 = 0,"",IFERROR(F33/D33,0)))</f>
        <v>0.12280701754385964</v>
      </c>
      <c r="N33" s="243">
        <f ca="1">IF(AND('CALLER Portal'!$Y$1 = "False", OverallTable[[#This Row],[Active]] = FALSE), "", IFERROR((H33+I33)/C33,""))</f>
        <v>87.558461984189407</v>
      </c>
      <c r="O33" s="244">
        <f ca="1">IF(AND('CALLER Portal'!$Y$1 = "False", OverallTable[[#This Row],[Active]] = FALSE),"",IF(C33 = 0,"",IFERROR((E33+F33)/C33,0)))</f>
        <v>1.3037539836927281</v>
      </c>
      <c r="P33" s="244">
        <f ca="1">IF(AND('CALLER Portal'!$Y$1 = "False", OverallTable[[#This Row],[Active]] = FALSE), "", IF(C33 = 0,"",IFERROR((F33)/C33,0)))</f>
        <v>0.28972310748727292</v>
      </c>
      <c r="Q33" s="245">
        <f t="shared" ca="1" si="8"/>
        <v>7.7811348868010439</v>
      </c>
      <c r="R33" s="245">
        <f ca="1">IFERROR(_xlfn.PERCENTRANK.INC(OverallTable[F-Score], OverallTable[[#This Row],[F-Score]]),"")</f>
        <v>0.81799999999999995</v>
      </c>
      <c r="S33" s="245">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0.70530000000000004</v>
      </c>
      <c r="T33" s="159">
        <f t="shared" ca="1" si="9"/>
        <v>0.63300000000000001</v>
      </c>
      <c r="U33" s="141">
        <f t="shared" ca="1" si="10"/>
        <v>0.3</v>
      </c>
      <c r="V33" s="141">
        <f t="shared" ca="1" si="11"/>
        <v>0.755</v>
      </c>
      <c r="W33" s="141">
        <f t="shared" ca="1" si="12"/>
        <v>0.92200000000000004</v>
      </c>
      <c r="X33" s="141">
        <f t="shared" ca="1" si="13"/>
        <v>0.82199999999999995</v>
      </c>
      <c r="Y33" s="141">
        <f t="shared" ca="1" si="14"/>
        <v>0.94399999999999995</v>
      </c>
      <c r="Z33" s="141" t="str">
        <f>IFERROR(IF('CALLER Portal'!$Y$1 = "TRUE", OverallTable[[#This Row],[Name]],IF(AND('CALLER Portal'!$Y$1 = "FALSE", OverallTable[[#This Row],[Active]] = TRUE),OverallTable[[#This Row],[Name]],"(Blank)")),"")</f>
        <v xml:space="preserve">Cali Beck </v>
      </c>
      <c r="AB33" s="73" t="s">
        <v>319</v>
      </c>
    </row>
    <row r="34" spans="1:28" x14ac:dyDescent="0.25">
      <c r="A34" s="82" t="s">
        <v>319</v>
      </c>
      <c r="B34" s="134" t="b">
        <v>1</v>
      </c>
      <c r="C34" s="83">
        <f t="shared" ref="C34:C65" ca="1" si="15">SUMPRODUCT(SUMIF(INDIRECT("'"&amp;SheetList&amp;"'!B4:B150"),$A34,INDIRECT("'"&amp;SheetList&amp;"'!C4:C150")))</f>
        <v>0</v>
      </c>
      <c r="D34" s="83">
        <f t="shared" ref="D34:D65" ca="1" si="16">SUMPRODUCT(SUMIF(INDIRECT("'"&amp;SheetList&amp;"'!B4:B150"),$A34,INDIRECT("'"&amp;SheetList&amp;"'!D4:D150")))</f>
        <v>0</v>
      </c>
      <c r="E34" s="83">
        <f t="shared" ref="E34:E65" ca="1" si="17">SUMPRODUCT(SUMIF(INDIRECT("'"&amp;SheetList&amp;"'!B4:B150"),$A34,INDIRECT("'"&amp;SheetList&amp;"'!E4:E150")))</f>
        <v>0</v>
      </c>
      <c r="F34" s="83">
        <f t="shared" ref="F34:F65" ca="1" si="18">SUMPRODUCT(SUMIF(INDIRECT("'"&amp;SheetList&amp;"'!B4:B150"),$A34,INDIRECT("'"&amp;SheetList&amp;"'!F4:F150")))</f>
        <v>0</v>
      </c>
      <c r="G34" s="107">
        <f t="shared" ref="G34:G65" ca="1" si="19">SUMPRODUCT(SUMIF(INDIRECT("'"&amp;SheetList&amp;"'!B4:B150"),$A34,INDIRECT("'"&amp;SheetList&amp;"'!G4:G150")))</f>
        <v>0</v>
      </c>
      <c r="H34" s="84">
        <f t="shared" ref="H34:H65" ca="1" si="20">SUMPRODUCT(SUMIF(INDIRECT("'"&amp;SheetList&amp;"'!B4:B150"),$A34,INDIRECT("'"&amp;SheetList&amp;"'!h4:h150")))</f>
        <v>0</v>
      </c>
      <c r="I34" s="84">
        <f t="shared" ref="I34:I65" ca="1" si="21">SUMPRODUCT(SUMIF(INDIRECT("'"&amp;SheetList&amp;"'!B4:B150"),$A34,INDIRECT("'"&amp;SheetList&amp;"'!i4:i150")))</f>
        <v>0</v>
      </c>
      <c r="J34" s="84">
        <f t="shared" ref="J34:J65" ca="1" si="22">SUMPRODUCT(SUMIF(INDIRECT("'"&amp;SheetList&amp;"'!B4:B150"),$A34,INDIRECT("'"&amp;SheetList&amp;"'!j4:j150")))</f>
        <v>0</v>
      </c>
      <c r="K34" s="92" t="str">
        <f ca="1">IFERROR(IF(AND('CALLER Portal'!$Y$1 = "False", OverallTable[[#This Row],[Active]] = FALSE), "",OverallTable[[#This Row],[Total Gifts]]/OverallTable[[#This Row],[Contacts]]),"")</f>
        <v/>
      </c>
      <c r="L34" s="92" t="str">
        <f ca="1">IF(AND('CALLER Portal'!$Y$1 = "False", OverallTable[[#This Row],[Active]] = FALSE), "", IF(C34 = 0,"",IFERROR((E34+F34)/D34,0)))</f>
        <v/>
      </c>
      <c r="M34" s="92" t="str">
        <f ca="1">IF(AND('CALLER Portal'!$Y$1 = "False", OverallTable[[#This Row],[Active]] = FALSE), "",IF(C34 = 0,"",IFERROR(F34/D34,0)))</f>
        <v/>
      </c>
      <c r="N34" s="85" t="str">
        <f ca="1">IF(AND('CALLER Portal'!$Y$1 = "False", OverallTable[[#This Row],[Active]] = FALSE), "", IFERROR((H34+I34)/C34,""))</f>
        <v/>
      </c>
      <c r="O34" s="170" t="str">
        <f ca="1">IF(AND('CALLER Portal'!$Y$1 = "False", OverallTable[[#This Row],[Active]] = FALSE),"",IF(C34 = 0,"",IFERROR((E34+F34)/C34,0)))</f>
        <v/>
      </c>
      <c r="P34" s="170" t="str">
        <f ca="1">IF(AND('CALLER Portal'!$Y$1 = "False", OverallTable[[#This Row],[Active]] = FALSE), "", IF(C34 = 0,"",IFERROR((F34)/C34,0)))</f>
        <v/>
      </c>
      <c r="Q34" s="86" t="str">
        <f t="shared" ref="Q34:Q65" ca="1" si="23">IFERROR(G34/C34,"")</f>
        <v/>
      </c>
      <c r="R34" s="86" t="str">
        <f ca="1">IFERROR(_xlfn.PERCENTRANK.INC(OverallTable[F-Score], OverallTable[[#This Row],[F-Score]]),"")</f>
        <v/>
      </c>
      <c r="S34"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34" s="116" t="str">
        <f t="shared" ref="T34:T65" ca="1" si="24">IFERROR(_xlfn.PERCENTRANK.EXC(K:K, K34), "")</f>
        <v/>
      </c>
      <c r="U34" s="117" t="str">
        <f t="shared" ref="U34:U65" ca="1" si="25">IFERROR(_xlfn.PERCENTRANK.EXC(L:L, L34), "")</f>
        <v/>
      </c>
      <c r="V34" s="117" t="str">
        <f t="shared" ref="V34:V65" ca="1" si="26">IFERROR(_xlfn.PERCENTRANK.EXC(M:M, M34), "")</f>
        <v/>
      </c>
      <c r="W34" s="117" t="str">
        <f t="shared" ref="W34:W65" ca="1" si="27">IFERROR(_xlfn.PERCENTRANK.EXC(N:N, N34), "")</f>
        <v/>
      </c>
      <c r="X34" s="117" t="str">
        <f t="shared" ref="X34:X65" ca="1" si="28">IFERROR(_xlfn.PERCENTRANK.EXC(O:O, O34), "")</f>
        <v/>
      </c>
      <c r="Y34" s="117" t="str">
        <f t="shared" ref="Y34:Y65" ca="1" si="29">IFERROR(_xlfn.PERCENTRANK.EXC(P:P, P34), "")</f>
        <v/>
      </c>
      <c r="Z34" s="141" t="str">
        <f>IFERROR(IF('CALLER Portal'!$Y$1 = "TRUE", OverallTable[[#This Row],[Name]],IF(AND('CALLER Portal'!$Y$1 = "FALSE", OverallTable[[#This Row],[Active]] = TRUE),OverallTable[[#This Row],[Name]],"(Blank)")),"")</f>
        <v xml:space="preserve">Caol Xi </v>
      </c>
      <c r="AB34" s="73" t="s">
        <v>374</v>
      </c>
    </row>
    <row r="35" spans="1:28" x14ac:dyDescent="0.25">
      <c r="A35" s="82" t="s">
        <v>374</v>
      </c>
      <c r="B35" s="134" t="b">
        <v>1</v>
      </c>
      <c r="C35" s="83">
        <f t="shared" ca="1" si="15"/>
        <v>91.814999999999998</v>
      </c>
      <c r="D35" s="83">
        <f t="shared" ca="1" si="16"/>
        <v>128</v>
      </c>
      <c r="E35" s="83">
        <f t="shared" ca="1" si="17"/>
        <v>59</v>
      </c>
      <c r="F35" s="83">
        <f t="shared" ca="1" si="18"/>
        <v>8</v>
      </c>
      <c r="G35" s="107">
        <f t="shared" ca="1" si="19"/>
        <v>514</v>
      </c>
      <c r="H35" s="84">
        <f t="shared" ca="1" si="20"/>
        <v>2910</v>
      </c>
      <c r="I35" s="84">
        <f t="shared" ca="1" si="21"/>
        <v>900</v>
      </c>
      <c r="J35" s="84">
        <f t="shared" ca="1" si="22"/>
        <v>6295</v>
      </c>
      <c r="K35" s="92">
        <f ca="1">IFERROR(IF(AND('CALLER Portal'!$Y$1 = "False", OverallTable[[#This Row],[Active]] = FALSE), "",OverallTable[[#This Row],[Total Gifts]]/OverallTable[[#This Row],[Contacts]]),"")</f>
        <v>0.24902723735408561</v>
      </c>
      <c r="L35" s="92">
        <f ca="1">IF(AND('CALLER Portal'!$Y$1 = "False", OverallTable[[#This Row],[Active]] = FALSE), "", IF(C35 = 0,"",IFERROR((E35+F35)/D35,0)))</f>
        <v>0.5234375</v>
      </c>
      <c r="M35" s="92">
        <f ca="1">IF(AND('CALLER Portal'!$Y$1 = "False", OverallTable[[#This Row],[Active]] = FALSE), "",IF(C35 = 0,"",IFERROR(F35/D35,0)))</f>
        <v>6.25E-2</v>
      </c>
      <c r="N35" s="85">
        <f ca="1">IF(AND('CALLER Portal'!$Y$1 = "False", OverallTable[[#This Row],[Active]] = FALSE), "", IFERROR((H35+I35)/C35,""))</f>
        <v>41.49648750204215</v>
      </c>
      <c r="O35" s="170">
        <f ca="1">IF(AND('CALLER Portal'!$Y$1 = "False", OverallTable[[#This Row],[Active]] = FALSE),"",IF(C35 = 0,"",IFERROR((E35+F35)/C35,0)))</f>
        <v>0.72972825790992757</v>
      </c>
      <c r="P35" s="170">
        <f ca="1">IF(AND('CALLER Portal'!$Y$1 = "False", OverallTable[[#This Row],[Active]] = FALSE), "", IF(C35 = 0,"",IFERROR((F35)/C35,0)))</f>
        <v>8.7131732287752547E-2</v>
      </c>
      <c r="Q35" s="86">
        <f t="shared" ca="1" si="23"/>
        <v>5.5982137994881009</v>
      </c>
      <c r="R35" s="86">
        <f ca="1">IFERROR(_xlfn.PERCENTRANK.INC(OverallTable[F-Score], OverallTable[[#This Row],[F-Score]]),"")</f>
        <v>0.23799999999999999</v>
      </c>
      <c r="S35" s="86">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0.35060000000000002</v>
      </c>
      <c r="T35" s="116">
        <f t="shared" ca="1" si="24"/>
        <v>0.44400000000000001</v>
      </c>
      <c r="U35" s="117">
        <f t="shared" ca="1" si="25"/>
        <v>0.188</v>
      </c>
      <c r="V35" s="117">
        <f t="shared" ca="1" si="26"/>
        <v>0.45500000000000002</v>
      </c>
      <c r="W35" s="117">
        <f t="shared" ca="1" si="27"/>
        <v>0.32200000000000001</v>
      </c>
      <c r="X35" s="117">
        <f t="shared" ca="1" si="28"/>
        <v>0.34399999999999997</v>
      </c>
      <c r="Y35" s="117">
        <f t="shared" ca="1" si="29"/>
        <v>0.45500000000000002</v>
      </c>
      <c r="Z35" s="141" t="str">
        <f>IFERROR(IF('CALLER Portal'!$Y$1 = "TRUE", OverallTable[[#This Row],[Name]],IF(AND('CALLER Portal'!$Y$1 = "FALSE", OverallTable[[#This Row],[Active]] = TRUE),OverallTable[[#This Row],[Name]],"(Blank)")),"")</f>
        <v xml:space="preserve">Cecily Whitting </v>
      </c>
      <c r="AB35" s="73" t="s">
        <v>366</v>
      </c>
    </row>
    <row r="36" spans="1:28" x14ac:dyDescent="0.25">
      <c r="A36" s="82" t="s">
        <v>366</v>
      </c>
      <c r="B36" s="134" t="b">
        <v>1</v>
      </c>
      <c r="C36" s="83">
        <f t="shared" ca="1" si="15"/>
        <v>64.344999999999999</v>
      </c>
      <c r="D36" s="83">
        <f t="shared" ca="1" si="16"/>
        <v>82</v>
      </c>
      <c r="E36" s="83">
        <f t="shared" ca="1" si="17"/>
        <v>43</v>
      </c>
      <c r="F36" s="83">
        <f t="shared" ca="1" si="18"/>
        <v>1</v>
      </c>
      <c r="G36" s="107">
        <f t="shared" ca="1" si="19"/>
        <v>368</v>
      </c>
      <c r="H36" s="84">
        <f t="shared" ca="1" si="20"/>
        <v>2320</v>
      </c>
      <c r="I36" s="84">
        <f t="shared" ca="1" si="21"/>
        <v>120</v>
      </c>
      <c r="J36" s="84">
        <f t="shared" ca="1" si="22"/>
        <v>4335</v>
      </c>
      <c r="K36" s="92">
        <f ca="1">IFERROR(IF(AND('CALLER Portal'!$Y$1 = "False", OverallTable[[#This Row],[Active]] = FALSE), "",OverallTable[[#This Row],[Total Gifts]]/OverallTable[[#This Row],[Contacts]]),"")</f>
        <v>0.22282608695652173</v>
      </c>
      <c r="L36" s="92">
        <f ca="1">IF(AND('CALLER Portal'!$Y$1 = "False", OverallTable[[#This Row],[Active]] = FALSE), "", IF(C36 = 0,"",IFERROR((E36+F36)/D36,0)))</f>
        <v>0.53658536585365857</v>
      </c>
      <c r="M36" s="92">
        <f ca="1">IF(AND('CALLER Portal'!$Y$1 = "False", OverallTable[[#This Row],[Active]] = FALSE), "",IF(C36 = 0,"",IFERROR(F36/D36,0)))</f>
        <v>1.2195121951219513E-2</v>
      </c>
      <c r="N36" s="85">
        <f ca="1">IF(AND('CALLER Portal'!$Y$1 = "False", OverallTable[[#This Row],[Active]] = FALSE), "", IFERROR((H36+I36)/C36,""))</f>
        <v>37.920584349988346</v>
      </c>
      <c r="O36" s="170">
        <f ca="1">IF(AND('CALLER Portal'!$Y$1 = "False", OverallTable[[#This Row],[Active]] = FALSE),"",IF(C36 = 0,"",IFERROR((E36+F36)/C36,0)))</f>
        <v>0.68381381614733083</v>
      </c>
      <c r="P36" s="170">
        <f ca="1">IF(AND('CALLER Portal'!$Y$1 = "False", OverallTable[[#This Row],[Active]] = FALSE), "", IF(C36 = 0,"",IFERROR((F36)/C36,0)))</f>
        <v>1.5541223094257518E-2</v>
      </c>
      <c r="Q36" s="86">
        <f t="shared" ca="1" si="23"/>
        <v>5.7191700986867664</v>
      </c>
      <c r="R36" s="86">
        <f ca="1">IFERROR(_xlfn.PERCENTRANK.INC(OverallTable[F-Score], OverallTable[[#This Row],[F-Score]]),"")</f>
        <v>0.159</v>
      </c>
      <c r="S36" s="86">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0.24160000000000004</v>
      </c>
      <c r="T36" s="116">
        <f t="shared" ca="1" si="24"/>
        <v>0.255</v>
      </c>
      <c r="U36" s="117">
        <f t="shared" ca="1" si="25"/>
        <v>0.255</v>
      </c>
      <c r="V36" s="117">
        <f t="shared" ca="1" si="26"/>
        <v>0.17699999999999999</v>
      </c>
      <c r="W36" s="117">
        <f t="shared" ca="1" si="27"/>
        <v>0.255</v>
      </c>
      <c r="X36" s="117">
        <f t="shared" ca="1" si="28"/>
        <v>0.27700000000000002</v>
      </c>
      <c r="Y36" s="117">
        <f t="shared" ca="1" si="29"/>
        <v>0.155</v>
      </c>
      <c r="Z36" s="141" t="str">
        <f>IFERROR(IF('CALLER Portal'!$Y$1 = "TRUE", OverallTable[[#This Row],[Name]],IF(AND('CALLER Portal'!$Y$1 = "FALSE", OverallTable[[#This Row],[Active]] = TRUE),OverallTable[[#This Row],[Name]],"(Blank)")),"")</f>
        <v xml:space="preserve">Cerys Rosemary </v>
      </c>
      <c r="AB36" s="73" t="s">
        <v>423</v>
      </c>
    </row>
    <row r="37" spans="1:28" x14ac:dyDescent="0.25">
      <c r="A37" s="158" t="s">
        <v>423</v>
      </c>
      <c r="B37" s="134" t="b">
        <v>1</v>
      </c>
      <c r="C37" s="239">
        <f t="shared" ca="1" si="15"/>
        <v>26.437000000000001</v>
      </c>
      <c r="D37" s="239">
        <f t="shared" ca="1" si="16"/>
        <v>31</v>
      </c>
      <c r="E37" s="239">
        <f t="shared" ca="1" si="17"/>
        <v>13</v>
      </c>
      <c r="F37" s="239">
        <f t="shared" ca="1" si="18"/>
        <v>0</v>
      </c>
      <c r="G37" s="240">
        <f t="shared" ca="1" si="19"/>
        <v>137</v>
      </c>
      <c r="H37" s="241">
        <f t="shared" ca="1" si="20"/>
        <v>710</v>
      </c>
      <c r="I37" s="241">
        <f t="shared" ca="1" si="21"/>
        <v>0</v>
      </c>
      <c r="J37" s="241">
        <f t="shared" ca="1" si="22"/>
        <v>1445</v>
      </c>
      <c r="K37" s="242">
        <f ca="1">IFERROR(IF(AND('CALLER Portal'!$Y$1 = "False", OverallTable[[#This Row],[Active]] = FALSE), "",OverallTable[[#This Row],[Total Gifts]]/OverallTable[[#This Row],[Contacts]]),"")</f>
        <v>0.22627737226277372</v>
      </c>
      <c r="L37" s="242">
        <f ca="1">IF(AND('CALLER Portal'!$Y$1 = "False", OverallTable[[#This Row],[Active]] = FALSE), "", IF(C37 = 0,"",IFERROR((E37+F37)/D37,0)))</f>
        <v>0.41935483870967744</v>
      </c>
      <c r="M37" s="242">
        <f ca="1">IF(AND('CALLER Portal'!$Y$1 = "False", OverallTable[[#This Row],[Active]] = FALSE), "",IF(C37 = 0,"",IFERROR(F37/D37,0)))</f>
        <v>0</v>
      </c>
      <c r="N37" s="243">
        <f ca="1">IF(AND('CALLER Portal'!$Y$1 = "False", OverallTable[[#This Row],[Active]] = FALSE), "", IFERROR((H37+I37)/C37,""))</f>
        <v>26.8562998827401</v>
      </c>
      <c r="O37" s="244">
        <f ca="1">IF(AND('CALLER Portal'!$Y$1 = "False", OverallTable[[#This Row],[Active]] = FALSE),"",IF(C37 = 0,"",IFERROR((E37+F37)/C37,0)))</f>
        <v>0.49173506827552294</v>
      </c>
      <c r="P37" s="244">
        <f ca="1">IF(AND('CALLER Portal'!$Y$1 = "False", OverallTable[[#This Row],[Active]] = FALSE), "", IF(C37 = 0,"",IFERROR((F37)/C37,0)))</f>
        <v>0</v>
      </c>
      <c r="Q37" s="245">
        <f t="shared" ca="1" si="23"/>
        <v>5.1821311041343572</v>
      </c>
      <c r="R37" s="245">
        <f ca="1">IFERROR(_xlfn.PERCENTRANK.INC(OverallTable[F-Score], OverallTable[[#This Row],[F-Score]]),"")</f>
        <v>5.6000000000000001E-2</v>
      </c>
      <c r="S37" s="245">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0.1086</v>
      </c>
      <c r="T37" s="159">
        <f t="shared" ca="1" si="24"/>
        <v>0.28799999999999998</v>
      </c>
      <c r="U37" s="141">
        <f t="shared" ca="1" si="25"/>
        <v>3.3000000000000002E-2</v>
      </c>
      <c r="V37" s="141">
        <f t="shared" ca="1" si="26"/>
        <v>1.0999999999999999E-2</v>
      </c>
      <c r="W37" s="141">
        <f t="shared" ca="1" si="27"/>
        <v>0.1</v>
      </c>
      <c r="X37" s="141">
        <f t="shared" ca="1" si="28"/>
        <v>0.111</v>
      </c>
      <c r="Y37" s="141">
        <f t="shared" ca="1" si="29"/>
        <v>1.0999999999999999E-2</v>
      </c>
      <c r="Z37" s="141" t="str">
        <f>IFERROR(IF('CALLER Portal'!$Y$1 = "TRUE", OverallTable[[#This Row],[Name]],IF(AND('CALLER Portal'!$Y$1 = "FALSE", OverallTable[[#This Row],[Active]] = TRUE),OverallTable[[#This Row],[Name]],"(Blank)")),"")</f>
        <v xml:space="preserve">Chad Bonsley </v>
      </c>
      <c r="AB37" s="73" t="s">
        <v>394</v>
      </c>
    </row>
    <row r="38" spans="1:28" x14ac:dyDescent="0.25">
      <c r="A38" s="82" t="s">
        <v>394</v>
      </c>
      <c r="B38" s="134" t="b">
        <v>1</v>
      </c>
      <c r="C38" s="83">
        <f t="shared" ca="1" si="15"/>
        <v>0</v>
      </c>
      <c r="D38" s="83">
        <f t="shared" ca="1" si="16"/>
        <v>0</v>
      </c>
      <c r="E38" s="83">
        <f t="shared" ca="1" si="17"/>
        <v>0</v>
      </c>
      <c r="F38" s="83">
        <f t="shared" ca="1" si="18"/>
        <v>0</v>
      </c>
      <c r="G38" s="107">
        <f t="shared" ca="1" si="19"/>
        <v>0</v>
      </c>
      <c r="H38" s="84">
        <f t="shared" ca="1" si="20"/>
        <v>0</v>
      </c>
      <c r="I38" s="84">
        <f t="shared" ca="1" si="21"/>
        <v>0</v>
      </c>
      <c r="J38" s="84">
        <f t="shared" ca="1" si="22"/>
        <v>0</v>
      </c>
      <c r="K38" s="92" t="str">
        <f ca="1">IFERROR(IF(AND('CALLER Portal'!$Y$1 = "False", OverallTable[[#This Row],[Active]] = FALSE), "",OverallTable[[#This Row],[Total Gifts]]/OverallTable[[#This Row],[Contacts]]),"")</f>
        <v/>
      </c>
      <c r="L38" s="92" t="str">
        <f ca="1">IF(AND('CALLER Portal'!$Y$1 = "False", OverallTable[[#This Row],[Active]] = FALSE), "", IF(C38 = 0,"",IFERROR((E38+F38)/D38,0)))</f>
        <v/>
      </c>
      <c r="M38" s="92" t="str">
        <f ca="1">IF(AND('CALLER Portal'!$Y$1 = "False", OverallTable[[#This Row],[Active]] = FALSE), "",IF(C38 = 0,"",IFERROR(F38/D38,0)))</f>
        <v/>
      </c>
      <c r="N38" s="85" t="str">
        <f ca="1">IF(AND('CALLER Portal'!$Y$1 = "False", OverallTable[[#This Row],[Active]] = FALSE), "", IFERROR((H38+I38)/C38,""))</f>
        <v/>
      </c>
      <c r="O38" s="170" t="str">
        <f ca="1">IF(AND('CALLER Portal'!$Y$1 = "False", OverallTable[[#This Row],[Active]] = FALSE),"",IF(C38 = 0,"",IFERROR((E38+F38)/C38,0)))</f>
        <v/>
      </c>
      <c r="P38" s="170" t="str">
        <f ca="1">IF(AND('CALLER Portal'!$Y$1 = "False", OverallTable[[#This Row],[Active]] = FALSE), "", IF(C38 = 0,"",IFERROR((F38)/C38,0)))</f>
        <v/>
      </c>
      <c r="Q38" s="86" t="str">
        <f t="shared" ca="1" si="23"/>
        <v/>
      </c>
      <c r="R38" s="86" t="str">
        <f ca="1">IFERROR(_xlfn.PERCENTRANK.INC(OverallTable[F-Score], OverallTable[[#This Row],[F-Score]]),"")</f>
        <v/>
      </c>
      <c r="S38"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38" s="116" t="str">
        <f t="shared" ca="1" si="24"/>
        <v/>
      </c>
      <c r="U38" s="117" t="str">
        <f t="shared" ca="1" si="25"/>
        <v/>
      </c>
      <c r="V38" s="117" t="str">
        <f t="shared" ca="1" si="26"/>
        <v/>
      </c>
      <c r="W38" s="117" t="str">
        <f t="shared" ca="1" si="27"/>
        <v/>
      </c>
      <c r="X38" s="117" t="str">
        <f t="shared" ca="1" si="28"/>
        <v/>
      </c>
      <c r="Y38" s="117" t="str">
        <f t="shared" ca="1" si="29"/>
        <v/>
      </c>
      <c r="Z38" s="141" t="str">
        <f>IFERROR(IF('CALLER Portal'!$Y$1 = "TRUE", OverallTable[[#This Row],[Name]],IF(AND('CALLER Portal'!$Y$1 = "FALSE", OverallTable[[#This Row],[Active]] = TRUE),OverallTable[[#This Row],[Name]],"(Blank)")),"")</f>
        <v xml:space="preserve">Chay Dickson </v>
      </c>
      <c r="AB38" s="73" t="s">
        <v>304</v>
      </c>
    </row>
    <row r="39" spans="1:28" x14ac:dyDescent="0.25">
      <c r="A39" s="82" t="s">
        <v>304</v>
      </c>
      <c r="B39" s="134" t="b">
        <v>1</v>
      </c>
      <c r="C39" s="83">
        <f t="shared" ca="1" si="15"/>
        <v>0</v>
      </c>
      <c r="D39" s="83">
        <f t="shared" ca="1" si="16"/>
        <v>0</v>
      </c>
      <c r="E39" s="83">
        <f t="shared" ca="1" si="17"/>
        <v>0</v>
      </c>
      <c r="F39" s="83">
        <f t="shared" ca="1" si="18"/>
        <v>0</v>
      </c>
      <c r="G39" s="107">
        <f t="shared" ca="1" si="19"/>
        <v>0</v>
      </c>
      <c r="H39" s="84">
        <f t="shared" ca="1" si="20"/>
        <v>0</v>
      </c>
      <c r="I39" s="84">
        <f t="shared" ca="1" si="21"/>
        <v>0</v>
      </c>
      <c r="J39" s="84">
        <f t="shared" ca="1" si="22"/>
        <v>0</v>
      </c>
      <c r="K39" s="92" t="str">
        <f ca="1">IFERROR(IF(AND('CALLER Portal'!$Y$1 = "False", OverallTable[[#This Row],[Active]] = FALSE), "",OverallTable[[#This Row],[Total Gifts]]/OverallTable[[#This Row],[Contacts]]),"")</f>
        <v/>
      </c>
      <c r="L39" s="92" t="str">
        <f ca="1">IF(AND('CALLER Portal'!$Y$1 = "False", OverallTable[[#This Row],[Active]] = FALSE), "", IF(C39 = 0,"",IFERROR((E39+F39)/D39,0)))</f>
        <v/>
      </c>
      <c r="M39" s="92" t="str">
        <f ca="1">IF(AND('CALLER Portal'!$Y$1 = "False", OverallTable[[#This Row],[Active]] = FALSE), "",IF(C39 = 0,"",IFERROR(F39/D39,0)))</f>
        <v/>
      </c>
      <c r="N39" s="85" t="str">
        <f ca="1">IF(AND('CALLER Portal'!$Y$1 = "False", OverallTable[[#This Row],[Active]] = FALSE), "", IFERROR((H39+I39)/C39,""))</f>
        <v/>
      </c>
      <c r="O39" s="170" t="str">
        <f ca="1">IF(AND('CALLER Portal'!$Y$1 = "False", OverallTable[[#This Row],[Active]] = FALSE),"",IF(C39 = 0,"",IFERROR((E39+F39)/C39,0)))</f>
        <v/>
      </c>
      <c r="P39" s="170" t="str">
        <f ca="1">IF(AND('CALLER Portal'!$Y$1 = "False", OverallTable[[#This Row],[Active]] = FALSE), "", IF(C39 = 0,"",IFERROR((F39)/C39,0)))</f>
        <v/>
      </c>
      <c r="Q39" s="86" t="str">
        <f t="shared" ca="1" si="23"/>
        <v/>
      </c>
      <c r="R39" s="86" t="str">
        <f ca="1">IFERROR(_xlfn.PERCENTRANK.INC(OverallTable[F-Score], OverallTable[[#This Row],[F-Score]]),"")</f>
        <v/>
      </c>
      <c r="S39"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39" s="116" t="str">
        <f t="shared" ca="1" si="24"/>
        <v/>
      </c>
      <c r="U39" s="117" t="str">
        <f t="shared" ca="1" si="25"/>
        <v/>
      </c>
      <c r="V39" s="117" t="str">
        <f t="shared" ca="1" si="26"/>
        <v/>
      </c>
      <c r="W39" s="117" t="str">
        <f t="shared" ca="1" si="27"/>
        <v/>
      </c>
      <c r="X39" s="117" t="str">
        <f t="shared" ca="1" si="28"/>
        <v/>
      </c>
      <c r="Y39" s="117" t="str">
        <f t="shared" ca="1" si="29"/>
        <v/>
      </c>
      <c r="Z39" s="141" t="str">
        <f>IFERROR(IF('CALLER Portal'!$Y$1 = "TRUE", OverallTable[[#This Row],[Name]],IF(AND('CALLER Portal'!$Y$1 = "FALSE", OverallTable[[#This Row],[Active]] = TRUE),OverallTable[[#This Row],[Name]],"(Blank)")),"")</f>
        <v xml:space="preserve">Cherie Banks </v>
      </c>
      <c r="AB39" s="73" t="s">
        <v>382</v>
      </c>
    </row>
    <row r="40" spans="1:28" x14ac:dyDescent="0.25">
      <c r="A40" s="82" t="s">
        <v>382</v>
      </c>
      <c r="B40" s="134" t="b">
        <v>1</v>
      </c>
      <c r="C40" s="83">
        <f t="shared" ca="1" si="15"/>
        <v>0</v>
      </c>
      <c r="D40" s="83">
        <f t="shared" ca="1" si="16"/>
        <v>0</v>
      </c>
      <c r="E40" s="83">
        <f t="shared" ca="1" si="17"/>
        <v>0</v>
      </c>
      <c r="F40" s="83">
        <f t="shared" ca="1" si="18"/>
        <v>0</v>
      </c>
      <c r="G40" s="107">
        <f t="shared" ca="1" si="19"/>
        <v>0</v>
      </c>
      <c r="H40" s="84">
        <f t="shared" ca="1" si="20"/>
        <v>0</v>
      </c>
      <c r="I40" s="84">
        <f t="shared" ca="1" si="21"/>
        <v>0</v>
      </c>
      <c r="J40" s="84">
        <f t="shared" ca="1" si="22"/>
        <v>0</v>
      </c>
      <c r="K40" s="92" t="str">
        <f ca="1">IFERROR(IF(AND('CALLER Portal'!$Y$1 = "False", OverallTable[[#This Row],[Active]] = FALSE), "",OverallTable[[#This Row],[Total Gifts]]/OverallTable[[#This Row],[Contacts]]),"")</f>
        <v/>
      </c>
      <c r="L40" s="92" t="str">
        <f ca="1">IF(AND('CALLER Portal'!$Y$1 = "False", OverallTable[[#This Row],[Active]] = FALSE), "", IF(C40 = 0,"",IFERROR((E40+F40)/D40,0)))</f>
        <v/>
      </c>
      <c r="M40" s="92" t="str">
        <f ca="1">IF(AND('CALLER Portal'!$Y$1 = "False", OverallTable[[#This Row],[Active]] = FALSE), "",IF(C40 = 0,"",IFERROR(F40/D40,0)))</f>
        <v/>
      </c>
      <c r="N40" s="85" t="str">
        <f ca="1">IF(AND('CALLER Portal'!$Y$1 = "False", OverallTable[[#This Row],[Active]] = FALSE), "", IFERROR((H40+I40)/C40,""))</f>
        <v/>
      </c>
      <c r="O40" s="170" t="str">
        <f ca="1">IF(AND('CALLER Portal'!$Y$1 = "False", OverallTable[[#This Row],[Active]] = FALSE),"",IF(C40 = 0,"",IFERROR((E40+F40)/C40,0)))</f>
        <v/>
      </c>
      <c r="P40" s="170" t="str">
        <f ca="1">IF(AND('CALLER Portal'!$Y$1 = "False", OverallTable[[#This Row],[Active]] = FALSE), "", IF(C40 = 0,"",IFERROR((F40)/C40,0)))</f>
        <v/>
      </c>
      <c r="Q40" s="86" t="str">
        <f t="shared" ca="1" si="23"/>
        <v/>
      </c>
      <c r="R40" s="86" t="str">
        <f ca="1">IFERROR(_xlfn.PERCENTRANK.INC(OverallTable[F-Score], OverallTable[[#This Row],[F-Score]]),"")</f>
        <v/>
      </c>
      <c r="S40"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40" s="116" t="str">
        <f t="shared" ca="1" si="24"/>
        <v/>
      </c>
      <c r="U40" s="117" t="str">
        <f t="shared" ca="1" si="25"/>
        <v/>
      </c>
      <c r="V40" s="117" t="str">
        <f t="shared" ca="1" si="26"/>
        <v/>
      </c>
      <c r="W40" s="117" t="str">
        <f t="shared" ca="1" si="27"/>
        <v/>
      </c>
      <c r="X40" s="117" t="str">
        <f t="shared" ca="1" si="28"/>
        <v/>
      </c>
      <c r="Y40" s="117" t="str">
        <f t="shared" ca="1" si="29"/>
        <v/>
      </c>
      <c r="Z40" s="141" t="str">
        <f>IFERROR(IF('CALLER Portal'!$Y$1 = "TRUE", OverallTable[[#This Row],[Name]],IF(AND('CALLER Portal'!$Y$1 = "FALSE", OverallTable[[#This Row],[Active]] = TRUE),OverallTable[[#This Row],[Name]],"(Blank)")),"")</f>
        <v xml:space="preserve">Chris Quinn </v>
      </c>
      <c r="AB40" s="73" t="s">
        <v>393</v>
      </c>
    </row>
    <row r="41" spans="1:28" x14ac:dyDescent="0.25">
      <c r="A41" s="158" t="s">
        <v>393</v>
      </c>
      <c r="B41" s="134" t="b">
        <v>1</v>
      </c>
      <c r="C41" s="239">
        <f t="shared" ca="1" si="15"/>
        <v>47.435000000000002</v>
      </c>
      <c r="D41" s="239">
        <f t="shared" ca="1" si="16"/>
        <v>95</v>
      </c>
      <c r="E41" s="239">
        <f t="shared" ca="1" si="17"/>
        <v>65</v>
      </c>
      <c r="F41" s="239">
        <f t="shared" ca="1" si="18"/>
        <v>6</v>
      </c>
      <c r="G41" s="240">
        <f t="shared" ca="1" si="19"/>
        <v>303</v>
      </c>
      <c r="H41" s="241">
        <f t="shared" ca="1" si="20"/>
        <v>3030</v>
      </c>
      <c r="I41" s="241">
        <f t="shared" ca="1" si="21"/>
        <v>960</v>
      </c>
      <c r="J41" s="241">
        <f t="shared" ca="1" si="22"/>
        <v>5005</v>
      </c>
      <c r="K41" s="242">
        <f ca="1">IFERROR(IF(AND('CALLER Portal'!$Y$1 = "False", OverallTable[[#This Row],[Active]] = FALSE), "",OverallTable[[#This Row],[Total Gifts]]/OverallTable[[#This Row],[Contacts]]),"")</f>
        <v>0.31353135313531355</v>
      </c>
      <c r="L41" s="242">
        <f ca="1">IF(AND('CALLER Portal'!$Y$1 = "False", OverallTable[[#This Row],[Active]] = FALSE), "", IF(C41 = 0,"",IFERROR((E41+F41)/D41,0)))</f>
        <v>0.74736842105263157</v>
      </c>
      <c r="M41" s="242">
        <f ca="1">IF(AND('CALLER Portal'!$Y$1 = "False", OverallTable[[#This Row],[Active]] = FALSE), "",IF(C41 = 0,"",IFERROR(F41/D41,0)))</f>
        <v>6.3157894736842107E-2</v>
      </c>
      <c r="N41" s="243">
        <f ca="1">IF(AND('CALLER Portal'!$Y$1 = "False", OverallTable[[#This Row],[Active]] = FALSE), "", IFERROR((H41+I41)/C41,""))</f>
        <v>84.115104880362594</v>
      </c>
      <c r="O41" s="244">
        <f ca="1">IF(AND('CALLER Portal'!$Y$1 = "False", OverallTable[[#This Row],[Active]] = FALSE),"",IF(C41 = 0,"",IFERROR((E41+F41)/C41,0)))</f>
        <v>1.4967850743122166</v>
      </c>
      <c r="P41" s="244">
        <f ca="1">IF(AND('CALLER Portal'!$Y$1 = "False", OverallTable[[#This Row],[Active]] = FALSE), "", IF(C41 = 0,"",IFERROR((F41)/C41,0)))</f>
        <v>0.12648887951934226</v>
      </c>
      <c r="Q41" s="245">
        <f t="shared" ca="1" si="23"/>
        <v>6.3876884157267835</v>
      </c>
      <c r="R41" s="245">
        <f ca="1">IFERROR(_xlfn.PERCENTRANK.INC(OverallTable[F-Score], OverallTable[[#This Row],[F-Score]]),"")</f>
        <v>0.94299999999999995</v>
      </c>
      <c r="S41" s="245">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0.8005000000000001</v>
      </c>
      <c r="T41" s="159">
        <f t="shared" ca="1" si="24"/>
        <v>0.68799999999999994</v>
      </c>
      <c r="U41" s="141">
        <f t="shared" ca="1" si="25"/>
        <v>0.88800000000000001</v>
      </c>
      <c r="V41" s="141">
        <f t="shared" ca="1" si="26"/>
        <v>0.47699999999999998</v>
      </c>
      <c r="W41" s="141">
        <f t="shared" ca="1" si="27"/>
        <v>0.9</v>
      </c>
      <c r="X41" s="141">
        <f t="shared" ca="1" si="28"/>
        <v>0.96599999999999997</v>
      </c>
      <c r="Y41" s="141">
        <f t="shared" ca="1" si="29"/>
        <v>0.64400000000000002</v>
      </c>
      <c r="Z41" s="141" t="str">
        <f>IFERROR(IF('CALLER Portal'!$Y$1 = "TRUE", OverallTable[[#This Row],[Name]],IF(AND('CALLER Portal'!$Y$1 = "FALSE", OverallTable[[#This Row],[Active]] = TRUE),OverallTable[[#This Row],[Name]],"(Blank)")),"")</f>
        <v xml:space="preserve">Christopher Martin </v>
      </c>
      <c r="AB41" s="73" t="s">
        <v>310</v>
      </c>
    </row>
    <row r="42" spans="1:28" x14ac:dyDescent="0.25">
      <c r="A42" s="82" t="s">
        <v>310</v>
      </c>
      <c r="B42" s="134" t="b">
        <v>1</v>
      </c>
      <c r="C42" s="83">
        <f t="shared" ca="1" si="15"/>
        <v>0</v>
      </c>
      <c r="D42" s="83">
        <f t="shared" ca="1" si="16"/>
        <v>0</v>
      </c>
      <c r="E42" s="83">
        <f t="shared" ca="1" si="17"/>
        <v>0</v>
      </c>
      <c r="F42" s="83">
        <f t="shared" ca="1" si="18"/>
        <v>0</v>
      </c>
      <c r="G42" s="107">
        <f t="shared" ca="1" si="19"/>
        <v>0</v>
      </c>
      <c r="H42" s="84">
        <f t="shared" ca="1" si="20"/>
        <v>0</v>
      </c>
      <c r="I42" s="84">
        <f t="shared" ca="1" si="21"/>
        <v>0</v>
      </c>
      <c r="J42" s="84">
        <f t="shared" ca="1" si="22"/>
        <v>0</v>
      </c>
      <c r="K42" s="92" t="str">
        <f ca="1">IFERROR(IF(AND('CALLER Portal'!$Y$1 = "False", OverallTable[[#This Row],[Active]] = FALSE), "",OverallTable[[#This Row],[Total Gifts]]/OverallTable[[#This Row],[Contacts]]),"")</f>
        <v/>
      </c>
      <c r="L42" s="92" t="str">
        <f ca="1">IF(AND('CALLER Portal'!$Y$1 = "False", OverallTable[[#This Row],[Active]] = FALSE), "", IF(C42 = 0,"",IFERROR((E42+F42)/D42,0)))</f>
        <v/>
      </c>
      <c r="M42" s="92" t="str">
        <f ca="1">IF(AND('CALLER Portal'!$Y$1 = "False", OverallTable[[#This Row],[Active]] = FALSE), "",IF(C42 = 0,"",IFERROR(F42/D42,0)))</f>
        <v/>
      </c>
      <c r="N42" s="85" t="str">
        <f ca="1">IF(AND('CALLER Portal'!$Y$1 = "False", OverallTable[[#This Row],[Active]] = FALSE), "", IFERROR((H42+I42)/C42,""))</f>
        <v/>
      </c>
      <c r="O42" s="170" t="str">
        <f ca="1">IF(AND('CALLER Portal'!$Y$1 = "False", OverallTable[[#This Row],[Active]] = FALSE),"",IF(C42 = 0,"",IFERROR((E42+F42)/C42,0)))</f>
        <v/>
      </c>
      <c r="P42" s="170" t="str">
        <f ca="1">IF(AND('CALLER Portal'!$Y$1 = "False", OverallTable[[#This Row],[Active]] = FALSE), "", IF(C42 = 0,"",IFERROR((F42)/C42,0)))</f>
        <v/>
      </c>
      <c r="Q42" s="86" t="str">
        <f t="shared" ca="1" si="23"/>
        <v/>
      </c>
      <c r="R42" s="86" t="str">
        <f ca="1">IFERROR(_xlfn.PERCENTRANK.INC(OverallTable[F-Score], OverallTable[[#This Row],[F-Score]]),"")</f>
        <v/>
      </c>
      <c r="S42"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42" s="116" t="str">
        <f t="shared" ca="1" si="24"/>
        <v/>
      </c>
      <c r="U42" s="117" t="str">
        <f t="shared" ca="1" si="25"/>
        <v/>
      </c>
      <c r="V42" s="117" t="str">
        <f t="shared" ca="1" si="26"/>
        <v/>
      </c>
      <c r="W42" s="117" t="str">
        <f t="shared" ca="1" si="27"/>
        <v/>
      </c>
      <c r="X42" s="117" t="str">
        <f t="shared" ca="1" si="28"/>
        <v/>
      </c>
      <c r="Y42" s="117" t="str">
        <f t="shared" ca="1" si="29"/>
        <v/>
      </c>
      <c r="Z42" s="141" t="str">
        <f>IFERROR(IF('CALLER Portal'!$Y$1 = "TRUE", OverallTable[[#This Row],[Name]],IF(AND('CALLER Portal'!$Y$1 = "FALSE", OverallTable[[#This Row],[Active]] = TRUE),OverallTable[[#This Row],[Name]],"(Blank)")),"")</f>
        <v xml:space="preserve">Corbin Thoat </v>
      </c>
      <c r="AB42" s="73" t="s">
        <v>349</v>
      </c>
    </row>
    <row r="43" spans="1:28" x14ac:dyDescent="0.25">
      <c r="A43" s="82" t="s">
        <v>349</v>
      </c>
      <c r="B43" s="134" t="b">
        <v>1</v>
      </c>
      <c r="C43" s="83">
        <f t="shared" ca="1" si="15"/>
        <v>0</v>
      </c>
      <c r="D43" s="83">
        <f t="shared" ca="1" si="16"/>
        <v>0</v>
      </c>
      <c r="E43" s="83">
        <f t="shared" ca="1" si="17"/>
        <v>0</v>
      </c>
      <c r="F43" s="83">
        <f t="shared" ca="1" si="18"/>
        <v>0</v>
      </c>
      <c r="G43" s="107">
        <f t="shared" ca="1" si="19"/>
        <v>0</v>
      </c>
      <c r="H43" s="84">
        <f t="shared" ca="1" si="20"/>
        <v>0</v>
      </c>
      <c r="I43" s="84">
        <f t="shared" ca="1" si="21"/>
        <v>0</v>
      </c>
      <c r="J43" s="84">
        <f t="shared" ca="1" si="22"/>
        <v>0</v>
      </c>
      <c r="K43" s="92" t="str">
        <f ca="1">IFERROR(IF(AND('CALLER Portal'!$Y$1 = "False", OverallTable[[#This Row],[Active]] = FALSE), "",OverallTable[[#This Row],[Total Gifts]]/OverallTable[[#This Row],[Contacts]]),"")</f>
        <v/>
      </c>
      <c r="L43" s="92" t="str">
        <f ca="1">IF(AND('CALLER Portal'!$Y$1 = "False", OverallTable[[#This Row],[Active]] = FALSE), "", IF(C43 = 0,"",IFERROR((E43+F43)/D43,0)))</f>
        <v/>
      </c>
      <c r="M43" s="92" t="str">
        <f ca="1">IF(AND('CALLER Portal'!$Y$1 = "False", OverallTable[[#This Row],[Active]] = FALSE), "",IF(C43 = 0,"",IFERROR(F43/D43,0)))</f>
        <v/>
      </c>
      <c r="N43" s="85" t="str">
        <f ca="1">IF(AND('CALLER Portal'!$Y$1 = "False", OverallTable[[#This Row],[Active]] = FALSE), "", IFERROR((H43+I43)/C43,""))</f>
        <v/>
      </c>
      <c r="O43" s="170" t="str">
        <f ca="1">IF(AND('CALLER Portal'!$Y$1 = "False", OverallTable[[#This Row],[Active]] = FALSE),"",IF(C43 = 0,"",IFERROR((E43+F43)/C43,0)))</f>
        <v/>
      </c>
      <c r="P43" s="170" t="str">
        <f ca="1">IF(AND('CALLER Portal'!$Y$1 = "False", OverallTable[[#This Row],[Active]] = FALSE), "", IF(C43 = 0,"",IFERROR((F43)/C43,0)))</f>
        <v/>
      </c>
      <c r="Q43" s="86" t="str">
        <f t="shared" ca="1" si="23"/>
        <v/>
      </c>
      <c r="R43" s="86" t="str">
        <f ca="1">IFERROR(_xlfn.PERCENTRANK.INC(OverallTable[F-Score], OverallTable[[#This Row],[F-Score]]),"")</f>
        <v/>
      </c>
      <c r="S43"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43" s="116" t="str">
        <f t="shared" ca="1" si="24"/>
        <v/>
      </c>
      <c r="U43" s="117" t="str">
        <f t="shared" ca="1" si="25"/>
        <v/>
      </c>
      <c r="V43" s="117" t="str">
        <f t="shared" ca="1" si="26"/>
        <v/>
      </c>
      <c r="W43" s="117" t="str">
        <f t="shared" ca="1" si="27"/>
        <v/>
      </c>
      <c r="X43" s="117" t="str">
        <f t="shared" ca="1" si="28"/>
        <v/>
      </c>
      <c r="Y43" s="117" t="str">
        <f t="shared" ca="1" si="29"/>
        <v/>
      </c>
      <c r="Z43" s="141" t="str">
        <f>IFERROR(IF('CALLER Portal'!$Y$1 = "TRUE", OverallTable[[#This Row],[Name]],IF(AND('CALLER Portal'!$Y$1 = "FALSE", OverallTable[[#This Row],[Active]] = TRUE),OverallTable[[#This Row],[Name]],"(Blank)")),"")</f>
        <v xml:space="preserve">Cynthia Walters </v>
      </c>
      <c r="AB43" s="73" t="s">
        <v>352</v>
      </c>
    </row>
    <row r="44" spans="1:28" x14ac:dyDescent="0.25">
      <c r="A44" s="82" t="s">
        <v>352</v>
      </c>
      <c r="B44" s="134" t="b">
        <v>1</v>
      </c>
      <c r="C44" s="83">
        <f t="shared" ca="1" si="15"/>
        <v>73.759</v>
      </c>
      <c r="D44" s="83">
        <f t="shared" ca="1" si="16"/>
        <v>87</v>
      </c>
      <c r="E44" s="83">
        <f t="shared" ca="1" si="17"/>
        <v>44</v>
      </c>
      <c r="F44" s="83">
        <f t="shared" ca="1" si="18"/>
        <v>0</v>
      </c>
      <c r="G44" s="107">
        <f t="shared" ca="1" si="19"/>
        <v>357</v>
      </c>
      <c r="H44" s="84">
        <f t="shared" ca="1" si="20"/>
        <v>2360</v>
      </c>
      <c r="I44" s="84">
        <f t="shared" ca="1" si="21"/>
        <v>0</v>
      </c>
      <c r="J44" s="84">
        <f t="shared" ca="1" si="22"/>
        <v>4425</v>
      </c>
      <c r="K44" s="92">
        <f ca="1">IFERROR(IF(AND('CALLER Portal'!$Y$1 = "False", OverallTable[[#This Row],[Active]] = FALSE), "",OverallTable[[#This Row],[Total Gifts]]/OverallTable[[#This Row],[Contacts]]),"")</f>
        <v>0.24369747899159663</v>
      </c>
      <c r="L44" s="92">
        <f ca="1">IF(AND('CALLER Portal'!$Y$1 = "False", OverallTable[[#This Row],[Active]] = FALSE), "", IF(C44 = 0,"",IFERROR((E44+F44)/D44,0)))</f>
        <v>0.50574712643678166</v>
      </c>
      <c r="M44" s="92">
        <f ca="1">IF(AND('CALLER Portal'!$Y$1 = "False", OverallTable[[#This Row],[Active]] = FALSE), "",IF(C44 = 0,"",IFERROR(F44/D44,0)))</f>
        <v>0</v>
      </c>
      <c r="N44" s="85">
        <f ca="1">IF(AND('CALLER Portal'!$Y$1 = "False", OverallTable[[#This Row],[Active]] = FALSE), "", IFERROR((H44+I44)/C44,""))</f>
        <v>31.996095391748803</v>
      </c>
      <c r="O44" s="170">
        <f ca="1">IF(AND('CALLER Portal'!$Y$1 = "False", OverallTable[[#This Row],[Active]] = FALSE),"",IF(C44 = 0,"",IFERROR((E44+F44)/C44,0)))</f>
        <v>0.59653737171057086</v>
      </c>
      <c r="P44" s="170">
        <f ca="1">IF(AND('CALLER Portal'!$Y$1 = "False", OverallTable[[#This Row],[Active]] = FALSE), "", IF(C44 = 0,"",IFERROR((F44)/C44,0)))</f>
        <v>0</v>
      </c>
      <c r="Q44" s="86">
        <f t="shared" ca="1" si="23"/>
        <v>4.8400873113789507</v>
      </c>
      <c r="R44" s="86">
        <f ca="1">IFERROR(_xlfn.PERCENTRANK.INC(OverallTable[F-Score], OverallTable[[#This Row],[F-Score]]),"")</f>
        <v>0.09</v>
      </c>
      <c r="S44" s="86">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0.18839999999999998</v>
      </c>
      <c r="T44" s="116">
        <f t="shared" ca="1" si="24"/>
        <v>0.377</v>
      </c>
      <c r="U44" s="117">
        <f t="shared" ca="1" si="25"/>
        <v>0.16600000000000001</v>
      </c>
      <c r="V44" s="117">
        <f t="shared" ca="1" si="26"/>
        <v>1.0999999999999999E-2</v>
      </c>
      <c r="W44" s="117">
        <f t="shared" ca="1" si="27"/>
        <v>0.16600000000000001</v>
      </c>
      <c r="X44" s="117">
        <f t="shared" ca="1" si="28"/>
        <v>0.222</v>
      </c>
      <c r="Y44" s="117">
        <f t="shared" ca="1" si="29"/>
        <v>1.0999999999999999E-2</v>
      </c>
      <c r="Z44" s="141" t="str">
        <f>IFERROR(IF('CALLER Portal'!$Y$1 = "TRUE", OverallTable[[#This Row],[Name]],IF(AND('CALLER Portal'!$Y$1 = "FALSE", OverallTable[[#This Row],[Active]] = TRUE),OverallTable[[#This Row],[Name]],"(Blank)")),"")</f>
        <v xml:space="preserve">Deliah Newman </v>
      </c>
      <c r="AB44" s="73" t="s">
        <v>361</v>
      </c>
    </row>
    <row r="45" spans="1:28" x14ac:dyDescent="0.25">
      <c r="A45" s="82" t="s">
        <v>361</v>
      </c>
      <c r="B45" s="134" t="b">
        <v>1</v>
      </c>
      <c r="C45" s="83">
        <f t="shared" ca="1" si="15"/>
        <v>0</v>
      </c>
      <c r="D45" s="83">
        <f t="shared" ca="1" si="16"/>
        <v>0</v>
      </c>
      <c r="E45" s="83">
        <f t="shared" ca="1" si="17"/>
        <v>0</v>
      </c>
      <c r="F45" s="83">
        <f t="shared" ca="1" si="18"/>
        <v>0</v>
      </c>
      <c r="G45" s="107">
        <f t="shared" ca="1" si="19"/>
        <v>0</v>
      </c>
      <c r="H45" s="84">
        <f t="shared" ca="1" si="20"/>
        <v>0</v>
      </c>
      <c r="I45" s="84">
        <f t="shared" ca="1" si="21"/>
        <v>0</v>
      </c>
      <c r="J45" s="84">
        <f t="shared" ca="1" si="22"/>
        <v>0</v>
      </c>
      <c r="K45" s="92" t="str">
        <f ca="1">IFERROR(IF(AND('CALLER Portal'!$Y$1 = "False", OverallTable[[#This Row],[Active]] = FALSE), "",OverallTable[[#This Row],[Total Gifts]]/OverallTable[[#This Row],[Contacts]]),"")</f>
        <v/>
      </c>
      <c r="L45" s="92" t="str">
        <f ca="1">IF(AND('CALLER Portal'!$Y$1 = "False", OverallTable[[#This Row],[Active]] = FALSE), "", IF(C45 = 0,"",IFERROR((E45+F45)/D45,0)))</f>
        <v/>
      </c>
      <c r="M45" s="92" t="str">
        <f ca="1">IF(AND('CALLER Portal'!$Y$1 = "False", OverallTable[[#This Row],[Active]] = FALSE), "",IF(C45 = 0,"",IFERROR(F45/D45,0)))</f>
        <v/>
      </c>
      <c r="N45" s="85" t="str">
        <f ca="1">IF(AND('CALLER Portal'!$Y$1 = "False", OverallTable[[#This Row],[Active]] = FALSE), "", IFERROR((H45+I45)/C45,""))</f>
        <v/>
      </c>
      <c r="O45" s="170" t="str">
        <f ca="1">IF(AND('CALLER Portal'!$Y$1 = "False", OverallTable[[#This Row],[Active]] = FALSE),"",IF(C45 = 0,"",IFERROR((E45+F45)/C45,0)))</f>
        <v/>
      </c>
      <c r="P45" s="170" t="str">
        <f ca="1">IF(AND('CALLER Portal'!$Y$1 = "False", OverallTable[[#This Row],[Active]] = FALSE), "", IF(C45 = 0,"",IFERROR((F45)/C45,0)))</f>
        <v/>
      </c>
      <c r="Q45" s="86" t="str">
        <f t="shared" ca="1" si="23"/>
        <v/>
      </c>
      <c r="R45" s="86" t="str">
        <f ca="1">IFERROR(_xlfn.PERCENTRANK.INC(OverallTable[F-Score], OverallTable[[#This Row],[F-Score]]),"")</f>
        <v/>
      </c>
      <c r="S45"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45" s="116" t="str">
        <f t="shared" ca="1" si="24"/>
        <v/>
      </c>
      <c r="U45" s="117" t="str">
        <f t="shared" ca="1" si="25"/>
        <v/>
      </c>
      <c r="V45" s="117" t="str">
        <f t="shared" ca="1" si="26"/>
        <v/>
      </c>
      <c r="W45" s="117" t="str">
        <f t="shared" ca="1" si="27"/>
        <v/>
      </c>
      <c r="X45" s="117" t="str">
        <f t="shared" ca="1" si="28"/>
        <v/>
      </c>
      <c r="Y45" s="117" t="str">
        <f t="shared" ca="1" si="29"/>
        <v/>
      </c>
      <c r="Z45" s="141" t="str">
        <f>IFERROR(IF('CALLER Portal'!$Y$1 = "TRUE", OverallTable[[#This Row],[Name]],IF(AND('CALLER Portal'!$Y$1 = "FALSE", OverallTable[[#This Row],[Active]] = TRUE),OverallTable[[#This Row],[Name]],"(Blank)")),"")</f>
        <v xml:space="preserve">Denise Millar </v>
      </c>
      <c r="AB45" s="73" t="s">
        <v>330</v>
      </c>
    </row>
    <row r="46" spans="1:28" x14ac:dyDescent="0.25">
      <c r="A46" s="82" t="s">
        <v>330</v>
      </c>
      <c r="B46" s="134" t="b">
        <v>1</v>
      </c>
      <c r="C46" s="83">
        <f t="shared" ca="1" si="15"/>
        <v>26.981000000000002</v>
      </c>
      <c r="D46" s="83">
        <f t="shared" ca="1" si="16"/>
        <v>33</v>
      </c>
      <c r="E46" s="83">
        <f t="shared" ca="1" si="17"/>
        <v>20</v>
      </c>
      <c r="F46" s="83">
        <f t="shared" ca="1" si="18"/>
        <v>4</v>
      </c>
      <c r="G46" s="107">
        <f t="shared" ca="1" si="19"/>
        <v>152</v>
      </c>
      <c r="H46" s="84">
        <f t="shared" ca="1" si="20"/>
        <v>860</v>
      </c>
      <c r="I46" s="84">
        <f t="shared" ca="1" si="21"/>
        <v>480</v>
      </c>
      <c r="J46" s="84">
        <f t="shared" ca="1" si="22"/>
        <v>1645</v>
      </c>
      <c r="K46" s="92">
        <f ca="1">IFERROR(IF(AND('CALLER Portal'!$Y$1 = "False", OverallTable[[#This Row],[Active]] = FALSE), "",OverallTable[[#This Row],[Total Gifts]]/OverallTable[[#This Row],[Contacts]]),"")</f>
        <v>0.21710526315789475</v>
      </c>
      <c r="L46" s="92">
        <f ca="1">IF(AND('CALLER Portal'!$Y$1 = "False", OverallTable[[#This Row],[Active]] = FALSE), "", IF(C46 = 0,"",IFERROR((E46+F46)/D46,0)))</f>
        <v>0.72727272727272729</v>
      </c>
      <c r="M46" s="92">
        <f ca="1">IF(AND('CALLER Portal'!$Y$1 = "False", OverallTable[[#This Row],[Active]] = FALSE), "",IF(C46 = 0,"",IFERROR(F46/D46,0)))</f>
        <v>0.12121212121212122</v>
      </c>
      <c r="N46" s="85">
        <f ca="1">IF(AND('CALLER Portal'!$Y$1 = "False", OverallTable[[#This Row],[Active]] = FALSE), "", IFERROR((H46+I46)/C46,""))</f>
        <v>49.664578777658349</v>
      </c>
      <c r="O46" s="170">
        <f ca="1">IF(AND('CALLER Portal'!$Y$1 = "False", OverallTable[[#This Row],[Active]] = FALSE),"",IF(C46 = 0,"",IFERROR((E46+F46)/C46,0)))</f>
        <v>0.88951484377895551</v>
      </c>
      <c r="P46" s="170">
        <f ca="1">IF(AND('CALLER Portal'!$Y$1 = "False", OverallTable[[#This Row],[Active]] = FALSE), "", IF(C46 = 0,"",IFERROR((F46)/C46,0)))</f>
        <v>0.14825247396315924</v>
      </c>
      <c r="Q46" s="86">
        <f t="shared" ca="1" si="23"/>
        <v>5.6335940106000519</v>
      </c>
      <c r="R46" s="86">
        <f ca="1">IFERROR(_xlfn.PERCENTRANK.INC(OverallTable[F-Score], OverallTable[[#This Row],[F-Score]]),"")</f>
        <v>0.51100000000000001</v>
      </c>
      <c r="S46" s="86">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0.54630000000000001</v>
      </c>
      <c r="T46" s="116">
        <f t="shared" ca="1" si="24"/>
        <v>0.222</v>
      </c>
      <c r="U46" s="117">
        <f t="shared" ca="1" si="25"/>
        <v>0.84399999999999997</v>
      </c>
      <c r="V46" s="117">
        <f t="shared" ca="1" si="26"/>
        <v>0.73299999999999998</v>
      </c>
      <c r="W46" s="117">
        <f t="shared" ca="1" si="27"/>
        <v>0.45500000000000002</v>
      </c>
      <c r="X46" s="117">
        <f t="shared" ca="1" si="28"/>
        <v>0.5</v>
      </c>
      <c r="Y46" s="117">
        <f t="shared" ca="1" si="29"/>
        <v>0.68799999999999994</v>
      </c>
      <c r="Z46" s="141" t="str">
        <f>IFERROR(IF('CALLER Portal'!$Y$1 = "TRUE", OverallTable[[#This Row],[Name]],IF(AND('CALLER Portal'!$Y$1 = "FALSE", OverallTable[[#This Row],[Active]] = TRUE),OverallTable[[#This Row],[Name]],"(Blank)")),"")</f>
        <v xml:space="preserve">Diego Gunn </v>
      </c>
      <c r="AB46" s="73" t="s">
        <v>286</v>
      </c>
    </row>
    <row r="47" spans="1:28" x14ac:dyDescent="0.25">
      <c r="A47" s="82" t="s">
        <v>286</v>
      </c>
      <c r="B47" s="134" t="b">
        <v>1</v>
      </c>
      <c r="C47" s="83">
        <f t="shared" ca="1" si="15"/>
        <v>50.283000000000001</v>
      </c>
      <c r="D47" s="83">
        <f t="shared" ca="1" si="16"/>
        <v>57</v>
      </c>
      <c r="E47" s="83">
        <f t="shared" ca="1" si="17"/>
        <v>26</v>
      </c>
      <c r="F47" s="83">
        <f t="shared" ca="1" si="18"/>
        <v>0</v>
      </c>
      <c r="G47" s="107">
        <f t="shared" ca="1" si="19"/>
        <v>296</v>
      </c>
      <c r="H47" s="84">
        <f t="shared" ca="1" si="20"/>
        <v>1535</v>
      </c>
      <c r="I47" s="84">
        <f t="shared" ca="1" si="21"/>
        <v>0</v>
      </c>
      <c r="J47" s="84">
        <f t="shared" ca="1" si="22"/>
        <v>3315</v>
      </c>
      <c r="K47" s="92">
        <f ca="1">IFERROR(IF(AND('CALLER Portal'!$Y$1 = "False", OverallTable[[#This Row],[Active]] = FALSE), "",OverallTable[[#This Row],[Total Gifts]]/OverallTable[[#This Row],[Contacts]]),"")</f>
        <v>0.19256756756756757</v>
      </c>
      <c r="L47" s="92">
        <f ca="1">IF(AND('CALLER Portal'!$Y$1 = "False", OverallTable[[#This Row],[Active]] = FALSE), "", IF(C47 = 0,"",IFERROR((E47+F47)/D47,0)))</f>
        <v>0.45614035087719296</v>
      </c>
      <c r="M47" s="92">
        <f ca="1">IF(AND('CALLER Portal'!$Y$1 = "False", OverallTable[[#This Row],[Active]] = FALSE), "",IF(C47 = 0,"",IFERROR(F47/D47,0)))</f>
        <v>0</v>
      </c>
      <c r="N47" s="85">
        <f ca="1">IF(AND('CALLER Portal'!$Y$1 = "False", OverallTable[[#This Row],[Active]] = FALSE), "", IFERROR((H47+I47)/C47,""))</f>
        <v>30.527215957679534</v>
      </c>
      <c r="O47" s="170">
        <f ca="1">IF(AND('CALLER Portal'!$Y$1 = "False", OverallTable[[#This Row],[Active]] = FALSE),"",IF(C47 = 0,"",IFERROR((E47+F47)/C47,0)))</f>
        <v>0.51707336475548393</v>
      </c>
      <c r="P47" s="170">
        <f ca="1">IF(AND('CALLER Portal'!$Y$1 = "False", OverallTable[[#This Row],[Active]] = FALSE), "", IF(C47 = 0,"",IFERROR((F47)/C47,0)))</f>
        <v>0</v>
      </c>
      <c r="Q47" s="86">
        <f t="shared" ca="1" si="23"/>
        <v>5.8866813833701253</v>
      </c>
      <c r="R47" s="86">
        <f ca="1">IFERROR(_xlfn.PERCENTRANK.INC(OverallTable[F-Score], OverallTable[[#This Row],[F-Score]]),"")</f>
        <v>2.1999999999999999E-2</v>
      </c>
      <c r="S47" s="86">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9.2999999999999999E-2</v>
      </c>
      <c r="T47" s="116">
        <f t="shared" ca="1" si="24"/>
        <v>0.122</v>
      </c>
      <c r="U47" s="117">
        <f t="shared" ca="1" si="25"/>
        <v>6.6000000000000003E-2</v>
      </c>
      <c r="V47" s="117">
        <f t="shared" ca="1" si="26"/>
        <v>1.0999999999999999E-2</v>
      </c>
      <c r="W47" s="117">
        <f t="shared" ca="1" si="27"/>
        <v>0.13300000000000001</v>
      </c>
      <c r="X47" s="117">
        <f t="shared" ca="1" si="28"/>
        <v>0.13300000000000001</v>
      </c>
      <c r="Y47" s="117">
        <f t="shared" ca="1" si="29"/>
        <v>1.0999999999999999E-2</v>
      </c>
      <c r="Z47" s="141" t="str">
        <f>IFERROR(IF('CALLER Portal'!$Y$1 = "TRUE", OverallTable[[#This Row],[Name]],IF(AND('CALLER Portal'!$Y$1 = "FALSE", OverallTable[[#This Row],[Active]] = TRUE),OverallTable[[#This Row],[Name]],"(Blank)")),"")</f>
        <v xml:space="preserve">Dorian Ramos </v>
      </c>
      <c r="AB47" s="73" t="s">
        <v>334</v>
      </c>
    </row>
    <row r="48" spans="1:28" x14ac:dyDescent="0.25">
      <c r="A48" s="82" t="s">
        <v>334</v>
      </c>
      <c r="B48" s="134" t="b">
        <v>1</v>
      </c>
      <c r="C48" s="83">
        <f t="shared" ca="1" si="15"/>
        <v>0</v>
      </c>
      <c r="D48" s="83">
        <f t="shared" ca="1" si="16"/>
        <v>0</v>
      </c>
      <c r="E48" s="83">
        <f t="shared" ca="1" si="17"/>
        <v>0</v>
      </c>
      <c r="F48" s="83">
        <f t="shared" ca="1" si="18"/>
        <v>0</v>
      </c>
      <c r="G48" s="107">
        <f t="shared" ca="1" si="19"/>
        <v>0</v>
      </c>
      <c r="H48" s="84">
        <f t="shared" ca="1" si="20"/>
        <v>0</v>
      </c>
      <c r="I48" s="84">
        <f t="shared" ca="1" si="21"/>
        <v>0</v>
      </c>
      <c r="J48" s="84">
        <f t="shared" ca="1" si="22"/>
        <v>0</v>
      </c>
      <c r="K48" s="92" t="str">
        <f ca="1">IFERROR(IF(AND('CALLER Portal'!$Y$1 = "False", OverallTable[[#This Row],[Active]] = FALSE), "",OverallTable[[#This Row],[Total Gifts]]/OverallTable[[#This Row],[Contacts]]),"")</f>
        <v/>
      </c>
      <c r="L48" s="92" t="str">
        <f ca="1">IF(AND('CALLER Portal'!$Y$1 = "False", OverallTable[[#This Row],[Active]] = FALSE), "", IF(C48 = 0,"",IFERROR((E48+F48)/D48,0)))</f>
        <v/>
      </c>
      <c r="M48" s="92" t="str">
        <f ca="1">IF(AND('CALLER Portal'!$Y$1 = "False", OverallTable[[#This Row],[Active]] = FALSE), "",IF(C48 = 0,"",IFERROR(F48/D48,0)))</f>
        <v/>
      </c>
      <c r="N48" s="85" t="str">
        <f ca="1">IF(AND('CALLER Portal'!$Y$1 = "False", OverallTable[[#This Row],[Active]] = FALSE), "", IFERROR((H48+I48)/C48,""))</f>
        <v/>
      </c>
      <c r="O48" s="170" t="str">
        <f ca="1">IF(AND('CALLER Portal'!$Y$1 = "False", OverallTable[[#This Row],[Active]] = FALSE),"",IF(C48 = 0,"",IFERROR((E48+F48)/C48,0)))</f>
        <v/>
      </c>
      <c r="P48" s="170" t="str">
        <f ca="1">IF(AND('CALLER Portal'!$Y$1 = "False", OverallTable[[#This Row],[Active]] = FALSE), "", IF(C48 = 0,"",IFERROR((F48)/C48,0)))</f>
        <v/>
      </c>
      <c r="Q48" s="86" t="str">
        <f t="shared" ca="1" si="23"/>
        <v/>
      </c>
      <c r="R48" s="86" t="str">
        <f ca="1">IFERROR(_xlfn.PERCENTRANK.INC(OverallTable[F-Score], OverallTable[[#This Row],[F-Score]]),"")</f>
        <v/>
      </c>
      <c r="S48"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48" s="116" t="str">
        <f t="shared" ca="1" si="24"/>
        <v/>
      </c>
      <c r="U48" s="117" t="str">
        <f t="shared" ca="1" si="25"/>
        <v/>
      </c>
      <c r="V48" s="117" t="str">
        <f t="shared" ca="1" si="26"/>
        <v/>
      </c>
      <c r="W48" s="117" t="str">
        <f t="shared" ca="1" si="27"/>
        <v/>
      </c>
      <c r="X48" s="117" t="str">
        <f t="shared" ca="1" si="28"/>
        <v/>
      </c>
      <c r="Y48" s="117" t="str">
        <f t="shared" ca="1" si="29"/>
        <v/>
      </c>
      <c r="Z48" s="141" t="str">
        <f>IFERROR(IF('CALLER Portal'!$Y$1 = "TRUE", OverallTable[[#This Row],[Name]],IF(AND('CALLER Portal'!$Y$1 = "FALSE", OverallTable[[#This Row],[Active]] = TRUE),OverallTable[[#This Row],[Name]],"(Blank)")),"")</f>
        <v xml:space="preserve">Eddie Reg </v>
      </c>
      <c r="AB48" s="73" t="s">
        <v>328</v>
      </c>
    </row>
    <row r="49" spans="1:66" x14ac:dyDescent="0.25">
      <c r="A49" s="160" t="s">
        <v>328</v>
      </c>
      <c r="B49" s="134" t="b">
        <v>1</v>
      </c>
      <c r="C49" s="161">
        <f t="shared" ca="1" si="15"/>
        <v>46.214999999999996</v>
      </c>
      <c r="D49" s="161">
        <f t="shared" ca="1" si="16"/>
        <v>31</v>
      </c>
      <c r="E49" s="161">
        <f t="shared" ca="1" si="17"/>
        <v>14</v>
      </c>
      <c r="F49" s="161">
        <f t="shared" ca="1" si="18"/>
        <v>0</v>
      </c>
      <c r="G49" s="162">
        <f t="shared" ca="1" si="19"/>
        <v>151</v>
      </c>
      <c r="H49" s="163">
        <f t="shared" ca="1" si="20"/>
        <v>1515</v>
      </c>
      <c r="I49" s="163">
        <f t="shared" ca="1" si="21"/>
        <v>0</v>
      </c>
      <c r="J49" s="163">
        <f t="shared" ca="1" si="22"/>
        <v>2230</v>
      </c>
      <c r="K49" s="165">
        <f ca="1">IFERROR(IF(AND('CALLER Portal'!$Y$1 = "False", OverallTable[[#This Row],[Active]] = FALSE), "",OverallTable[[#This Row],[Total Gifts]]/OverallTable[[#This Row],[Contacts]]),"")</f>
        <v>0.20529801324503311</v>
      </c>
      <c r="L49" s="165">
        <f ca="1">IF(AND('CALLER Portal'!$Y$1 = "False", OverallTable[[#This Row],[Active]] = FALSE), "", IF(C49 = 0,"",IFERROR((E49+F49)/D49,0)))</f>
        <v>0.45161290322580644</v>
      </c>
      <c r="M49" s="165">
        <f ca="1">IF(AND('CALLER Portal'!$Y$1 = "False", OverallTable[[#This Row],[Active]] = FALSE), "",IF(C49 = 0,"",IFERROR(F49/D49,0)))</f>
        <v>0</v>
      </c>
      <c r="N49" s="166">
        <f ca="1">IF(AND('CALLER Portal'!$Y$1 = "False", OverallTable[[#This Row],[Active]] = FALSE), "", IFERROR((H49+I49)/C49,""))</f>
        <v>32.78156442713405</v>
      </c>
      <c r="O49" s="172">
        <f ca="1">IF(AND('CALLER Portal'!$Y$1 = "False", OverallTable[[#This Row],[Active]] = FALSE),"",IF(C49 = 0,"",IFERROR((E49+F49)/C49,0)))</f>
        <v>0.30293194850156879</v>
      </c>
      <c r="P49" s="172">
        <f ca="1">IF(AND('CALLER Portal'!$Y$1 = "False", OverallTable[[#This Row],[Active]] = FALSE), "", IF(C49 = 0,"",IFERROR((F49)/C49,0)))</f>
        <v>0</v>
      </c>
      <c r="Q49" s="164">
        <f t="shared" ca="1" si="23"/>
        <v>3.2673374445526346</v>
      </c>
      <c r="R49" s="164">
        <f ca="1">IFERROR(_xlfn.PERCENTRANK.INC(OverallTable[F-Score], OverallTable[[#This Row],[F-Score]]),"")</f>
        <v>3.4000000000000002E-2</v>
      </c>
      <c r="S49" s="164">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9.5000000000000001E-2</v>
      </c>
      <c r="T49" s="159">
        <f t="shared" ca="1" si="24"/>
        <v>0.155</v>
      </c>
      <c r="U49" s="141">
        <f t="shared" ca="1" si="25"/>
        <v>5.5E-2</v>
      </c>
      <c r="V49" s="141">
        <f t="shared" ca="1" si="26"/>
        <v>1.0999999999999999E-2</v>
      </c>
      <c r="W49" s="141">
        <f t="shared" ca="1" si="27"/>
        <v>0.188</v>
      </c>
      <c r="X49" s="141">
        <f t="shared" ca="1" si="28"/>
        <v>6.6000000000000003E-2</v>
      </c>
      <c r="Y49" s="141">
        <f t="shared" ca="1" si="29"/>
        <v>1.0999999999999999E-2</v>
      </c>
      <c r="Z49" s="141" t="str">
        <f>IFERROR(IF('CALLER Portal'!$Y$1 = "TRUE", OverallTable[[#This Row],[Name]],IF(AND('CALLER Portal'!$Y$1 = "FALSE", OverallTable[[#This Row],[Active]] = TRUE),OverallTable[[#This Row],[Name]],"(Blank)")),"")</f>
        <v xml:space="preserve">Eddie Rogers </v>
      </c>
      <c r="AB49" s="73" t="s">
        <v>381</v>
      </c>
    </row>
    <row r="50" spans="1:66" x14ac:dyDescent="0.25">
      <c r="A50" s="82" t="s">
        <v>381</v>
      </c>
      <c r="B50" s="134" t="b">
        <v>1</v>
      </c>
      <c r="C50" s="83">
        <f t="shared" ca="1" si="15"/>
        <v>0</v>
      </c>
      <c r="D50" s="83">
        <f t="shared" ca="1" si="16"/>
        <v>0</v>
      </c>
      <c r="E50" s="83">
        <f t="shared" ca="1" si="17"/>
        <v>0</v>
      </c>
      <c r="F50" s="83">
        <f t="shared" ca="1" si="18"/>
        <v>0</v>
      </c>
      <c r="G50" s="107">
        <f t="shared" ca="1" si="19"/>
        <v>0</v>
      </c>
      <c r="H50" s="84">
        <f t="shared" ca="1" si="20"/>
        <v>0</v>
      </c>
      <c r="I50" s="84">
        <f t="shared" ca="1" si="21"/>
        <v>0</v>
      </c>
      <c r="J50" s="84">
        <f t="shared" ca="1" si="22"/>
        <v>0</v>
      </c>
      <c r="K50" s="92" t="str">
        <f ca="1">IFERROR(IF(AND('CALLER Portal'!$Y$1 = "False", OverallTable[[#This Row],[Active]] = FALSE), "",OverallTable[[#This Row],[Total Gifts]]/OverallTable[[#This Row],[Contacts]]),"")</f>
        <v/>
      </c>
      <c r="L50" s="92" t="str">
        <f ca="1">IF(AND('CALLER Portal'!$Y$1 = "False", OverallTable[[#This Row],[Active]] = FALSE), "", IF(C50 = 0,"",IFERROR((E50+F50)/D50,0)))</f>
        <v/>
      </c>
      <c r="M50" s="92" t="str">
        <f ca="1">IF(AND('CALLER Portal'!$Y$1 = "False", OverallTable[[#This Row],[Active]] = FALSE), "",IF(C50 = 0,"",IFERROR(F50/D50,0)))</f>
        <v/>
      </c>
      <c r="N50" s="85" t="str">
        <f ca="1">IF(AND('CALLER Portal'!$Y$1 = "False", OverallTable[[#This Row],[Active]] = FALSE), "", IFERROR((H50+I50)/C50,""))</f>
        <v/>
      </c>
      <c r="O50" s="170" t="str">
        <f ca="1">IF(AND('CALLER Portal'!$Y$1 = "False", OverallTable[[#This Row],[Active]] = FALSE),"",IF(C50 = 0,"",IFERROR((E50+F50)/C50,0)))</f>
        <v/>
      </c>
      <c r="P50" s="170" t="str">
        <f ca="1">IF(AND('CALLER Portal'!$Y$1 = "False", OverallTable[[#This Row],[Active]] = FALSE), "", IF(C50 = 0,"",IFERROR((F50)/C50,0)))</f>
        <v/>
      </c>
      <c r="Q50" s="86" t="str">
        <f t="shared" ca="1" si="23"/>
        <v/>
      </c>
      <c r="R50" s="86" t="str">
        <f ca="1">IFERROR(_xlfn.PERCENTRANK.INC(OverallTable[F-Score], OverallTable[[#This Row],[F-Score]]),"")</f>
        <v/>
      </c>
      <c r="S50"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50" s="116" t="str">
        <f t="shared" ca="1" si="24"/>
        <v/>
      </c>
      <c r="U50" s="117" t="str">
        <f t="shared" ca="1" si="25"/>
        <v/>
      </c>
      <c r="V50" s="117" t="str">
        <f t="shared" ca="1" si="26"/>
        <v/>
      </c>
      <c r="W50" s="117" t="str">
        <f t="shared" ca="1" si="27"/>
        <v/>
      </c>
      <c r="X50" s="117" t="str">
        <f t="shared" ca="1" si="28"/>
        <v/>
      </c>
      <c r="Y50" s="117" t="str">
        <f t="shared" ca="1" si="29"/>
        <v/>
      </c>
      <c r="Z50" s="141" t="str">
        <f>IFERROR(IF('CALLER Portal'!$Y$1 = "TRUE", OverallTable[[#This Row],[Name]],IF(AND('CALLER Portal'!$Y$1 = "FALSE", OverallTable[[#This Row],[Active]] = TRUE),OverallTable[[#This Row],[Name]],"(Blank)")),"")</f>
        <v xml:space="preserve">Elana Delacruz </v>
      </c>
      <c r="AB50" s="73" t="s">
        <v>377</v>
      </c>
    </row>
    <row r="51" spans="1:66" x14ac:dyDescent="0.25">
      <c r="A51" s="82" t="s">
        <v>377</v>
      </c>
      <c r="B51" s="134" t="b">
        <v>1</v>
      </c>
      <c r="C51" s="83">
        <f t="shared" ca="1" si="15"/>
        <v>0</v>
      </c>
      <c r="D51" s="83">
        <f t="shared" ca="1" si="16"/>
        <v>0</v>
      </c>
      <c r="E51" s="83">
        <f t="shared" ca="1" si="17"/>
        <v>0</v>
      </c>
      <c r="F51" s="83">
        <f t="shared" ca="1" si="18"/>
        <v>0</v>
      </c>
      <c r="G51" s="107">
        <f t="shared" ca="1" si="19"/>
        <v>0</v>
      </c>
      <c r="H51" s="84">
        <f t="shared" ca="1" si="20"/>
        <v>0</v>
      </c>
      <c r="I51" s="84">
        <f t="shared" ca="1" si="21"/>
        <v>0</v>
      </c>
      <c r="J51" s="84">
        <f t="shared" ca="1" si="22"/>
        <v>0</v>
      </c>
      <c r="K51" s="92" t="str">
        <f ca="1">IFERROR(IF(AND('CALLER Portal'!$Y$1 = "False", OverallTable[[#This Row],[Active]] = FALSE), "",OverallTable[[#This Row],[Total Gifts]]/OverallTable[[#This Row],[Contacts]]),"")</f>
        <v/>
      </c>
      <c r="L51" s="92" t="str">
        <f ca="1">IF(AND('CALLER Portal'!$Y$1 = "False", OverallTable[[#This Row],[Active]] = FALSE), "", IF(C51 = 0,"",IFERROR((E51+F51)/D51,0)))</f>
        <v/>
      </c>
      <c r="M51" s="92" t="str">
        <f ca="1">IF(AND('CALLER Portal'!$Y$1 = "False", OverallTable[[#This Row],[Active]] = FALSE), "",IF(C51 = 0,"",IFERROR(F51/D51,0)))</f>
        <v/>
      </c>
      <c r="N51" s="85" t="str">
        <f ca="1">IF(AND('CALLER Portal'!$Y$1 = "False", OverallTable[[#This Row],[Active]] = FALSE), "", IFERROR((H51+I51)/C51,""))</f>
        <v/>
      </c>
      <c r="O51" s="170" t="str">
        <f ca="1">IF(AND('CALLER Portal'!$Y$1 = "False", OverallTable[[#This Row],[Active]] = FALSE),"",IF(C51 = 0,"",IFERROR((E51+F51)/C51,0)))</f>
        <v/>
      </c>
      <c r="P51" s="170" t="str">
        <f ca="1">IF(AND('CALLER Portal'!$Y$1 = "False", OverallTable[[#This Row],[Active]] = FALSE), "", IF(C51 = 0,"",IFERROR((F51)/C51,0)))</f>
        <v/>
      </c>
      <c r="Q51" s="86" t="str">
        <f t="shared" ca="1" si="23"/>
        <v/>
      </c>
      <c r="R51" s="86" t="str">
        <f ca="1">IFERROR(_xlfn.PERCENTRANK.INC(OverallTable[F-Score], OverallTable[[#This Row],[F-Score]]),"")</f>
        <v/>
      </c>
      <c r="S51"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51" s="116" t="str">
        <f t="shared" ca="1" si="24"/>
        <v/>
      </c>
      <c r="U51" s="117" t="str">
        <f t="shared" ca="1" si="25"/>
        <v/>
      </c>
      <c r="V51" s="117" t="str">
        <f t="shared" ca="1" si="26"/>
        <v/>
      </c>
      <c r="W51" s="117" t="str">
        <f t="shared" ca="1" si="27"/>
        <v/>
      </c>
      <c r="X51" s="117" t="str">
        <f t="shared" ca="1" si="28"/>
        <v/>
      </c>
      <c r="Y51" s="117" t="str">
        <f t="shared" ca="1" si="29"/>
        <v/>
      </c>
      <c r="Z51" s="141" t="str">
        <f>IFERROR(IF('CALLER Portal'!$Y$1 = "TRUE", OverallTable[[#This Row],[Name]],IF(AND('CALLER Portal'!$Y$1 = "FALSE", OverallTable[[#This Row],[Active]] = TRUE),OverallTable[[#This Row],[Name]],"(Blank)")),"")</f>
        <v xml:space="preserve">Elise Akro </v>
      </c>
      <c r="AB51" s="73" t="s">
        <v>357</v>
      </c>
    </row>
    <row r="52" spans="1:66" x14ac:dyDescent="0.25">
      <c r="A52" s="82" t="s">
        <v>357</v>
      </c>
      <c r="B52" s="134" t="b">
        <v>1</v>
      </c>
      <c r="C52" s="83">
        <f t="shared" ca="1" si="15"/>
        <v>22.641999999999999</v>
      </c>
      <c r="D52" s="83">
        <f t="shared" ca="1" si="16"/>
        <v>23</v>
      </c>
      <c r="E52" s="83">
        <f t="shared" ca="1" si="17"/>
        <v>11</v>
      </c>
      <c r="F52" s="83">
        <f t="shared" ca="1" si="18"/>
        <v>2</v>
      </c>
      <c r="G52" s="107">
        <f t="shared" ca="1" si="19"/>
        <v>91</v>
      </c>
      <c r="H52" s="84">
        <f t="shared" ca="1" si="20"/>
        <v>676</v>
      </c>
      <c r="I52" s="84">
        <f t="shared" ca="1" si="21"/>
        <v>144</v>
      </c>
      <c r="J52" s="84">
        <f t="shared" ca="1" si="22"/>
        <v>1230</v>
      </c>
      <c r="K52" s="92">
        <f ca="1">IFERROR(IF(AND('CALLER Portal'!$Y$1 = "False", OverallTable[[#This Row],[Active]] = FALSE), "",OverallTable[[#This Row],[Total Gifts]]/OverallTable[[#This Row],[Contacts]]),"")</f>
        <v>0.25274725274725274</v>
      </c>
      <c r="L52" s="92">
        <f ca="1">IF(AND('CALLER Portal'!$Y$1 = "False", OverallTable[[#This Row],[Active]] = FALSE), "", IF(C52 = 0,"",IFERROR((E52+F52)/D52,0)))</f>
        <v>0.56521739130434778</v>
      </c>
      <c r="M52" s="92">
        <f ca="1">IF(AND('CALLER Portal'!$Y$1 = "False", OverallTable[[#This Row],[Active]] = FALSE), "",IF(C52 = 0,"",IFERROR(F52/D52,0)))</f>
        <v>8.6956521739130432E-2</v>
      </c>
      <c r="N52" s="85">
        <f ca="1">IF(AND('CALLER Portal'!$Y$1 = "False", OverallTable[[#This Row],[Active]] = FALSE), "", IFERROR((H52+I52)/C52,""))</f>
        <v>36.215881989223568</v>
      </c>
      <c r="O52" s="170">
        <f ca="1">IF(AND('CALLER Portal'!$Y$1 = "False", OverallTable[[#This Row],[Active]] = FALSE),"",IF(C52 = 0,"",IFERROR((E52+F52)/C52,0)))</f>
        <v>0.57415422665842242</v>
      </c>
      <c r="P52" s="170">
        <f ca="1">IF(AND('CALLER Portal'!$Y$1 = "False", OverallTable[[#This Row],[Active]] = FALSE), "", IF(C52 = 0,"",IFERROR((F52)/C52,0)))</f>
        <v>8.8331419485911139E-2</v>
      </c>
      <c r="Q52" s="86">
        <f t="shared" ca="1" si="23"/>
        <v>4.0190795866089566</v>
      </c>
      <c r="R52" s="86">
        <f ca="1">IFERROR(_xlfn.PERCENTRANK.INC(OverallTable[F-Score], OverallTable[[#This Row],[F-Score]]),"")</f>
        <v>0.26100000000000001</v>
      </c>
      <c r="S52" s="86">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0.36730000000000007</v>
      </c>
      <c r="T52" s="116">
        <f t="shared" ca="1" si="24"/>
        <v>0.45500000000000002</v>
      </c>
      <c r="U52" s="117">
        <f t="shared" ca="1" si="25"/>
        <v>0.36599999999999999</v>
      </c>
      <c r="V52" s="117">
        <f t="shared" ca="1" si="26"/>
        <v>0.64400000000000002</v>
      </c>
      <c r="W52" s="117">
        <f t="shared" ca="1" si="27"/>
        <v>0.24399999999999999</v>
      </c>
      <c r="X52" s="117">
        <f t="shared" ca="1" si="28"/>
        <v>0.21099999999999999</v>
      </c>
      <c r="Y52" s="117">
        <f t="shared" ca="1" si="29"/>
        <v>0.47699999999999998</v>
      </c>
      <c r="Z52" s="141" t="str">
        <f>IFERROR(IF('CALLER Portal'!$Y$1 = "TRUE", OverallTable[[#This Row],[Name]],IF(AND('CALLER Portal'!$Y$1 = "FALSE", OverallTable[[#This Row],[Active]] = TRUE),OverallTable[[#This Row],[Name]],"(Blank)")),"")</f>
        <v xml:space="preserve">Elli Owen </v>
      </c>
      <c r="AB52" s="73" t="s">
        <v>309</v>
      </c>
    </row>
    <row r="53" spans="1:66" x14ac:dyDescent="0.25">
      <c r="A53" s="82" t="s">
        <v>309</v>
      </c>
      <c r="B53" s="134" t="b">
        <v>1</v>
      </c>
      <c r="C53" s="83">
        <f t="shared" ca="1" si="15"/>
        <v>0</v>
      </c>
      <c r="D53" s="83">
        <f t="shared" ca="1" si="16"/>
        <v>0</v>
      </c>
      <c r="E53" s="83">
        <f t="shared" ca="1" si="17"/>
        <v>0</v>
      </c>
      <c r="F53" s="83">
        <f t="shared" ca="1" si="18"/>
        <v>0</v>
      </c>
      <c r="G53" s="107">
        <f t="shared" ca="1" si="19"/>
        <v>0</v>
      </c>
      <c r="H53" s="84">
        <f t="shared" ca="1" si="20"/>
        <v>0</v>
      </c>
      <c r="I53" s="84">
        <f t="shared" ca="1" si="21"/>
        <v>0</v>
      </c>
      <c r="J53" s="84">
        <f t="shared" ca="1" si="22"/>
        <v>0</v>
      </c>
      <c r="K53" s="92" t="str">
        <f ca="1">IFERROR(IF(AND('CALLER Portal'!$Y$1 = "False", OverallTable[[#This Row],[Active]] = FALSE), "",OverallTable[[#This Row],[Total Gifts]]/OverallTable[[#This Row],[Contacts]]),"")</f>
        <v/>
      </c>
      <c r="L53" s="92" t="str">
        <f ca="1">IF(AND('CALLER Portal'!$Y$1 = "False", OverallTable[[#This Row],[Active]] = FALSE), "", IF(C53 = 0,"",IFERROR((E53+F53)/D53,0)))</f>
        <v/>
      </c>
      <c r="M53" s="92" t="str">
        <f ca="1">IF(AND('CALLER Portal'!$Y$1 = "False", OverallTable[[#This Row],[Active]] = FALSE), "",IF(C53 = 0,"",IFERROR(F53/D53,0)))</f>
        <v/>
      </c>
      <c r="N53" s="85" t="str">
        <f ca="1">IF(AND('CALLER Portal'!$Y$1 = "False", OverallTable[[#This Row],[Active]] = FALSE), "", IFERROR((H53+I53)/C53,""))</f>
        <v/>
      </c>
      <c r="O53" s="170" t="str">
        <f ca="1">IF(AND('CALLER Portal'!$Y$1 = "False", OverallTable[[#This Row],[Active]] = FALSE),"",IF(C53 = 0,"",IFERROR((E53+F53)/C53,0)))</f>
        <v/>
      </c>
      <c r="P53" s="170" t="str">
        <f ca="1">IF(AND('CALLER Portal'!$Y$1 = "False", OverallTable[[#This Row],[Active]] = FALSE), "", IF(C53 = 0,"",IFERROR((F53)/C53,0)))</f>
        <v/>
      </c>
      <c r="Q53" s="86" t="str">
        <f t="shared" ca="1" si="23"/>
        <v/>
      </c>
      <c r="R53" s="86" t="str">
        <f ca="1">IFERROR(_xlfn.PERCENTRANK.INC(OverallTable[F-Score], OverallTable[[#This Row],[F-Score]]),"")</f>
        <v/>
      </c>
      <c r="S53"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53" s="116" t="str">
        <f t="shared" ca="1" si="24"/>
        <v/>
      </c>
      <c r="U53" s="117" t="str">
        <f t="shared" ca="1" si="25"/>
        <v/>
      </c>
      <c r="V53" s="117" t="str">
        <f t="shared" ca="1" si="26"/>
        <v/>
      </c>
      <c r="W53" s="117" t="str">
        <f t="shared" ca="1" si="27"/>
        <v/>
      </c>
      <c r="X53" s="117" t="str">
        <f t="shared" ca="1" si="28"/>
        <v/>
      </c>
      <c r="Y53" s="117" t="str">
        <f t="shared" ca="1" si="29"/>
        <v/>
      </c>
      <c r="Z53" s="141" t="str">
        <f>IFERROR(IF('CALLER Portal'!$Y$1 = "TRUE", OverallTable[[#This Row],[Name]],IF(AND('CALLER Portal'!$Y$1 = "FALSE", OverallTable[[#This Row],[Active]] = TRUE),OverallTable[[#This Row],[Name]],"(Blank)")),"")</f>
        <v xml:space="preserve">Emer Snow </v>
      </c>
      <c r="AB53" s="73" t="s">
        <v>270</v>
      </c>
    </row>
    <row r="54" spans="1:66" x14ac:dyDescent="0.25">
      <c r="A54" s="82" t="s">
        <v>270</v>
      </c>
      <c r="B54" s="134" t="b">
        <v>1</v>
      </c>
      <c r="C54" s="83">
        <f t="shared" ca="1" si="15"/>
        <v>0</v>
      </c>
      <c r="D54" s="83">
        <f t="shared" ca="1" si="16"/>
        <v>0</v>
      </c>
      <c r="E54" s="83">
        <f t="shared" ca="1" si="17"/>
        <v>0</v>
      </c>
      <c r="F54" s="83">
        <f t="shared" ca="1" si="18"/>
        <v>0</v>
      </c>
      <c r="G54" s="107">
        <f t="shared" ca="1" si="19"/>
        <v>0</v>
      </c>
      <c r="H54" s="84">
        <f t="shared" ca="1" si="20"/>
        <v>0</v>
      </c>
      <c r="I54" s="84">
        <f t="shared" ca="1" si="21"/>
        <v>0</v>
      </c>
      <c r="J54" s="84">
        <f t="shared" ca="1" si="22"/>
        <v>0</v>
      </c>
      <c r="K54" s="92" t="str">
        <f ca="1">IFERROR(IF(AND('CALLER Portal'!$Y$1 = "False", OverallTable[[#This Row],[Active]] = FALSE), "",OverallTable[[#This Row],[Total Gifts]]/OverallTable[[#This Row],[Contacts]]),"")</f>
        <v/>
      </c>
      <c r="L54" s="92" t="str">
        <f ca="1">IF(AND('CALLER Portal'!$Y$1 = "False", OverallTable[[#This Row],[Active]] = FALSE), "", IF(C54 = 0,"",IFERROR((E54+F54)/D54,0)))</f>
        <v/>
      </c>
      <c r="M54" s="92" t="str">
        <f ca="1">IF(AND('CALLER Portal'!$Y$1 = "False", OverallTable[[#This Row],[Active]] = FALSE), "",IF(C54 = 0,"",IFERROR(F54/D54,0)))</f>
        <v/>
      </c>
      <c r="N54" s="85" t="str">
        <f ca="1">IF(AND('CALLER Portal'!$Y$1 = "False", OverallTable[[#This Row],[Active]] = FALSE), "", IFERROR((H54+I54)/C54,""))</f>
        <v/>
      </c>
      <c r="O54" s="170" t="str">
        <f ca="1">IF(AND('CALLER Portal'!$Y$1 = "False", OverallTable[[#This Row],[Active]] = FALSE),"",IF(C54 = 0,"",IFERROR((E54+F54)/C54,0)))</f>
        <v/>
      </c>
      <c r="P54" s="170" t="str">
        <f ca="1">IF(AND('CALLER Portal'!$Y$1 = "False", OverallTable[[#This Row],[Active]] = FALSE), "", IF(C54 = 0,"",IFERROR((F54)/C54,0)))</f>
        <v/>
      </c>
      <c r="Q54" s="86" t="str">
        <f t="shared" ca="1" si="23"/>
        <v/>
      </c>
      <c r="R54" s="86" t="str">
        <f ca="1">IFERROR(_xlfn.PERCENTRANK.INC(OverallTable[F-Score], OverallTable[[#This Row],[F-Score]]),"")</f>
        <v/>
      </c>
      <c r="S54"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54" s="116" t="str">
        <f t="shared" ca="1" si="24"/>
        <v/>
      </c>
      <c r="U54" s="117" t="str">
        <f t="shared" ca="1" si="25"/>
        <v/>
      </c>
      <c r="V54" s="117" t="str">
        <f t="shared" ca="1" si="26"/>
        <v/>
      </c>
      <c r="W54" s="117" t="str">
        <f t="shared" ca="1" si="27"/>
        <v/>
      </c>
      <c r="X54" s="117" t="str">
        <f t="shared" ca="1" si="28"/>
        <v/>
      </c>
      <c r="Y54" s="117" t="str">
        <f t="shared" ca="1" si="29"/>
        <v/>
      </c>
      <c r="Z54" s="141" t="str">
        <f>IFERROR(IF('CALLER Portal'!$Y$1 = "TRUE", OverallTable[[#This Row],[Name]],IF(AND('CALLER Portal'!$Y$1 = "FALSE", OverallTable[[#This Row],[Active]] = TRUE),OverallTable[[#This Row],[Name]],"(Blank)")),"")</f>
        <v xml:space="preserve">Emery Hoggs </v>
      </c>
      <c r="AB54" s="73" t="s">
        <v>390</v>
      </c>
    </row>
    <row r="55" spans="1:66" x14ac:dyDescent="0.25">
      <c r="A55" s="82" t="s">
        <v>390</v>
      </c>
      <c r="B55" s="134" t="b">
        <v>1</v>
      </c>
      <c r="C55" s="83">
        <f t="shared" ca="1" si="15"/>
        <v>0</v>
      </c>
      <c r="D55" s="83">
        <f t="shared" ca="1" si="16"/>
        <v>0</v>
      </c>
      <c r="E55" s="83">
        <f t="shared" ca="1" si="17"/>
        <v>0</v>
      </c>
      <c r="F55" s="83">
        <f t="shared" ca="1" si="18"/>
        <v>0</v>
      </c>
      <c r="G55" s="107">
        <f t="shared" ca="1" si="19"/>
        <v>0</v>
      </c>
      <c r="H55" s="84">
        <f t="shared" ca="1" si="20"/>
        <v>0</v>
      </c>
      <c r="I55" s="84">
        <f t="shared" ca="1" si="21"/>
        <v>0</v>
      </c>
      <c r="J55" s="84">
        <f t="shared" ca="1" si="22"/>
        <v>0</v>
      </c>
      <c r="K55" s="92" t="str">
        <f ca="1">IFERROR(IF(AND('CALLER Portal'!$Y$1 = "False", OverallTable[[#This Row],[Active]] = FALSE), "",OverallTable[[#This Row],[Total Gifts]]/OverallTable[[#This Row],[Contacts]]),"")</f>
        <v/>
      </c>
      <c r="L55" s="92" t="str">
        <f ca="1">IF(AND('CALLER Portal'!$Y$1 = "False", OverallTable[[#This Row],[Active]] = FALSE), "", IF(C55 = 0,"",IFERROR((E55+F55)/D55,0)))</f>
        <v/>
      </c>
      <c r="M55" s="92" t="str">
        <f ca="1">IF(AND('CALLER Portal'!$Y$1 = "False", OverallTable[[#This Row],[Active]] = FALSE), "",IF(C55 = 0,"",IFERROR(F55/D55,0)))</f>
        <v/>
      </c>
      <c r="N55" s="85" t="str">
        <f ca="1">IF(AND('CALLER Portal'!$Y$1 = "False", OverallTable[[#This Row],[Active]] = FALSE), "", IFERROR((H55+I55)/C55,""))</f>
        <v/>
      </c>
      <c r="O55" s="170" t="str">
        <f ca="1">IF(AND('CALLER Portal'!$Y$1 = "False", OverallTable[[#This Row],[Active]] = FALSE),"",IF(C55 = 0,"",IFERROR((E55+F55)/C55,0)))</f>
        <v/>
      </c>
      <c r="P55" s="170" t="str">
        <f ca="1">IF(AND('CALLER Portal'!$Y$1 = "False", OverallTable[[#This Row],[Active]] = FALSE), "", IF(C55 = 0,"",IFERROR((F55)/C55,0)))</f>
        <v/>
      </c>
      <c r="Q55" s="86" t="str">
        <f t="shared" ca="1" si="23"/>
        <v/>
      </c>
      <c r="R55" s="86" t="str">
        <f ca="1">IFERROR(_xlfn.PERCENTRANK.INC(OverallTable[F-Score], OverallTable[[#This Row],[F-Score]]),"")</f>
        <v/>
      </c>
      <c r="S55"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55" s="116" t="str">
        <f t="shared" ca="1" si="24"/>
        <v/>
      </c>
      <c r="U55" s="117" t="str">
        <f t="shared" ca="1" si="25"/>
        <v/>
      </c>
      <c r="V55" s="117" t="str">
        <f t="shared" ca="1" si="26"/>
        <v/>
      </c>
      <c r="W55" s="117" t="str">
        <f t="shared" ca="1" si="27"/>
        <v/>
      </c>
      <c r="X55" s="117" t="str">
        <f t="shared" ca="1" si="28"/>
        <v/>
      </c>
      <c r="Y55" s="117" t="str">
        <f t="shared" ca="1" si="29"/>
        <v/>
      </c>
      <c r="Z55" s="141" t="str">
        <f>IFERROR(IF('CALLER Portal'!$Y$1 = "TRUE", OverallTable[[#This Row],[Name]],IF(AND('CALLER Portal'!$Y$1 = "FALSE", OverallTable[[#This Row],[Active]] = TRUE),OverallTable[[#This Row],[Name]],"(Blank)")),"")</f>
        <v xml:space="preserve">Flynn Olsen </v>
      </c>
      <c r="AB55" s="73" t="s">
        <v>344</v>
      </c>
    </row>
    <row r="56" spans="1:66" x14ac:dyDescent="0.25">
      <c r="A56" s="82" t="s">
        <v>344</v>
      </c>
      <c r="B56" s="134" t="b">
        <v>1</v>
      </c>
      <c r="C56" s="83">
        <f t="shared" ca="1" si="15"/>
        <v>0</v>
      </c>
      <c r="D56" s="83">
        <f t="shared" ca="1" si="16"/>
        <v>0</v>
      </c>
      <c r="E56" s="83">
        <f t="shared" ca="1" si="17"/>
        <v>0</v>
      </c>
      <c r="F56" s="83">
        <f t="shared" ca="1" si="18"/>
        <v>0</v>
      </c>
      <c r="G56" s="107">
        <f t="shared" ca="1" si="19"/>
        <v>0</v>
      </c>
      <c r="H56" s="84">
        <f t="shared" ca="1" si="20"/>
        <v>0</v>
      </c>
      <c r="I56" s="84">
        <f t="shared" ca="1" si="21"/>
        <v>0</v>
      </c>
      <c r="J56" s="84">
        <f t="shared" ca="1" si="22"/>
        <v>0</v>
      </c>
      <c r="K56" s="92" t="str">
        <f ca="1">IFERROR(IF(AND('CALLER Portal'!$Y$1 = "False", OverallTable[[#This Row],[Active]] = FALSE), "",OverallTable[[#This Row],[Total Gifts]]/OverallTable[[#This Row],[Contacts]]),"")</f>
        <v/>
      </c>
      <c r="L56" s="92" t="str">
        <f ca="1">IF(AND('CALLER Portal'!$Y$1 = "False", OverallTable[[#This Row],[Active]] = FALSE), "", IF(C56 = 0,"",IFERROR((E56+F56)/D56,0)))</f>
        <v/>
      </c>
      <c r="M56" s="92" t="str">
        <f ca="1">IF(AND('CALLER Portal'!$Y$1 = "False", OverallTable[[#This Row],[Active]] = FALSE), "",IF(C56 = 0,"",IFERROR(F56/D56,0)))</f>
        <v/>
      </c>
      <c r="N56" s="85" t="str">
        <f ca="1">IF(AND('CALLER Portal'!$Y$1 = "False", OverallTable[[#This Row],[Active]] = FALSE), "", IFERROR((H56+I56)/C56,""))</f>
        <v/>
      </c>
      <c r="O56" s="170" t="str">
        <f ca="1">IF(AND('CALLER Portal'!$Y$1 = "False", OverallTable[[#This Row],[Active]] = FALSE),"",IF(C56 = 0,"",IFERROR((E56+F56)/C56,0)))</f>
        <v/>
      </c>
      <c r="P56" s="170" t="str">
        <f ca="1">IF(AND('CALLER Portal'!$Y$1 = "False", OverallTable[[#This Row],[Active]] = FALSE), "", IF(C56 = 0,"",IFERROR((F56)/C56,0)))</f>
        <v/>
      </c>
      <c r="Q56" s="86" t="str">
        <f t="shared" ca="1" si="23"/>
        <v/>
      </c>
      <c r="R56" s="86" t="str">
        <f ca="1">IFERROR(_xlfn.PERCENTRANK.INC(OverallTable[F-Score], OverallTable[[#This Row],[F-Score]]),"")</f>
        <v/>
      </c>
      <c r="S56"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56" s="116" t="str">
        <f t="shared" ca="1" si="24"/>
        <v/>
      </c>
      <c r="U56" s="117" t="str">
        <f t="shared" ca="1" si="25"/>
        <v/>
      </c>
      <c r="V56" s="117" t="str">
        <f t="shared" ca="1" si="26"/>
        <v/>
      </c>
      <c r="W56" s="117" t="str">
        <f t="shared" ca="1" si="27"/>
        <v/>
      </c>
      <c r="X56" s="117" t="str">
        <f t="shared" ca="1" si="28"/>
        <v/>
      </c>
      <c r="Y56" s="117" t="str">
        <f t="shared" ca="1" si="29"/>
        <v/>
      </c>
      <c r="Z56" s="141" t="str">
        <f>IFERROR(IF('CALLER Portal'!$Y$1 = "TRUE", OverallTable[[#This Row],[Name]],IF(AND('CALLER Portal'!$Y$1 = "FALSE", OverallTable[[#This Row],[Active]] = TRUE),OverallTable[[#This Row],[Name]],"(Blank)")),"")</f>
        <v xml:space="preserve">Francis Lougan </v>
      </c>
      <c r="AB56" s="73" t="s">
        <v>282</v>
      </c>
    </row>
    <row r="57" spans="1:66" x14ac:dyDescent="0.25">
      <c r="A57" s="82" t="s">
        <v>282</v>
      </c>
      <c r="B57" s="134" t="b">
        <v>1</v>
      </c>
      <c r="C57" s="83">
        <f t="shared" ca="1" si="15"/>
        <v>18.564</v>
      </c>
      <c r="D57" s="83">
        <f t="shared" ca="1" si="16"/>
        <v>28</v>
      </c>
      <c r="E57" s="83">
        <f t="shared" ca="1" si="17"/>
        <v>16</v>
      </c>
      <c r="F57" s="83">
        <f t="shared" ca="1" si="18"/>
        <v>4</v>
      </c>
      <c r="G57" s="107">
        <f t="shared" ca="1" si="19"/>
        <v>105</v>
      </c>
      <c r="H57" s="84">
        <f t="shared" ca="1" si="20"/>
        <v>443</v>
      </c>
      <c r="I57" s="84">
        <f t="shared" ca="1" si="21"/>
        <v>480</v>
      </c>
      <c r="J57" s="84">
        <f t="shared" ca="1" si="22"/>
        <v>1278</v>
      </c>
      <c r="K57" s="92">
        <f ca="1">IFERROR(IF(AND('CALLER Portal'!$Y$1 = "False", OverallTable[[#This Row],[Active]] = FALSE), "",OverallTable[[#This Row],[Total Gifts]]/OverallTable[[#This Row],[Contacts]]),"")</f>
        <v>0.26666666666666666</v>
      </c>
      <c r="L57" s="92">
        <f ca="1">IF(AND('CALLER Portal'!$Y$1 = "False", OverallTable[[#This Row],[Active]] = FALSE), "", IF(C57 = 0,"",IFERROR((E57+F57)/D57,0)))</f>
        <v>0.7142857142857143</v>
      </c>
      <c r="M57" s="92">
        <f ca="1">IF(AND('CALLER Portal'!$Y$1 = "False", OverallTable[[#This Row],[Active]] = FALSE), "",IF(C57 = 0,"",IFERROR(F57/D57,0)))</f>
        <v>0.14285714285714285</v>
      </c>
      <c r="N57" s="85">
        <f ca="1">IF(AND('CALLER Portal'!$Y$1 = "False", OverallTable[[#This Row],[Active]] = FALSE), "", IFERROR((H57+I57)/C57,""))</f>
        <v>49.719887955182074</v>
      </c>
      <c r="O57" s="170">
        <f ca="1">IF(AND('CALLER Portal'!$Y$1 = "False", OverallTable[[#This Row],[Active]] = FALSE),"",IF(C57 = 0,"",IFERROR((E57+F57)/C57,0)))</f>
        <v>1.0773540185304891</v>
      </c>
      <c r="P57" s="170">
        <f ca="1">IF(AND('CALLER Portal'!$Y$1 = "False", OverallTable[[#This Row],[Active]] = FALSE), "", IF(C57 = 0,"",IFERROR((F57)/C57,0)))</f>
        <v>0.21547080370609784</v>
      </c>
      <c r="Q57" s="86">
        <f t="shared" ca="1" si="23"/>
        <v>5.6561085972850682</v>
      </c>
      <c r="R57" s="86">
        <f ca="1">IFERROR(_xlfn.PERCENTRANK.INC(OverallTable[F-Score], OverallTable[[#This Row],[F-Score]]),"")</f>
        <v>0.72699999999999998</v>
      </c>
      <c r="S57" s="86">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0.66070000000000007</v>
      </c>
      <c r="T57" s="116">
        <f t="shared" ca="1" si="24"/>
        <v>0.5</v>
      </c>
      <c r="U57" s="117">
        <f t="shared" ca="1" si="25"/>
        <v>0.8</v>
      </c>
      <c r="V57" s="117">
        <f t="shared" ca="1" si="26"/>
        <v>0.83299999999999996</v>
      </c>
      <c r="W57" s="117">
        <f t="shared" ca="1" si="27"/>
        <v>0.47699999999999998</v>
      </c>
      <c r="X57" s="117">
        <f t="shared" ca="1" si="28"/>
        <v>0.68799999999999994</v>
      </c>
      <c r="Y57" s="117">
        <f t="shared" ca="1" si="29"/>
        <v>0.84399999999999997</v>
      </c>
      <c r="Z57" s="141" t="str">
        <f>IFERROR(IF('CALLER Portal'!$Y$1 = "TRUE", OverallTable[[#This Row],[Name]],IF(AND('CALLER Portal'!$Y$1 = "FALSE", OverallTable[[#This Row],[Active]] = TRUE),OverallTable[[#This Row],[Name]],"(Blank)")),"")</f>
        <v xml:space="preserve">Frazer Fry </v>
      </c>
      <c r="AB57" s="73" t="s">
        <v>353</v>
      </c>
    </row>
    <row r="58" spans="1:66" s="150" customFormat="1" x14ac:dyDescent="0.25">
      <c r="A58" s="82" t="s">
        <v>353</v>
      </c>
      <c r="B58" s="134" t="b">
        <v>1</v>
      </c>
      <c r="C58" s="83">
        <f t="shared" ca="1" si="15"/>
        <v>0</v>
      </c>
      <c r="D58" s="83">
        <f t="shared" ca="1" si="16"/>
        <v>0</v>
      </c>
      <c r="E58" s="83">
        <f t="shared" ca="1" si="17"/>
        <v>0</v>
      </c>
      <c r="F58" s="83">
        <f t="shared" ca="1" si="18"/>
        <v>0</v>
      </c>
      <c r="G58" s="107">
        <f t="shared" ca="1" si="19"/>
        <v>0</v>
      </c>
      <c r="H58" s="84">
        <f t="shared" ca="1" si="20"/>
        <v>0</v>
      </c>
      <c r="I58" s="84">
        <f t="shared" ca="1" si="21"/>
        <v>0</v>
      </c>
      <c r="J58" s="84">
        <f t="shared" ca="1" si="22"/>
        <v>0</v>
      </c>
      <c r="K58" s="92" t="str">
        <f ca="1">IFERROR(IF(AND('CALLER Portal'!$Y$1 = "False", OverallTable[[#This Row],[Active]] = FALSE), "",OverallTable[[#This Row],[Total Gifts]]/OverallTable[[#This Row],[Contacts]]),"")</f>
        <v/>
      </c>
      <c r="L58" s="92" t="str">
        <f ca="1">IF(AND('CALLER Portal'!$Y$1 = "False", OverallTable[[#This Row],[Active]] = FALSE), "", IF(C58 = 0,"",IFERROR((E58+F58)/D58,0)))</f>
        <v/>
      </c>
      <c r="M58" s="92" t="str">
        <f ca="1">IF(AND('CALLER Portal'!$Y$1 = "False", OverallTable[[#This Row],[Active]] = FALSE), "",IF(C58 = 0,"",IFERROR(F58/D58,0)))</f>
        <v/>
      </c>
      <c r="N58" s="85" t="str">
        <f ca="1">IF(AND('CALLER Portal'!$Y$1 = "False", OverallTable[[#This Row],[Active]] = FALSE), "", IFERROR((H58+I58)/C58,""))</f>
        <v/>
      </c>
      <c r="O58" s="170" t="str">
        <f ca="1">IF(AND('CALLER Portal'!$Y$1 = "False", OverallTable[[#This Row],[Active]] = FALSE),"",IF(C58 = 0,"",IFERROR((E58+F58)/C58,0)))</f>
        <v/>
      </c>
      <c r="P58" s="170" t="str">
        <f ca="1">IF(AND('CALLER Portal'!$Y$1 = "False", OverallTable[[#This Row],[Active]] = FALSE), "", IF(C58 = 0,"",IFERROR((F58)/C58,0)))</f>
        <v/>
      </c>
      <c r="Q58" s="86" t="str">
        <f t="shared" ca="1" si="23"/>
        <v/>
      </c>
      <c r="R58" s="86" t="str">
        <f ca="1">IFERROR(_xlfn.PERCENTRANK.INC(OverallTable[F-Score], OverallTable[[#This Row],[F-Score]]),"")</f>
        <v/>
      </c>
      <c r="S58"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58" s="116" t="str">
        <f t="shared" ca="1" si="24"/>
        <v/>
      </c>
      <c r="U58" s="117" t="str">
        <f t="shared" ca="1" si="25"/>
        <v/>
      </c>
      <c r="V58" s="117" t="str">
        <f t="shared" ca="1" si="26"/>
        <v/>
      </c>
      <c r="W58" s="117" t="str">
        <f t="shared" ca="1" si="27"/>
        <v/>
      </c>
      <c r="X58" s="117" t="str">
        <f t="shared" ca="1" si="28"/>
        <v/>
      </c>
      <c r="Y58" s="117" t="str">
        <f t="shared" ca="1" si="29"/>
        <v/>
      </c>
      <c r="Z58" s="141" t="str">
        <f>IFERROR(IF('CALLER Portal'!$Y$1 = "TRUE", OverallTable[[#This Row],[Name]],IF(AND('CALLER Portal'!$Y$1 = "FALSE", OverallTable[[#This Row],[Active]] = TRUE),OverallTable[[#This Row],[Name]],"(Blank)")),"")</f>
        <v xml:space="preserve">Garrett Frinly </v>
      </c>
      <c r="AA58"/>
      <c r="AB58" s="73" t="s">
        <v>435</v>
      </c>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row>
    <row r="59" spans="1:66" s="158" customFormat="1" x14ac:dyDescent="0.25">
      <c r="A59" s="82" t="s">
        <v>435</v>
      </c>
      <c r="B59" s="134" t="b">
        <v>1</v>
      </c>
      <c r="C59" s="91">
        <f t="shared" ca="1" si="15"/>
        <v>59.871999999999993</v>
      </c>
      <c r="D59" s="91">
        <f t="shared" ca="1" si="16"/>
        <v>77</v>
      </c>
      <c r="E59" s="91">
        <f t="shared" ca="1" si="17"/>
        <v>44</v>
      </c>
      <c r="F59" s="91">
        <f t="shared" ca="1" si="18"/>
        <v>3</v>
      </c>
      <c r="G59" s="107">
        <f t="shared" ca="1" si="19"/>
        <v>334</v>
      </c>
      <c r="H59" s="84">
        <f t="shared" ca="1" si="20"/>
        <v>2775</v>
      </c>
      <c r="I59" s="84">
        <f t="shared" ca="1" si="21"/>
        <v>204</v>
      </c>
      <c r="J59" s="84">
        <f t="shared" ca="1" si="22"/>
        <v>4839</v>
      </c>
      <c r="K59" s="92">
        <f ca="1">IFERROR(IF(AND('CALLER Portal'!$Y$1 = "False", OverallTable[[#This Row],[Active]] = FALSE), "",OverallTable[[#This Row],[Total Gifts]]/OverallTable[[#This Row],[Contacts]]),"")</f>
        <v>0.23053892215568864</v>
      </c>
      <c r="L59" s="92">
        <f ca="1">IF(AND('CALLER Portal'!$Y$1 = "False", OverallTable[[#This Row],[Active]] = FALSE), "", IF(C59 = 0,"",IFERROR((E59+F59)/D59,0)))</f>
        <v>0.61038961038961037</v>
      </c>
      <c r="M59" s="92">
        <f ca="1">IF(AND('CALLER Portal'!$Y$1 = "False", OverallTable[[#This Row],[Active]] = FALSE), "",IF(C59 = 0,"",IFERROR(F59/D59,0)))</f>
        <v>3.896103896103896E-2</v>
      </c>
      <c r="N59" s="85">
        <f ca="1">IF(AND('CALLER Portal'!$Y$1 = "False", OverallTable[[#This Row],[Active]] = FALSE), "", IFERROR((H59+I59)/C59,""))</f>
        <v>49.756146445750943</v>
      </c>
      <c r="O59" s="173">
        <f ca="1">IF(AND('CALLER Portal'!$Y$1 = "False", OverallTable[[#This Row],[Active]] = FALSE),"",IF(C59 = 0,"",IFERROR((E59+F59)/C59,0)))</f>
        <v>0.78500801710315349</v>
      </c>
      <c r="P59" s="173">
        <f ca="1">IF(AND('CALLER Portal'!$Y$1 = "False", OverallTable[[#This Row],[Active]] = FALSE), "", IF(C59 = 0,"",IFERROR((F59)/C59,0)))</f>
        <v>5.0106894708711922E-2</v>
      </c>
      <c r="Q59" s="86">
        <f t="shared" ca="1" si="23"/>
        <v>5.5785676109032609</v>
      </c>
      <c r="R59" s="86">
        <f ca="1">IFERROR(_xlfn.PERCENTRANK.INC(OverallTable[F-Score], OverallTable[[#This Row],[F-Score]]),"")</f>
        <v>0.34</v>
      </c>
      <c r="S59" s="86">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0.4017</v>
      </c>
      <c r="T59" s="201">
        <f t="shared" ca="1" si="24"/>
        <v>0.3</v>
      </c>
      <c r="U59" s="117">
        <f t="shared" ca="1" si="25"/>
        <v>0.52200000000000002</v>
      </c>
      <c r="V59" s="117">
        <f t="shared" ca="1" si="26"/>
        <v>0.33300000000000002</v>
      </c>
      <c r="W59" s="117">
        <f t="shared" ca="1" si="27"/>
        <v>0.48799999999999999</v>
      </c>
      <c r="X59" s="117">
        <f t="shared" ca="1" si="28"/>
        <v>0.38800000000000001</v>
      </c>
      <c r="Y59" s="117">
        <f t="shared" ca="1" si="29"/>
        <v>0.28799999999999998</v>
      </c>
      <c r="Z59" s="141" t="str">
        <f>IFERROR(IF('CALLER Portal'!$Y$1 = "TRUE", OverallTable[[#This Row],[Name]],IF(AND('CALLER Portal'!$Y$1 = "FALSE", OverallTable[[#This Row],[Active]] = TRUE),OverallTable[[#This Row],[Name]],"(Blank)")),"")</f>
        <v xml:space="preserve">George Moran </v>
      </c>
      <c r="AB59" s="73" t="s">
        <v>303</v>
      </c>
    </row>
    <row r="60" spans="1:66" x14ac:dyDescent="0.25">
      <c r="A60" s="82" t="s">
        <v>303</v>
      </c>
      <c r="B60" s="134" t="b">
        <v>1</v>
      </c>
      <c r="C60" s="83">
        <f t="shared" ca="1" si="15"/>
        <v>0</v>
      </c>
      <c r="D60" s="83">
        <f t="shared" ca="1" si="16"/>
        <v>0</v>
      </c>
      <c r="E60" s="83">
        <f t="shared" ca="1" si="17"/>
        <v>0</v>
      </c>
      <c r="F60" s="83">
        <f t="shared" ca="1" si="18"/>
        <v>0</v>
      </c>
      <c r="G60" s="107">
        <f t="shared" ca="1" si="19"/>
        <v>0</v>
      </c>
      <c r="H60" s="84">
        <f t="shared" ca="1" si="20"/>
        <v>0</v>
      </c>
      <c r="I60" s="84">
        <f t="shared" ca="1" si="21"/>
        <v>0</v>
      </c>
      <c r="J60" s="84">
        <f t="shared" ca="1" si="22"/>
        <v>0</v>
      </c>
      <c r="K60" s="92" t="str">
        <f ca="1">IFERROR(IF(AND('CALLER Portal'!$Y$1 = "False", OverallTable[[#This Row],[Active]] = FALSE), "",OverallTable[[#This Row],[Total Gifts]]/OverallTable[[#This Row],[Contacts]]),"")</f>
        <v/>
      </c>
      <c r="L60" s="92" t="str">
        <f ca="1">IF(AND('CALLER Portal'!$Y$1 = "False", OverallTable[[#This Row],[Active]] = FALSE), "", IF(C60 = 0,"",IFERROR((E60+F60)/D60,0)))</f>
        <v/>
      </c>
      <c r="M60" s="92" t="str">
        <f ca="1">IF(AND('CALLER Portal'!$Y$1 = "False", OverallTable[[#This Row],[Active]] = FALSE), "",IF(C60 = 0,"",IFERROR(F60/D60,0)))</f>
        <v/>
      </c>
      <c r="N60" s="85" t="str">
        <f ca="1">IF(AND('CALLER Portal'!$Y$1 = "False", OverallTable[[#This Row],[Active]] = FALSE), "", IFERROR((H60+I60)/C60,""))</f>
        <v/>
      </c>
      <c r="O60" s="170" t="str">
        <f ca="1">IF(AND('CALLER Portal'!$Y$1 = "False", OverallTable[[#This Row],[Active]] = FALSE),"",IF(C60 = 0,"",IFERROR((E60+F60)/C60,0)))</f>
        <v/>
      </c>
      <c r="P60" s="170" t="str">
        <f ca="1">IF(AND('CALLER Portal'!$Y$1 = "False", OverallTable[[#This Row],[Active]] = FALSE), "", IF(C60 = 0,"",IFERROR((F60)/C60,0)))</f>
        <v/>
      </c>
      <c r="Q60" s="86" t="str">
        <f t="shared" ca="1" si="23"/>
        <v/>
      </c>
      <c r="R60" s="86" t="str">
        <f ca="1">IFERROR(_xlfn.PERCENTRANK.INC(OverallTable[F-Score], OverallTable[[#This Row],[F-Score]]),"")</f>
        <v/>
      </c>
      <c r="S60"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60" s="116" t="str">
        <f t="shared" ca="1" si="24"/>
        <v/>
      </c>
      <c r="U60" s="117" t="str">
        <f t="shared" ca="1" si="25"/>
        <v/>
      </c>
      <c r="V60" s="117" t="str">
        <f t="shared" ca="1" si="26"/>
        <v/>
      </c>
      <c r="W60" s="117" t="str">
        <f t="shared" ca="1" si="27"/>
        <v/>
      </c>
      <c r="X60" s="117" t="str">
        <f t="shared" ca="1" si="28"/>
        <v/>
      </c>
      <c r="Y60" s="117" t="str">
        <f t="shared" ca="1" si="29"/>
        <v/>
      </c>
      <c r="Z60" s="141" t="str">
        <f>IFERROR(IF('CALLER Portal'!$Y$1 = "TRUE", OverallTable[[#This Row],[Name]],IF(AND('CALLER Portal'!$Y$1 = "FALSE", OverallTable[[#This Row],[Active]] = TRUE),OverallTable[[#This Row],[Name]],"(Blank)")),"")</f>
        <v xml:space="preserve">Grayson Joymai </v>
      </c>
      <c r="AB60" s="73" t="s">
        <v>331</v>
      </c>
    </row>
    <row r="61" spans="1:66" x14ac:dyDescent="0.25">
      <c r="A61" s="82" t="s">
        <v>331</v>
      </c>
      <c r="B61" s="134" t="b">
        <v>1</v>
      </c>
      <c r="C61" s="83">
        <f t="shared" ca="1" si="15"/>
        <v>0</v>
      </c>
      <c r="D61" s="83">
        <f t="shared" ca="1" si="16"/>
        <v>0</v>
      </c>
      <c r="E61" s="83">
        <f t="shared" ca="1" si="17"/>
        <v>0</v>
      </c>
      <c r="F61" s="83">
        <f t="shared" ca="1" si="18"/>
        <v>0</v>
      </c>
      <c r="G61" s="107">
        <f t="shared" ca="1" si="19"/>
        <v>0</v>
      </c>
      <c r="H61" s="84">
        <f t="shared" ca="1" si="20"/>
        <v>0</v>
      </c>
      <c r="I61" s="84">
        <f t="shared" ca="1" si="21"/>
        <v>0</v>
      </c>
      <c r="J61" s="84">
        <f t="shared" ca="1" si="22"/>
        <v>0</v>
      </c>
      <c r="K61" s="92" t="str">
        <f ca="1">IFERROR(IF(AND('CALLER Portal'!$Y$1 = "False", OverallTable[[#This Row],[Active]] = FALSE), "",OverallTable[[#This Row],[Total Gifts]]/OverallTable[[#This Row],[Contacts]]),"")</f>
        <v/>
      </c>
      <c r="L61" s="92" t="str">
        <f ca="1">IF(AND('CALLER Portal'!$Y$1 = "False", OverallTable[[#This Row],[Active]] = FALSE), "", IF(C61 = 0,"",IFERROR((E61+F61)/D61,0)))</f>
        <v/>
      </c>
      <c r="M61" s="92" t="str">
        <f ca="1">IF(AND('CALLER Portal'!$Y$1 = "False", OverallTable[[#This Row],[Active]] = FALSE), "",IF(C61 = 0,"",IFERROR(F61/D61,0)))</f>
        <v/>
      </c>
      <c r="N61" s="85" t="str">
        <f ca="1">IF(AND('CALLER Portal'!$Y$1 = "False", OverallTable[[#This Row],[Active]] = FALSE), "", IFERROR((H61+I61)/C61,""))</f>
        <v/>
      </c>
      <c r="O61" s="170" t="str">
        <f ca="1">IF(AND('CALLER Portal'!$Y$1 = "False", OverallTable[[#This Row],[Active]] = FALSE),"",IF(C61 = 0,"",IFERROR((E61+F61)/C61,0)))</f>
        <v/>
      </c>
      <c r="P61" s="170" t="str">
        <f ca="1">IF(AND('CALLER Portal'!$Y$1 = "False", OverallTable[[#This Row],[Active]] = FALSE), "", IF(C61 = 0,"",IFERROR((F61)/C61,0)))</f>
        <v/>
      </c>
      <c r="Q61" s="86" t="str">
        <f t="shared" ca="1" si="23"/>
        <v/>
      </c>
      <c r="R61" s="86" t="str">
        <f ca="1">IFERROR(_xlfn.PERCENTRANK.INC(OverallTable[F-Score], OverallTable[[#This Row],[F-Score]]),"")</f>
        <v/>
      </c>
      <c r="S61"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61" s="116" t="str">
        <f t="shared" ca="1" si="24"/>
        <v/>
      </c>
      <c r="U61" s="117" t="str">
        <f t="shared" ca="1" si="25"/>
        <v/>
      </c>
      <c r="V61" s="117" t="str">
        <f t="shared" ca="1" si="26"/>
        <v/>
      </c>
      <c r="W61" s="117" t="str">
        <f t="shared" ca="1" si="27"/>
        <v/>
      </c>
      <c r="X61" s="117" t="str">
        <f t="shared" ca="1" si="28"/>
        <v/>
      </c>
      <c r="Y61" s="117" t="str">
        <f t="shared" ca="1" si="29"/>
        <v/>
      </c>
      <c r="Z61" s="141" t="str">
        <f>IFERROR(IF('CALLER Portal'!$Y$1 = "TRUE", OverallTable[[#This Row],[Name]],IF(AND('CALLER Portal'!$Y$1 = "FALSE", OverallTable[[#This Row],[Active]] = TRUE),OverallTable[[#This Row],[Name]],"(Blank)")),"")</f>
        <v xml:space="preserve">Gregory Jeb </v>
      </c>
      <c r="AB61" s="73" t="s">
        <v>293</v>
      </c>
    </row>
    <row r="62" spans="1:66" x14ac:dyDescent="0.25">
      <c r="A62" s="82" t="s">
        <v>293</v>
      </c>
      <c r="B62" s="134" t="b">
        <v>1</v>
      </c>
      <c r="C62" s="83">
        <f t="shared" ca="1" si="15"/>
        <v>0</v>
      </c>
      <c r="D62" s="83">
        <f t="shared" ca="1" si="16"/>
        <v>0</v>
      </c>
      <c r="E62" s="83">
        <f t="shared" ca="1" si="17"/>
        <v>0</v>
      </c>
      <c r="F62" s="83">
        <f t="shared" ca="1" si="18"/>
        <v>0</v>
      </c>
      <c r="G62" s="107">
        <f t="shared" ca="1" si="19"/>
        <v>0</v>
      </c>
      <c r="H62" s="84">
        <f t="shared" ca="1" si="20"/>
        <v>0</v>
      </c>
      <c r="I62" s="84">
        <f t="shared" ca="1" si="21"/>
        <v>0</v>
      </c>
      <c r="J62" s="84">
        <f t="shared" ca="1" si="22"/>
        <v>0</v>
      </c>
      <c r="K62" s="92" t="str">
        <f ca="1">IFERROR(IF(AND('CALLER Portal'!$Y$1 = "False", OverallTable[[#This Row],[Active]] = FALSE), "",OverallTable[[#This Row],[Total Gifts]]/OverallTable[[#This Row],[Contacts]]),"")</f>
        <v/>
      </c>
      <c r="L62" s="92" t="str">
        <f ca="1">IF(AND('CALLER Portal'!$Y$1 = "False", OverallTable[[#This Row],[Active]] = FALSE), "", IF(C62 = 0,"",IFERROR((E62+F62)/D62,0)))</f>
        <v/>
      </c>
      <c r="M62" s="92" t="str">
        <f ca="1">IF(AND('CALLER Portal'!$Y$1 = "False", OverallTable[[#This Row],[Active]] = FALSE), "",IF(C62 = 0,"",IFERROR(F62/D62,0)))</f>
        <v/>
      </c>
      <c r="N62" s="85" t="str">
        <f ca="1">IF(AND('CALLER Portal'!$Y$1 = "False", OverallTable[[#This Row],[Active]] = FALSE), "", IFERROR((H62+I62)/C62,""))</f>
        <v/>
      </c>
      <c r="O62" s="170" t="str">
        <f ca="1">IF(AND('CALLER Portal'!$Y$1 = "False", OverallTable[[#This Row],[Active]] = FALSE),"",IF(C62 = 0,"",IFERROR((E62+F62)/C62,0)))</f>
        <v/>
      </c>
      <c r="P62" s="170" t="str">
        <f ca="1">IF(AND('CALLER Portal'!$Y$1 = "False", OverallTable[[#This Row],[Active]] = FALSE), "", IF(C62 = 0,"",IFERROR((F62)/C62,0)))</f>
        <v/>
      </c>
      <c r="Q62" s="86" t="str">
        <f t="shared" ca="1" si="23"/>
        <v/>
      </c>
      <c r="R62" s="86" t="str">
        <f ca="1">IFERROR(_xlfn.PERCENTRANK.INC(OverallTable[F-Score], OverallTable[[#This Row],[F-Score]]),"")</f>
        <v/>
      </c>
      <c r="S62"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62" s="116" t="str">
        <f t="shared" ca="1" si="24"/>
        <v/>
      </c>
      <c r="U62" s="117" t="str">
        <f t="shared" ca="1" si="25"/>
        <v/>
      </c>
      <c r="V62" s="117" t="str">
        <f t="shared" ca="1" si="26"/>
        <v/>
      </c>
      <c r="W62" s="117" t="str">
        <f t="shared" ca="1" si="27"/>
        <v/>
      </c>
      <c r="X62" s="117" t="str">
        <f t="shared" ca="1" si="28"/>
        <v/>
      </c>
      <c r="Y62" s="117" t="str">
        <f t="shared" ca="1" si="29"/>
        <v/>
      </c>
      <c r="Z62" s="141" t="str">
        <f>IFERROR(IF('CALLER Portal'!$Y$1 = "TRUE", OverallTable[[#This Row],[Name]],IF(AND('CALLER Portal'!$Y$1 = "FALSE", OverallTable[[#This Row],[Active]] = TRUE),OverallTable[[#This Row],[Name]],"(Blank)")),"")</f>
        <v>Gregory Parson</v>
      </c>
      <c r="AB62" s="73" t="s">
        <v>358</v>
      </c>
    </row>
    <row r="63" spans="1:66" x14ac:dyDescent="0.25">
      <c r="A63" s="82" t="s">
        <v>358</v>
      </c>
      <c r="B63" s="134" t="b">
        <v>1</v>
      </c>
      <c r="C63" s="83">
        <f t="shared" ca="1" si="15"/>
        <v>0</v>
      </c>
      <c r="D63" s="83">
        <f t="shared" ca="1" si="16"/>
        <v>0</v>
      </c>
      <c r="E63" s="83">
        <f t="shared" ca="1" si="17"/>
        <v>0</v>
      </c>
      <c r="F63" s="83">
        <f t="shared" ca="1" si="18"/>
        <v>0</v>
      </c>
      <c r="G63" s="107">
        <f t="shared" ca="1" si="19"/>
        <v>0</v>
      </c>
      <c r="H63" s="84">
        <f t="shared" ca="1" si="20"/>
        <v>0</v>
      </c>
      <c r="I63" s="84">
        <f t="shared" ca="1" si="21"/>
        <v>0</v>
      </c>
      <c r="J63" s="84">
        <f t="shared" ca="1" si="22"/>
        <v>0</v>
      </c>
      <c r="K63" s="92" t="str">
        <f ca="1">IFERROR(IF(AND('CALLER Portal'!$Y$1 = "False", OverallTable[[#This Row],[Active]] = FALSE), "",OverallTable[[#This Row],[Total Gifts]]/OverallTable[[#This Row],[Contacts]]),"")</f>
        <v/>
      </c>
      <c r="L63" s="92" t="str">
        <f ca="1">IF(AND('CALLER Portal'!$Y$1 = "False", OverallTable[[#This Row],[Active]] = FALSE), "", IF(C63 = 0,"",IFERROR((E63+F63)/D63,0)))</f>
        <v/>
      </c>
      <c r="M63" s="92" t="str">
        <f ca="1">IF(AND('CALLER Portal'!$Y$1 = "False", OverallTable[[#This Row],[Active]] = FALSE), "",IF(C63 = 0,"",IFERROR(F63/D63,0)))</f>
        <v/>
      </c>
      <c r="N63" s="85" t="str">
        <f ca="1">IF(AND('CALLER Portal'!$Y$1 = "False", OverallTable[[#This Row],[Active]] = FALSE), "", IFERROR((H63+I63)/C63,""))</f>
        <v/>
      </c>
      <c r="O63" s="170" t="str">
        <f ca="1">IF(AND('CALLER Portal'!$Y$1 = "False", OverallTable[[#This Row],[Active]] = FALSE),"",IF(C63 = 0,"",IFERROR((E63+F63)/C63,0)))</f>
        <v/>
      </c>
      <c r="P63" s="170" t="str">
        <f ca="1">IF(AND('CALLER Portal'!$Y$1 = "False", OverallTable[[#This Row],[Active]] = FALSE), "", IF(C63 = 0,"",IFERROR((F63)/C63,0)))</f>
        <v/>
      </c>
      <c r="Q63" s="86" t="str">
        <f t="shared" ca="1" si="23"/>
        <v/>
      </c>
      <c r="R63" s="86" t="str">
        <f ca="1">IFERROR(_xlfn.PERCENTRANK.INC(OverallTable[F-Score], OverallTable[[#This Row],[F-Score]]),"")</f>
        <v/>
      </c>
      <c r="S63"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63" s="116" t="str">
        <f t="shared" ca="1" si="24"/>
        <v/>
      </c>
      <c r="U63" s="117" t="str">
        <f t="shared" ca="1" si="25"/>
        <v/>
      </c>
      <c r="V63" s="117" t="str">
        <f t="shared" ca="1" si="26"/>
        <v/>
      </c>
      <c r="W63" s="117" t="str">
        <f t="shared" ca="1" si="27"/>
        <v/>
      </c>
      <c r="X63" s="117" t="str">
        <f t="shared" ca="1" si="28"/>
        <v/>
      </c>
      <c r="Y63" s="117" t="str">
        <f t="shared" ca="1" si="29"/>
        <v/>
      </c>
      <c r="Z63" s="141" t="str">
        <f>IFERROR(IF('CALLER Portal'!$Y$1 = "TRUE", OverallTable[[#This Row],[Name]],IF(AND('CALLER Portal'!$Y$1 = "FALSE", OverallTable[[#This Row],[Active]] = TRUE),OverallTable[[#This Row],[Name]],"(Blank)")),"")</f>
        <v xml:space="preserve">Haleemah Schmitt </v>
      </c>
      <c r="AB63" s="73" t="s">
        <v>354</v>
      </c>
    </row>
    <row r="64" spans="1:66" x14ac:dyDescent="0.25">
      <c r="A64" s="82" t="s">
        <v>354</v>
      </c>
      <c r="B64" s="134" t="b">
        <v>1</v>
      </c>
      <c r="C64" s="83">
        <f t="shared" ca="1" si="15"/>
        <v>57.718000000000004</v>
      </c>
      <c r="D64" s="83">
        <f t="shared" ca="1" si="16"/>
        <v>71</v>
      </c>
      <c r="E64" s="83">
        <f t="shared" ca="1" si="17"/>
        <v>39</v>
      </c>
      <c r="F64" s="83">
        <f t="shared" ca="1" si="18"/>
        <v>2</v>
      </c>
      <c r="G64" s="107">
        <f t="shared" ca="1" si="19"/>
        <v>235</v>
      </c>
      <c r="H64" s="84">
        <f t="shared" ca="1" si="20"/>
        <v>2850</v>
      </c>
      <c r="I64" s="84">
        <f t="shared" ca="1" si="21"/>
        <v>180</v>
      </c>
      <c r="J64" s="84">
        <f t="shared" ca="1" si="22"/>
        <v>4630</v>
      </c>
      <c r="K64" s="92">
        <f ca="1">IFERROR(IF(AND('CALLER Portal'!$Y$1 = "False", OverallTable[[#This Row],[Active]] = FALSE), "",OverallTable[[#This Row],[Total Gifts]]/OverallTable[[#This Row],[Contacts]]),"")</f>
        <v>0.30212765957446808</v>
      </c>
      <c r="L64" s="92">
        <f ca="1">IF(AND('CALLER Portal'!$Y$1 = "False", OverallTable[[#This Row],[Active]] = FALSE), "", IF(C64 = 0,"",IFERROR((E64+F64)/D64,0)))</f>
        <v>0.57746478873239437</v>
      </c>
      <c r="M64" s="92">
        <f ca="1">IF(AND('CALLER Portal'!$Y$1 = "False", OverallTable[[#This Row],[Active]] = FALSE), "",IF(C64 = 0,"",IFERROR(F64/D64,0)))</f>
        <v>2.8169014084507043E-2</v>
      </c>
      <c r="N64" s="85">
        <f ca="1">IF(AND('CALLER Portal'!$Y$1 = "False", OverallTable[[#This Row],[Active]] = FALSE), "", IFERROR((H64+I64)/C64,""))</f>
        <v>52.496621504556636</v>
      </c>
      <c r="O64" s="170">
        <f ca="1">IF(AND('CALLER Portal'!$Y$1 = "False", OverallTable[[#This Row],[Active]] = FALSE),"",IF(C64 = 0,"",IFERROR((E64+F64)/C64,0)))</f>
        <v>0.71035032398905018</v>
      </c>
      <c r="P64" s="170">
        <f ca="1">IF(AND('CALLER Portal'!$Y$1 = "False", OverallTable[[#This Row],[Active]] = FALSE), "", IF(C64 = 0,"",IFERROR((F64)/C64,0)))</f>
        <v>3.4651235316539034E-2</v>
      </c>
      <c r="Q64" s="86">
        <f t="shared" ca="1" si="23"/>
        <v>4.0715201496933364</v>
      </c>
      <c r="R64" s="86">
        <f ca="1">IFERROR(_xlfn.PERCENTRANK.INC(OverallTable[F-Score], OverallTable[[#This Row],[F-Score]]),"")</f>
        <v>0.375</v>
      </c>
      <c r="S64" s="86">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0.42860000000000004</v>
      </c>
      <c r="T64" s="116">
        <f t="shared" ca="1" si="24"/>
        <v>0.622</v>
      </c>
      <c r="U64" s="117">
        <f t="shared" ca="1" si="25"/>
        <v>0.42199999999999999</v>
      </c>
      <c r="V64" s="117">
        <f t="shared" ca="1" si="26"/>
        <v>0.23300000000000001</v>
      </c>
      <c r="W64" s="117">
        <f t="shared" ca="1" si="27"/>
        <v>0.54400000000000004</v>
      </c>
      <c r="X64" s="117">
        <f t="shared" ca="1" si="28"/>
        <v>0.32200000000000001</v>
      </c>
      <c r="Y64" s="117">
        <f t="shared" ca="1" si="29"/>
        <v>0.23300000000000001</v>
      </c>
      <c r="Z64" s="141" t="str">
        <f>IFERROR(IF('CALLER Portal'!$Y$1 = "TRUE", OverallTable[[#This Row],[Name]],IF(AND('CALLER Portal'!$Y$1 = "FALSE", OverallTable[[#This Row],[Active]] = TRUE),OverallTable[[#This Row],[Name]],"(Blank)")),"")</f>
        <v xml:space="preserve">Harlan Gameron </v>
      </c>
      <c r="AB64" s="73" t="s">
        <v>362</v>
      </c>
    </row>
    <row r="65" spans="1:28" x14ac:dyDescent="0.25">
      <c r="A65" s="158" t="s">
        <v>362</v>
      </c>
      <c r="B65" s="134" t="b">
        <v>1</v>
      </c>
      <c r="C65" s="239">
        <f t="shared" ca="1" si="15"/>
        <v>56.210999999999999</v>
      </c>
      <c r="D65" s="239">
        <f t="shared" ca="1" si="16"/>
        <v>136</v>
      </c>
      <c r="E65" s="239">
        <f t="shared" ca="1" si="17"/>
        <v>75</v>
      </c>
      <c r="F65" s="239">
        <f t="shared" ca="1" si="18"/>
        <v>2</v>
      </c>
      <c r="G65" s="240">
        <f t="shared" ca="1" si="19"/>
        <v>461</v>
      </c>
      <c r="H65" s="241">
        <f t="shared" ca="1" si="20"/>
        <v>4034</v>
      </c>
      <c r="I65" s="241">
        <f t="shared" ca="1" si="21"/>
        <v>420</v>
      </c>
      <c r="J65" s="241">
        <f t="shared" ca="1" si="22"/>
        <v>7819</v>
      </c>
      <c r="K65" s="242">
        <f ca="1">IFERROR(IF(AND('CALLER Portal'!$Y$1 = "False", OverallTable[[#This Row],[Active]] = FALSE), "",OverallTable[[#This Row],[Total Gifts]]/OverallTable[[#This Row],[Contacts]]),"")</f>
        <v>0.29501084598698479</v>
      </c>
      <c r="L65" s="242">
        <f ca="1">IF(AND('CALLER Portal'!$Y$1 = "False", OverallTable[[#This Row],[Active]] = FALSE), "", IF(C65 = 0,"",IFERROR((E65+F65)/D65,0)))</f>
        <v>0.56617647058823528</v>
      </c>
      <c r="M65" s="242">
        <f ca="1">IF(AND('CALLER Portal'!$Y$1 = "False", OverallTable[[#This Row],[Active]] = FALSE), "",IF(C65 = 0,"",IFERROR(F65/D65,0)))</f>
        <v>1.4705882352941176E-2</v>
      </c>
      <c r="N65" s="243">
        <f ca="1">IF(AND('CALLER Portal'!$Y$1 = "False", OverallTable[[#This Row],[Active]] = FALSE), "", IFERROR((H65+I65)/C65,""))</f>
        <v>79.237159986479512</v>
      </c>
      <c r="O65" s="244">
        <f ca="1">IF(AND('CALLER Portal'!$Y$1 = "False", OverallTable[[#This Row],[Active]] = FALSE),"",IF(C65 = 0,"",IFERROR((E65+F65)/C65,0)))</f>
        <v>1.3698386436818417</v>
      </c>
      <c r="P65" s="244">
        <f ca="1">IF(AND('CALLER Portal'!$Y$1 = "False", OverallTable[[#This Row],[Active]] = FALSE), "", IF(C65 = 0,"",IFERROR((F65)/C65,0)))</f>
        <v>3.5580224511216667E-2</v>
      </c>
      <c r="Q65" s="245">
        <f t="shared" ca="1" si="23"/>
        <v>8.2012417498354413</v>
      </c>
      <c r="R65" s="245">
        <f ca="1">IFERROR(_xlfn.PERCENTRANK.INC(OverallTable[F-Score], OverallTable[[#This Row],[F-Score]]),"")</f>
        <v>0.625</v>
      </c>
      <c r="S65" s="245">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0.58260000000000001</v>
      </c>
      <c r="T65" s="159">
        <f t="shared" ca="1" si="24"/>
        <v>0.58799999999999997</v>
      </c>
      <c r="U65" s="141">
        <f t="shared" ca="1" si="25"/>
        <v>0.377</v>
      </c>
      <c r="V65" s="141">
        <f t="shared" ca="1" si="26"/>
        <v>0.188</v>
      </c>
      <c r="W65" s="141">
        <f t="shared" ca="1" si="27"/>
        <v>0.84399999999999997</v>
      </c>
      <c r="X65" s="141">
        <f t="shared" ca="1" si="28"/>
        <v>0.88800000000000001</v>
      </c>
      <c r="Y65" s="141">
        <f t="shared" ca="1" si="29"/>
        <v>0.24399999999999999</v>
      </c>
      <c r="Z65" s="141" t="str">
        <f>IFERROR(IF('CALLER Portal'!$Y$1 = "TRUE", OverallTable[[#This Row],[Name]],IF(AND('CALLER Portal'!$Y$1 = "FALSE", OverallTable[[#This Row],[Active]] = TRUE),OverallTable[[#This Row],[Name]],"(Blank)")),"")</f>
        <v xml:space="preserve">Humera Humphree </v>
      </c>
      <c r="AB65" s="73" t="s">
        <v>307</v>
      </c>
    </row>
    <row r="66" spans="1:28" x14ac:dyDescent="0.25">
      <c r="A66" s="82" t="s">
        <v>307</v>
      </c>
      <c r="B66" s="134" t="b">
        <v>1</v>
      </c>
      <c r="C66" s="83">
        <f t="shared" ref="C66:C97" ca="1" si="30">SUMPRODUCT(SUMIF(INDIRECT("'"&amp;SheetList&amp;"'!B4:B150"),$A66,INDIRECT("'"&amp;SheetList&amp;"'!C4:C150")))</f>
        <v>0</v>
      </c>
      <c r="D66" s="83">
        <f t="shared" ref="D66:D97" ca="1" si="31">SUMPRODUCT(SUMIF(INDIRECT("'"&amp;SheetList&amp;"'!B4:B150"),$A66,INDIRECT("'"&amp;SheetList&amp;"'!D4:D150")))</f>
        <v>0</v>
      </c>
      <c r="E66" s="83">
        <f t="shared" ref="E66:E97" ca="1" si="32">SUMPRODUCT(SUMIF(INDIRECT("'"&amp;SheetList&amp;"'!B4:B150"),$A66,INDIRECT("'"&amp;SheetList&amp;"'!E4:E150")))</f>
        <v>0</v>
      </c>
      <c r="F66" s="83">
        <f t="shared" ref="F66:F97" ca="1" si="33">SUMPRODUCT(SUMIF(INDIRECT("'"&amp;SheetList&amp;"'!B4:B150"),$A66,INDIRECT("'"&amp;SheetList&amp;"'!F4:F150")))</f>
        <v>0</v>
      </c>
      <c r="G66" s="107">
        <f t="shared" ref="G66:G97" ca="1" si="34">SUMPRODUCT(SUMIF(INDIRECT("'"&amp;SheetList&amp;"'!B4:B150"),$A66,INDIRECT("'"&amp;SheetList&amp;"'!G4:G150")))</f>
        <v>0</v>
      </c>
      <c r="H66" s="84">
        <f t="shared" ref="H66:H97" ca="1" si="35">SUMPRODUCT(SUMIF(INDIRECT("'"&amp;SheetList&amp;"'!B4:B150"),$A66,INDIRECT("'"&amp;SheetList&amp;"'!h4:h150")))</f>
        <v>0</v>
      </c>
      <c r="I66" s="84">
        <f t="shared" ref="I66:I97" ca="1" si="36">SUMPRODUCT(SUMIF(INDIRECT("'"&amp;SheetList&amp;"'!B4:B150"),$A66,INDIRECT("'"&amp;SheetList&amp;"'!i4:i150")))</f>
        <v>0</v>
      </c>
      <c r="J66" s="84">
        <f t="shared" ref="J66:J97" ca="1" si="37">SUMPRODUCT(SUMIF(INDIRECT("'"&amp;SheetList&amp;"'!B4:B150"),$A66,INDIRECT("'"&amp;SheetList&amp;"'!j4:j150")))</f>
        <v>0</v>
      </c>
      <c r="K66" s="92" t="str">
        <f ca="1">IFERROR(IF(AND('CALLER Portal'!$Y$1 = "False", OverallTable[[#This Row],[Active]] = FALSE), "",OverallTable[[#This Row],[Total Gifts]]/OverallTable[[#This Row],[Contacts]]),"")</f>
        <v/>
      </c>
      <c r="L66" s="92" t="str">
        <f ca="1">IF(AND('CALLER Portal'!$Y$1 = "False", OverallTable[[#This Row],[Active]] = FALSE), "", IF(C66 = 0,"",IFERROR((E66+F66)/D66,0)))</f>
        <v/>
      </c>
      <c r="M66" s="92" t="str">
        <f ca="1">IF(AND('CALLER Portal'!$Y$1 = "False", OverallTable[[#This Row],[Active]] = FALSE), "",IF(C66 = 0,"",IFERROR(F66/D66,0)))</f>
        <v/>
      </c>
      <c r="N66" s="85" t="str">
        <f ca="1">IF(AND('CALLER Portal'!$Y$1 = "False", OverallTable[[#This Row],[Active]] = FALSE), "", IFERROR((H66+I66)/C66,""))</f>
        <v/>
      </c>
      <c r="O66" s="170" t="str">
        <f ca="1">IF(AND('CALLER Portal'!$Y$1 = "False", OverallTable[[#This Row],[Active]] = FALSE),"",IF(C66 = 0,"",IFERROR((E66+F66)/C66,0)))</f>
        <v/>
      </c>
      <c r="P66" s="170" t="str">
        <f ca="1">IF(AND('CALLER Portal'!$Y$1 = "False", OverallTable[[#This Row],[Active]] = FALSE), "", IF(C66 = 0,"",IFERROR((F66)/C66,0)))</f>
        <v/>
      </c>
      <c r="Q66" s="86" t="str">
        <f t="shared" ref="Q66:Q97" ca="1" si="38">IFERROR(G66/C66,"")</f>
        <v/>
      </c>
      <c r="R66" s="86" t="str">
        <f ca="1">IFERROR(_xlfn.PERCENTRANK.INC(OverallTable[F-Score], OverallTable[[#This Row],[F-Score]]),"")</f>
        <v/>
      </c>
      <c r="S66"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66" s="116" t="str">
        <f t="shared" ref="T66:T97" ca="1" si="39">IFERROR(_xlfn.PERCENTRANK.EXC(K:K, K66), "")</f>
        <v/>
      </c>
      <c r="U66" s="117" t="str">
        <f t="shared" ref="U66:U97" ca="1" si="40">IFERROR(_xlfn.PERCENTRANK.EXC(L:L, L66), "")</f>
        <v/>
      </c>
      <c r="V66" s="117" t="str">
        <f t="shared" ref="V66:V97" ca="1" si="41">IFERROR(_xlfn.PERCENTRANK.EXC(M:M, M66), "")</f>
        <v/>
      </c>
      <c r="W66" s="117" t="str">
        <f t="shared" ref="W66:W97" ca="1" si="42">IFERROR(_xlfn.PERCENTRANK.EXC(N:N, N66), "")</f>
        <v/>
      </c>
      <c r="X66" s="117" t="str">
        <f t="shared" ref="X66:X97" ca="1" si="43">IFERROR(_xlfn.PERCENTRANK.EXC(O:O, O66), "")</f>
        <v/>
      </c>
      <c r="Y66" s="117" t="str">
        <f t="shared" ref="Y66:Y97" ca="1" si="44">IFERROR(_xlfn.PERCENTRANK.EXC(P:P, P66), "")</f>
        <v/>
      </c>
      <c r="Z66" s="141" t="str">
        <f>IFERROR(IF('CALLER Portal'!$Y$1 = "TRUE", OverallTable[[#This Row],[Name]],IF(AND('CALLER Portal'!$Y$1 = "FALSE", OverallTable[[#This Row],[Active]] = TRUE),OverallTable[[#This Row],[Name]],"(Blank)")),"")</f>
        <v xml:space="preserve">Isabelle Whiton </v>
      </c>
      <c r="AB66" s="73" t="s">
        <v>278</v>
      </c>
    </row>
    <row r="67" spans="1:28" x14ac:dyDescent="0.25">
      <c r="A67" s="82" t="s">
        <v>278</v>
      </c>
      <c r="B67" s="134" t="b">
        <v>1</v>
      </c>
      <c r="C67" s="83">
        <f t="shared" ca="1" si="30"/>
        <v>0</v>
      </c>
      <c r="D67" s="83">
        <f t="shared" ca="1" si="31"/>
        <v>0</v>
      </c>
      <c r="E67" s="83">
        <f t="shared" ca="1" si="32"/>
        <v>0</v>
      </c>
      <c r="F67" s="83">
        <f t="shared" ca="1" si="33"/>
        <v>0</v>
      </c>
      <c r="G67" s="107">
        <f t="shared" ca="1" si="34"/>
        <v>0</v>
      </c>
      <c r="H67" s="84">
        <f t="shared" ca="1" si="35"/>
        <v>0</v>
      </c>
      <c r="I67" s="84">
        <f t="shared" ca="1" si="36"/>
        <v>0</v>
      </c>
      <c r="J67" s="84">
        <f t="shared" ca="1" si="37"/>
        <v>0</v>
      </c>
      <c r="K67" s="92" t="str">
        <f ca="1">IFERROR(IF(AND('CALLER Portal'!$Y$1 = "False", OverallTable[[#This Row],[Active]] = FALSE), "",OverallTable[[#This Row],[Total Gifts]]/OverallTable[[#This Row],[Contacts]]),"")</f>
        <v/>
      </c>
      <c r="L67" s="92" t="str">
        <f ca="1">IF(AND('CALLER Portal'!$Y$1 = "False", OverallTable[[#This Row],[Active]] = FALSE), "", IF(C67 = 0,"",IFERROR((E67+F67)/D67,0)))</f>
        <v/>
      </c>
      <c r="M67" s="92" t="str">
        <f ca="1">IF(AND('CALLER Portal'!$Y$1 = "False", OverallTable[[#This Row],[Active]] = FALSE), "",IF(C67 = 0,"",IFERROR(F67/D67,0)))</f>
        <v/>
      </c>
      <c r="N67" s="85" t="str">
        <f ca="1">IF(AND('CALLER Portal'!$Y$1 = "False", OverallTable[[#This Row],[Active]] = FALSE), "", IFERROR((H67+I67)/C67,""))</f>
        <v/>
      </c>
      <c r="O67" s="170" t="str">
        <f ca="1">IF(AND('CALLER Portal'!$Y$1 = "False", OverallTable[[#This Row],[Active]] = FALSE),"",IF(C67 = 0,"",IFERROR((E67+F67)/C67,0)))</f>
        <v/>
      </c>
      <c r="P67" s="170" t="str">
        <f ca="1">IF(AND('CALLER Portal'!$Y$1 = "False", OverallTable[[#This Row],[Active]] = FALSE), "", IF(C67 = 0,"",IFERROR((F67)/C67,0)))</f>
        <v/>
      </c>
      <c r="Q67" s="86" t="str">
        <f t="shared" ca="1" si="38"/>
        <v/>
      </c>
      <c r="R67" s="86" t="str">
        <f ca="1">IFERROR(_xlfn.PERCENTRANK.INC(OverallTable[F-Score], OverallTable[[#This Row],[F-Score]]),"")</f>
        <v/>
      </c>
      <c r="S67"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67" s="116" t="str">
        <f t="shared" ca="1" si="39"/>
        <v/>
      </c>
      <c r="U67" s="117" t="str">
        <f t="shared" ca="1" si="40"/>
        <v/>
      </c>
      <c r="V67" s="117" t="str">
        <f t="shared" ca="1" si="41"/>
        <v/>
      </c>
      <c r="W67" s="117" t="str">
        <f t="shared" ca="1" si="42"/>
        <v/>
      </c>
      <c r="X67" s="117" t="str">
        <f t="shared" ca="1" si="43"/>
        <v/>
      </c>
      <c r="Y67" s="117" t="str">
        <f t="shared" ca="1" si="44"/>
        <v/>
      </c>
      <c r="Z67" s="141" t="str">
        <f>IFERROR(IF('CALLER Portal'!$Y$1 = "TRUE", OverallTable[[#This Row],[Name]],IF(AND('CALLER Portal'!$Y$1 = "FALSE", OverallTable[[#This Row],[Active]] = TRUE),OverallTable[[#This Row],[Name]],"(Blank)")),"")</f>
        <v xml:space="preserve">Isha Perry </v>
      </c>
      <c r="AB67" s="73" t="s">
        <v>356</v>
      </c>
    </row>
    <row r="68" spans="1:28" x14ac:dyDescent="0.25">
      <c r="A68" s="82" t="s">
        <v>356</v>
      </c>
      <c r="B68" s="134" t="b">
        <v>1</v>
      </c>
      <c r="C68" s="83">
        <f t="shared" ca="1" si="30"/>
        <v>78.273999999999987</v>
      </c>
      <c r="D68" s="83">
        <f t="shared" ca="1" si="31"/>
        <v>95</v>
      </c>
      <c r="E68" s="83">
        <f t="shared" ca="1" si="32"/>
        <v>62</v>
      </c>
      <c r="F68" s="83">
        <f t="shared" ca="1" si="33"/>
        <v>4</v>
      </c>
      <c r="G68" s="107">
        <f t="shared" ca="1" si="34"/>
        <v>384</v>
      </c>
      <c r="H68" s="84">
        <f t="shared" ca="1" si="35"/>
        <v>2951</v>
      </c>
      <c r="I68" s="84">
        <f t="shared" ca="1" si="36"/>
        <v>880</v>
      </c>
      <c r="J68" s="84">
        <f t="shared" ca="1" si="37"/>
        <v>5451</v>
      </c>
      <c r="K68" s="92">
        <f ca="1">IFERROR(IF(AND('CALLER Portal'!$Y$1 = "False", OverallTable[[#This Row],[Active]] = FALSE), "",OverallTable[[#This Row],[Total Gifts]]/OverallTable[[#This Row],[Contacts]]),"")</f>
        <v>0.24739583333333334</v>
      </c>
      <c r="L68" s="92">
        <f ca="1">IF(AND('CALLER Portal'!$Y$1 = "False", OverallTable[[#This Row],[Active]] = FALSE), "", IF(C68 = 0,"",IFERROR((E68+F68)/D68,0)))</f>
        <v>0.69473684210526321</v>
      </c>
      <c r="M68" s="92">
        <f ca="1">IF(AND('CALLER Portal'!$Y$1 = "False", OverallTable[[#This Row],[Active]] = FALSE), "",IF(C68 = 0,"",IFERROR(F68/D68,0)))</f>
        <v>4.2105263157894736E-2</v>
      </c>
      <c r="N68" s="85">
        <f ca="1">IF(AND('CALLER Portal'!$Y$1 = "False", OverallTable[[#This Row],[Active]] = FALSE), "", IFERROR((H68+I68)/C68,""))</f>
        <v>48.943455042542872</v>
      </c>
      <c r="O68" s="170">
        <f ca="1">IF(AND('CALLER Portal'!$Y$1 = "False", OverallTable[[#This Row],[Active]] = FALSE),"",IF(C68 = 0,"",IFERROR((E68+F68)/C68,0)))</f>
        <v>0.84319186447607142</v>
      </c>
      <c r="P68" s="170">
        <f ca="1">IF(AND('CALLER Portal'!$Y$1 = "False", OverallTable[[#This Row],[Active]] = FALSE), "", IF(C68 = 0,"",IFERROR((F68)/C68,0)))</f>
        <v>5.1102537240974022E-2</v>
      </c>
      <c r="Q68" s="86">
        <f t="shared" ca="1" si="38"/>
        <v>4.9058435751335061</v>
      </c>
      <c r="R68" s="86">
        <f ca="1">IFERROR(_xlfn.PERCENTRANK.INC(OverallTable[F-Score], OverallTable[[#This Row],[F-Score]]),"")</f>
        <v>0.46500000000000002</v>
      </c>
      <c r="S68" s="86">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0.48070000000000002</v>
      </c>
      <c r="T68" s="116">
        <f t="shared" ca="1" si="39"/>
        <v>0.42199999999999999</v>
      </c>
      <c r="U68" s="117">
        <f t="shared" ca="1" si="40"/>
        <v>0.76600000000000001</v>
      </c>
      <c r="V68" s="117">
        <f t="shared" ca="1" si="41"/>
        <v>0.35499999999999998</v>
      </c>
      <c r="W68" s="117">
        <f t="shared" ca="1" si="42"/>
        <v>0.42199999999999999</v>
      </c>
      <c r="X68" s="117">
        <f t="shared" ca="1" si="43"/>
        <v>0.46600000000000003</v>
      </c>
      <c r="Y68" s="117">
        <f t="shared" ca="1" si="44"/>
        <v>0.3</v>
      </c>
      <c r="Z68" s="141" t="str">
        <f>IFERROR(IF('CALLER Portal'!$Y$1 = "TRUE", OverallTable[[#This Row],[Name]],IF(AND('CALLER Portal'!$Y$1 = "FALSE", OverallTable[[#This Row],[Active]] = TRUE),OverallTable[[#This Row],[Name]],"(Blank)")),"")</f>
        <v xml:space="preserve">Jace Pittman </v>
      </c>
      <c r="AB68" s="73" t="s">
        <v>299</v>
      </c>
    </row>
    <row r="69" spans="1:28" x14ac:dyDescent="0.25">
      <c r="A69" s="82" t="s">
        <v>299</v>
      </c>
      <c r="B69" s="134" t="b">
        <v>1</v>
      </c>
      <c r="C69" s="83">
        <f t="shared" ca="1" si="30"/>
        <v>23.686</v>
      </c>
      <c r="D69" s="83">
        <f t="shared" ca="1" si="31"/>
        <v>6</v>
      </c>
      <c r="E69" s="83">
        <f t="shared" ca="1" si="32"/>
        <v>3</v>
      </c>
      <c r="F69" s="83">
        <f t="shared" ca="1" si="33"/>
        <v>0</v>
      </c>
      <c r="G69" s="107">
        <f t="shared" ca="1" si="34"/>
        <v>127</v>
      </c>
      <c r="H69" s="84">
        <f t="shared" ca="1" si="35"/>
        <v>30</v>
      </c>
      <c r="I69" s="84">
        <f t="shared" ca="1" si="36"/>
        <v>0</v>
      </c>
      <c r="J69" s="84">
        <f t="shared" ca="1" si="37"/>
        <v>60</v>
      </c>
      <c r="K69" s="92">
        <f ca="1">IFERROR(IF(AND('CALLER Portal'!$Y$1 = "False", OverallTable[[#This Row],[Active]] = FALSE), "",OverallTable[[#This Row],[Total Gifts]]/OverallTable[[#This Row],[Contacts]]),"")</f>
        <v>4.7244094488188976E-2</v>
      </c>
      <c r="L69" s="92">
        <f ca="1">IF(AND('CALLER Portal'!$Y$1 = "False", OverallTable[[#This Row],[Active]] = FALSE), "", IF(C69 = 0,"",IFERROR((E69+F69)/D69,0)))</f>
        <v>0.5</v>
      </c>
      <c r="M69" s="92">
        <f ca="1">IF(AND('CALLER Portal'!$Y$1 = "False", OverallTable[[#This Row],[Active]] = FALSE), "",IF(C69 = 0,"",IFERROR(F69/D69,0)))</f>
        <v>0</v>
      </c>
      <c r="N69" s="85">
        <f ca="1">IF(AND('CALLER Portal'!$Y$1 = "False", OverallTable[[#This Row],[Active]] = FALSE), "", IFERROR((H69+I69)/C69,""))</f>
        <v>1.2665709701933632</v>
      </c>
      <c r="O69" s="170">
        <f ca="1">IF(AND('CALLER Portal'!$Y$1 = "False", OverallTable[[#This Row],[Active]] = FALSE),"",IF(C69 = 0,"",IFERROR((E69+F69)/C69,0)))</f>
        <v>0.12665709701933631</v>
      </c>
      <c r="P69" s="170">
        <f ca="1">IF(AND('CALLER Portal'!$Y$1 = "False", OverallTable[[#This Row],[Active]] = FALSE), "", IF(C69 = 0,"",IFERROR((F69)/C69,0)))</f>
        <v>0</v>
      </c>
      <c r="Q69" s="86">
        <f t="shared" ca="1" si="38"/>
        <v>5.3618171071519045</v>
      </c>
      <c r="R69" s="86">
        <f ca="1">IFERROR(_xlfn.PERCENTRANK.INC(OverallTable[F-Score], OverallTable[[#This Row],[F-Score]]),"")</f>
        <v>1.0999999999999999E-2</v>
      </c>
      <c r="S69" s="86">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4.6399999999999997E-2</v>
      </c>
      <c r="T69" s="116">
        <f t="shared" ca="1" si="39"/>
        <v>2.1999999999999999E-2</v>
      </c>
      <c r="U69" s="117">
        <f t="shared" ca="1" si="40"/>
        <v>0.155</v>
      </c>
      <c r="V69" s="117">
        <f t="shared" ca="1" si="41"/>
        <v>1.0999999999999999E-2</v>
      </c>
      <c r="W69" s="117">
        <f t="shared" ca="1" si="42"/>
        <v>2.1999999999999999E-2</v>
      </c>
      <c r="X69" s="117">
        <f t="shared" ca="1" si="43"/>
        <v>2.1999999999999999E-2</v>
      </c>
      <c r="Y69" s="117">
        <f t="shared" ca="1" si="44"/>
        <v>1.0999999999999999E-2</v>
      </c>
      <c r="Z69" s="141" t="str">
        <f>IFERROR(IF('CALLER Portal'!$Y$1 = "TRUE", OverallTable[[#This Row],[Name]],IF(AND('CALLER Portal'!$Y$1 = "FALSE", OverallTable[[#This Row],[Active]] = TRUE),OverallTable[[#This Row],[Name]],"(Blank)")),"")</f>
        <v xml:space="preserve">Jackson Blan </v>
      </c>
      <c r="AB69" s="73" t="s">
        <v>335</v>
      </c>
    </row>
    <row r="70" spans="1:28" x14ac:dyDescent="0.25">
      <c r="A70" s="158" t="s">
        <v>335</v>
      </c>
      <c r="B70" s="134" t="b">
        <v>1</v>
      </c>
      <c r="C70" s="239">
        <f t="shared" ca="1" si="30"/>
        <v>79.742000000000004</v>
      </c>
      <c r="D70" s="239">
        <f t="shared" ca="1" si="31"/>
        <v>138</v>
      </c>
      <c r="E70" s="239">
        <f t="shared" ca="1" si="32"/>
        <v>87</v>
      </c>
      <c r="F70" s="239">
        <f t="shared" ca="1" si="33"/>
        <v>17</v>
      </c>
      <c r="G70" s="240">
        <f t="shared" ca="1" si="34"/>
        <v>559</v>
      </c>
      <c r="H70" s="241">
        <f t="shared" ca="1" si="35"/>
        <v>4352</v>
      </c>
      <c r="I70" s="241">
        <f t="shared" ca="1" si="36"/>
        <v>1980</v>
      </c>
      <c r="J70" s="241">
        <f t="shared" ca="1" si="37"/>
        <v>7792</v>
      </c>
      <c r="K70" s="242">
        <f ca="1">IFERROR(IF(AND('CALLER Portal'!$Y$1 = "False", OverallTable[[#This Row],[Active]] = FALSE), "",OverallTable[[#This Row],[Total Gifts]]/OverallTable[[#This Row],[Contacts]]),"")</f>
        <v>0.24686940966010734</v>
      </c>
      <c r="L70" s="242">
        <f ca="1">IF(AND('CALLER Portal'!$Y$1 = "False", OverallTable[[#This Row],[Active]] = FALSE), "", IF(C70 = 0,"",IFERROR((E70+F70)/D70,0)))</f>
        <v>0.75362318840579712</v>
      </c>
      <c r="M70" s="242">
        <f ca="1">IF(AND('CALLER Portal'!$Y$1 = "False", OverallTable[[#This Row],[Active]] = FALSE), "",IF(C70 = 0,"",IFERROR(F70/D70,0)))</f>
        <v>0.12318840579710146</v>
      </c>
      <c r="N70" s="243">
        <f ca="1">IF(AND('CALLER Portal'!$Y$1 = "False", OverallTable[[#This Row],[Active]] = FALSE), "", IFERROR((H70+I70)/C70,""))</f>
        <v>79.406084622908878</v>
      </c>
      <c r="O70" s="244">
        <f ca="1">IF(AND('CALLER Portal'!$Y$1 = "False", OverallTable[[#This Row],[Active]] = FALSE),"",IF(C70 = 0,"",IFERROR((E70+F70)/C70,0)))</f>
        <v>1.3042060645582001</v>
      </c>
      <c r="P70" s="244">
        <f ca="1">IF(AND('CALLER Portal'!$Y$1 = "False", OverallTable[[#This Row],[Active]] = FALSE), "", IF(C70 = 0,"",IFERROR((F70)/C70,0)))</f>
        <v>0.21318752978355193</v>
      </c>
      <c r="Q70" s="245">
        <f t="shared" ca="1" si="38"/>
        <v>7.0101075970003253</v>
      </c>
      <c r="R70" s="245">
        <f ca="1">IFERROR(_xlfn.PERCENTRANK.INC(OverallTable[F-Score], OverallTable[[#This Row],[F-Score]]),"")</f>
        <v>0.89700000000000002</v>
      </c>
      <c r="S70" s="245">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0.75859999999999994</v>
      </c>
      <c r="T70" s="159">
        <f t="shared" ca="1" si="39"/>
        <v>0.41099999999999998</v>
      </c>
      <c r="U70" s="141">
        <f t="shared" ca="1" si="40"/>
        <v>0.9</v>
      </c>
      <c r="V70" s="141">
        <f t="shared" ca="1" si="41"/>
        <v>0.76600000000000001</v>
      </c>
      <c r="W70" s="141">
        <f t="shared" ca="1" si="42"/>
        <v>0.85499999999999998</v>
      </c>
      <c r="X70" s="141">
        <f t="shared" ca="1" si="43"/>
        <v>0.83299999999999996</v>
      </c>
      <c r="Y70" s="141">
        <f t="shared" ca="1" si="44"/>
        <v>0.82199999999999995</v>
      </c>
      <c r="Z70" s="141" t="str">
        <f>IFERROR(IF('CALLER Portal'!$Y$1 = "TRUE", OverallTable[[#This Row],[Name]],IF(AND('CALLER Portal'!$Y$1 = "FALSE", OverallTable[[#This Row],[Active]] = TRUE),OverallTable[[#This Row],[Name]],"(Blank)")),"")</f>
        <v xml:space="preserve">Jacob Suh </v>
      </c>
      <c r="AB70" s="73" t="s">
        <v>430</v>
      </c>
    </row>
    <row r="71" spans="1:28" x14ac:dyDescent="0.25">
      <c r="A71" s="82" t="s">
        <v>430</v>
      </c>
      <c r="B71" s="134" t="b">
        <v>1</v>
      </c>
      <c r="C71" s="91">
        <f t="shared" ca="1" si="30"/>
        <v>62.226000000000006</v>
      </c>
      <c r="D71" s="91">
        <f t="shared" ca="1" si="31"/>
        <v>97</v>
      </c>
      <c r="E71" s="91">
        <f t="shared" ca="1" si="32"/>
        <v>62</v>
      </c>
      <c r="F71" s="91">
        <f t="shared" ca="1" si="33"/>
        <v>7</v>
      </c>
      <c r="G71" s="107">
        <f t="shared" ca="1" si="34"/>
        <v>275</v>
      </c>
      <c r="H71" s="84">
        <f t="shared" ca="1" si="35"/>
        <v>3301</v>
      </c>
      <c r="I71" s="84">
        <f t="shared" ca="1" si="36"/>
        <v>840</v>
      </c>
      <c r="J71" s="84">
        <f t="shared" ca="1" si="37"/>
        <v>5946</v>
      </c>
      <c r="K71" s="92">
        <f ca="1">IFERROR(IF(AND('CALLER Portal'!$Y$1 = "False", OverallTable[[#This Row],[Active]] = FALSE), "",OverallTable[[#This Row],[Total Gifts]]/OverallTable[[#This Row],[Contacts]]),"")</f>
        <v>0.35272727272727272</v>
      </c>
      <c r="L71" s="92">
        <f ca="1">IF(AND('CALLER Portal'!$Y$1 = "False", OverallTable[[#This Row],[Active]] = FALSE), "", IF(C71 = 0,"",IFERROR((E71+F71)/D71,0)))</f>
        <v>0.71134020618556704</v>
      </c>
      <c r="M71" s="92">
        <f ca="1">IF(AND('CALLER Portal'!$Y$1 = "False", OverallTable[[#This Row],[Active]] = FALSE), "",IF(C71 = 0,"",IFERROR(F71/D71,0)))</f>
        <v>7.2164948453608241E-2</v>
      </c>
      <c r="N71" s="85">
        <f ca="1">IF(AND('CALLER Portal'!$Y$1 = "False", OverallTable[[#This Row],[Active]] = FALSE), "", IFERROR((H71+I71)/C71,""))</f>
        <v>66.54774531546299</v>
      </c>
      <c r="O71" s="173">
        <f ca="1">IF(AND('CALLER Portal'!$Y$1 = "False", OverallTable[[#This Row],[Active]] = FALSE),"",IF(C71 = 0,"",IFERROR((E71+F71)/C71,0)))</f>
        <v>1.1088612477099604</v>
      </c>
      <c r="P71" s="173">
        <f ca="1">IF(AND('CALLER Portal'!$Y$1 = "False", OverallTable[[#This Row],[Active]] = FALSE), "", IF(C71 = 0,"",IFERROR((F71)/C71,0)))</f>
        <v>0.1124931700575322</v>
      </c>
      <c r="Q71" s="86">
        <f t="shared" ca="1" si="38"/>
        <v>4.4193745379744795</v>
      </c>
      <c r="R71" s="86">
        <f ca="1">IFERROR(_xlfn.PERCENTRANK.INC(OverallTable[F-Score], OverallTable[[#This Row],[F-Score]]),"")</f>
        <v>0.85199999999999998</v>
      </c>
      <c r="S71" s="86">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0.73060000000000003</v>
      </c>
      <c r="T71" s="201">
        <f t="shared" ca="1" si="39"/>
        <v>0.84399999999999997</v>
      </c>
      <c r="U71" s="117">
        <f t="shared" ca="1" si="40"/>
        <v>0.77700000000000002</v>
      </c>
      <c r="V71" s="117">
        <f t="shared" ca="1" si="41"/>
        <v>0.55500000000000005</v>
      </c>
      <c r="W71" s="117">
        <f t="shared" ca="1" si="42"/>
        <v>0.72199999999999998</v>
      </c>
      <c r="X71" s="117">
        <f t="shared" ca="1" si="43"/>
        <v>0.74399999999999999</v>
      </c>
      <c r="Y71" s="117">
        <f t="shared" ca="1" si="44"/>
        <v>0.57699999999999996</v>
      </c>
      <c r="Z71" s="141" t="str">
        <f>IFERROR(IF('CALLER Portal'!$Y$1 = "TRUE", OverallTable[[#This Row],[Name]],IF(AND('CALLER Portal'!$Y$1 = "FALSE", OverallTable[[#This Row],[Active]] = TRUE),OverallTable[[#This Row],[Name]],"(Blank)")),"")</f>
        <v xml:space="preserve">Jaol Soaps </v>
      </c>
      <c r="AB71" s="73" t="s">
        <v>392</v>
      </c>
    </row>
    <row r="72" spans="1:28" x14ac:dyDescent="0.25">
      <c r="A72" s="82" t="s">
        <v>392</v>
      </c>
      <c r="B72" s="134" t="b">
        <v>1</v>
      </c>
      <c r="C72" s="83">
        <f t="shared" ca="1" si="30"/>
        <v>26.574999999999999</v>
      </c>
      <c r="D72" s="83">
        <f t="shared" ca="1" si="31"/>
        <v>34</v>
      </c>
      <c r="E72" s="83">
        <f t="shared" ca="1" si="32"/>
        <v>19</v>
      </c>
      <c r="F72" s="83">
        <f t="shared" ca="1" si="33"/>
        <v>2</v>
      </c>
      <c r="G72" s="107">
        <f t="shared" ca="1" si="34"/>
        <v>162</v>
      </c>
      <c r="H72" s="84">
        <f t="shared" ca="1" si="35"/>
        <v>732</v>
      </c>
      <c r="I72" s="84">
        <f t="shared" ca="1" si="36"/>
        <v>540</v>
      </c>
      <c r="J72" s="84">
        <f t="shared" ca="1" si="37"/>
        <v>1707</v>
      </c>
      <c r="K72" s="92">
        <f ca="1">IFERROR(IF(AND('CALLER Portal'!$Y$1 = "False", OverallTable[[#This Row],[Active]] = FALSE), "",OverallTable[[#This Row],[Total Gifts]]/OverallTable[[#This Row],[Contacts]]),"")</f>
        <v>0.20987654320987653</v>
      </c>
      <c r="L72" s="92">
        <f ca="1">IF(AND('CALLER Portal'!$Y$1 = "False", OverallTable[[#This Row],[Active]] = FALSE), "", IF(C72 = 0,"",IFERROR((E72+F72)/D72,0)))</f>
        <v>0.61764705882352944</v>
      </c>
      <c r="M72" s="92">
        <f ca="1">IF(AND('CALLER Portal'!$Y$1 = "False", OverallTable[[#This Row],[Active]] = FALSE), "",IF(C72 = 0,"",IFERROR(F72/D72,0)))</f>
        <v>5.8823529411764705E-2</v>
      </c>
      <c r="N72" s="85">
        <f ca="1">IF(AND('CALLER Portal'!$Y$1 = "False", OverallTable[[#This Row],[Active]] = FALSE), "", IFERROR((H72+I72)/C72,""))</f>
        <v>47.86453433678269</v>
      </c>
      <c r="O72" s="170">
        <f ca="1">IF(AND('CALLER Portal'!$Y$1 = "False", OverallTable[[#This Row],[Active]] = FALSE),"",IF(C72 = 0,"",IFERROR((E72+F72)/C72,0)))</f>
        <v>0.79021636876763879</v>
      </c>
      <c r="P72" s="170">
        <f ca="1">IF(AND('CALLER Portal'!$Y$1 = "False", OverallTable[[#This Row],[Active]] = FALSE), "", IF(C72 = 0,"",IFERROR((F72)/C72,0)))</f>
        <v>7.5258701787394175E-2</v>
      </c>
      <c r="Q72" s="86">
        <f t="shared" ca="1" si="38"/>
        <v>6.0959548447789276</v>
      </c>
      <c r="R72" s="86">
        <f ca="1">IFERROR(_xlfn.PERCENTRANK.INC(OverallTable[F-Score], OverallTable[[#This Row],[F-Score]]),"")</f>
        <v>0.29499999999999998</v>
      </c>
      <c r="S72" s="86">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0.38630000000000003</v>
      </c>
      <c r="T72" s="116">
        <f t="shared" ca="1" si="39"/>
        <v>0.188</v>
      </c>
      <c r="U72" s="117">
        <f t="shared" ca="1" si="40"/>
        <v>0.54400000000000004</v>
      </c>
      <c r="V72" s="117">
        <f t="shared" ca="1" si="41"/>
        <v>0.41099999999999998</v>
      </c>
      <c r="W72" s="117">
        <f t="shared" ca="1" si="42"/>
        <v>0.4</v>
      </c>
      <c r="X72" s="117">
        <f t="shared" ca="1" si="43"/>
        <v>0.4</v>
      </c>
      <c r="Y72" s="117">
        <f t="shared" ca="1" si="44"/>
        <v>0.38800000000000001</v>
      </c>
      <c r="Z72" s="141" t="str">
        <f>IFERROR(IF('CALLER Portal'!$Y$1 = "TRUE", OverallTable[[#This Row],[Name]],IF(AND('CALLER Portal'!$Y$1 = "FALSE", OverallTable[[#This Row],[Active]] = TRUE),OverallTable[[#This Row],[Name]],"(Blank)")),"")</f>
        <v xml:space="preserve">Jasmine Le </v>
      </c>
      <c r="AB72" s="73" t="s">
        <v>294</v>
      </c>
    </row>
    <row r="73" spans="1:28" x14ac:dyDescent="0.25">
      <c r="A73" s="82" t="s">
        <v>294</v>
      </c>
      <c r="B73" s="134" t="b">
        <v>1</v>
      </c>
      <c r="C73" s="83">
        <f t="shared" ca="1" si="30"/>
        <v>0</v>
      </c>
      <c r="D73" s="83">
        <f t="shared" ca="1" si="31"/>
        <v>0</v>
      </c>
      <c r="E73" s="83">
        <f t="shared" ca="1" si="32"/>
        <v>0</v>
      </c>
      <c r="F73" s="83">
        <f t="shared" ca="1" si="33"/>
        <v>0</v>
      </c>
      <c r="G73" s="107">
        <f t="shared" ca="1" si="34"/>
        <v>0</v>
      </c>
      <c r="H73" s="84">
        <f t="shared" ca="1" si="35"/>
        <v>0</v>
      </c>
      <c r="I73" s="84">
        <f t="shared" ca="1" si="36"/>
        <v>0</v>
      </c>
      <c r="J73" s="84">
        <f t="shared" ca="1" si="37"/>
        <v>0</v>
      </c>
      <c r="K73" s="92" t="str">
        <f ca="1">IFERROR(IF(AND('CALLER Portal'!$Y$1 = "False", OverallTable[[#This Row],[Active]] = FALSE), "",OverallTable[[#This Row],[Total Gifts]]/OverallTable[[#This Row],[Contacts]]),"")</f>
        <v/>
      </c>
      <c r="L73" s="92" t="str">
        <f ca="1">IF(AND('CALLER Portal'!$Y$1 = "False", OverallTable[[#This Row],[Active]] = FALSE), "", IF(C73 = 0,"",IFERROR((E73+F73)/D73,0)))</f>
        <v/>
      </c>
      <c r="M73" s="92" t="str">
        <f ca="1">IF(AND('CALLER Portal'!$Y$1 = "False", OverallTable[[#This Row],[Active]] = FALSE), "",IF(C73 = 0,"",IFERROR(F73/D73,0)))</f>
        <v/>
      </c>
      <c r="N73" s="85" t="str">
        <f ca="1">IF(AND('CALLER Portal'!$Y$1 = "False", OverallTable[[#This Row],[Active]] = FALSE), "", IFERROR((H73+I73)/C73,""))</f>
        <v/>
      </c>
      <c r="O73" s="170" t="str">
        <f ca="1">IF(AND('CALLER Portal'!$Y$1 = "False", OverallTable[[#This Row],[Active]] = FALSE),"",IF(C73 = 0,"",IFERROR((E73+F73)/C73,0)))</f>
        <v/>
      </c>
      <c r="P73" s="170" t="str">
        <f ca="1">IF(AND('CALLER Portal'!$Y$1 = "False", OverallTable[[#This Row],[Active]] = FALSE), "", IF(C73 = 0,"",IFERROR((F73)/C73,0)))</f>
        <v/>
      </c>
      <c r="Q73" s="86" t="str">
        <f t="shared" ca="1" si="38"/>
        <v/>
      </c>
      <c r="R73" s="86" t="str">
        <f ca="1">IFERROR(_xlfn.PERCENTRANK.INC(OverallTable[F-Score], OverallTable[[#This Row],[F-Score]]),"")</f>
        <v/>
      </c>
      <c r="S73"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73" s="116" t="str">
        <f t="shared" ca="1" si="39"/>
        <v/>
      </c>
      <c r="U73" s="117" t="str">
        <f t="shared" ca="1" si="40"/>
        <v/>
      </c>
      <c r="V73" s="117" t="str">
        <f t="shared" ca="1" si="41"/>
        <v/>
      </c>
      <c r="W73" s="117" t="str">
        <f t="shared" ca="1" si="42"/>
        <v/>
      </c>
      <c r="X73" s="117" t="str">
        <f t="shared" ca="1" si="43"/>
        <v/>
      </c>
      <c r="Y73" s="117" t="str">
        <f t="shared" ca="1" si="44"/>
        <v/>
      </c>
      <c r="Z73" s="141" t="str">
        <f>IFERROR(IF('CALLER Portal'!$Y$1 = "TRUE", OverallTable[[#This Row],[Name]],IF(AND('CALLER Portal'!$Y$1 = "FALSE", OverallTable[[#This Row],[Active]] = TRUE),OverallTable[[#This Row],[Name]],"(Blank)")),"")</f>
        <v>Jason Long</v>
      </c>
      <c r="AB73" s="73" t="s">
        <v>367</v>
      </c>
    </row>
    <row r="74" spans="1:28" x14ac:dyDescent="0.25">
      <c r="A74" s="158" t="s">
        <v>367</v>
      </c>
      <c r="B74" s="134" t="b">
        <v>1</v>
      </c>
      <c r="C74" s="239">
        <f t="shared" ca="1" si="30"/>
        <v>47.727000000000004</v>
      </c>
      <c r="D74" s="239">
        <f t="shared" ca="1" si="31"/>
        <v>67</v>
      </c>
      <c r="E74" s="239">
        <f t="shared" ca="1" si="32"/>
        <v>31</v>
      </c>
      <c r="F74" s="239">
        <f t="shared" ca="1" si="33"/>
        <v>7</v>
      </c>
      <c r="G74" s="240">
        <f t="shared" ca="1" si="34"/>
        <v>248</v>
      </c>
      <c r="H74" s="241">
        <f t="shared" ca="1" si="35"/>
        <v>1479</v>
      </c>
      <c r="I74" s="241">
        <f t="shared" ca="1" si="36"/>
        <v>780</v>
      </c>
      <c r="J74" s="241">
        <f t="shared" ca="1" si="37"/>
        <v>3879</v>
      </c>
      <c r="K74" s="242">
        <f ca="1">IFERROR(IF(AND('CALLER Portal'!$Y$1 = "False", OverallTable[[#This Row],[Active]] = FALSE), "",OverallTable[[#This Row],[Total Gifts]]/OverallTable[[#This Row],[Contacts]]),"")</f>
        <v>0.27016129032258063</v>
      </c>
      <c r="L74" s="242">
        <f ca="1">IF(AND('CALLER Portal'!$Y$1 = "False", OverallTable[[#This Row],[Active]] = FALSE), "", IF(C74 = 0,"",IFERROR((E74+F74)/D74,0)))</f>
        <v>0.56716417910447758</v>
      </c>
      <c r="M74" s="242">
        <f ca="1">IF(AND('CALLER Portal'!$Y$1 = "False", OverallTable[[#This Row],[Active]] = FALSE), "",IF(C74 = 0,"",IFERROR(F74/D74,0)))</f>
        <v>0.1044776119402985</v>
      </c>
      <c r="N74" s="243">
        <f ca="1">IF(AND('CALLER Portal'!$Y$1 = "False", OverallTable[[#This Row],[Active]] = FALSE), "", IFERROR((H74+I74)/C74,""))</f>
        <v>47.331699038280213</v>
      </c>
      <c r="O74" s="244">
        <f ca="1">IF(AND('CALLER Portal'!$Y$1 = "False", OverallTable[[#This Row],[Active]] = FALSE),"",IF(C74 = 0,"",IFERROR((E74+F74)/C74,0)))</f>
        <v>0.79619502587633828</v>
      </c>
      <c r="P74" s="244">
        <f ca="1">IF(AND('CALLER Portal'!$Y$1 = "False", OverallTable[[#This Row],[Active]] = FALSE), "", IF(C74 = 0,"",IFERROR((F74)/C74,0)))</f>
        <v>0.14666750476669391</v>
      </c>
      <c r="Q74" s="245">
        <f t="shared" ca="1" si="38"/>
        <v>5.1962201688771552</v>
      </c>
      <c r="R74" s="245">
        <f ca="1">IFERROR(_xlfn.PERCENTRANK.INC(OverallTable[F-Score], OverallTable[[#This Row],[F-Score]]),"")</f>
        <v>0.47699999999999998</v>
      </c>
      <c r="S74" s="245">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0.48170000000000002</v>
      </c>
      <c r="T74" s="159">
        <f t="shared" ca="1" si="39"/>
        <v>0.53300000000000003</v>
      </c>
      <c r="U74" s="141">
        <f t="shared" ca="1" si="40"/>
        <v>0.38800000000000001</v>
      </c>
      <c r="V74" s="141">
        <f t="shared" ca="1" si="41"/>
        <v>0.71099999999999997</v>
      </c>
      <c r="W74" s="141">
        <f t="shared" ca="1" si="42"/>
        <v>0.38800000000000001</v>
      </c>
      <c r="X74" s="141">
        <f t="shared" ca="1" si="43"/>
        <v>0.41099999999999998</v>
      </c>
      <c r="Y74" s="141">
        <f t="shared" ca="1" si="44"/>
        <v>0.66600000000000004</v>
      </c>
      <c r="Z74" s="141" t="str">
        <f>IFERROR(IF('CALLER Portal'!$Y$1 = "TRUE", OverallTable[[#This Row],[Name]],IF(AND('CALLER Portal'!$Y$1 = "FALSE", OverallTable[[#This Row],[Active]] = TRUE),OverallTable[[#This Row],[Name]],"(Blank)")),"")</f>
        <v xml:space="preserve">Jaspal Ellis </v>
      </c>
      <c r="AB74" s="73" t="s">
        <v>308</v>
      </c>
    </row>
    <row r="75" spans="1:28" x14ac:dyDescent="0.25">
      <c r="A75" s="160" t="s">
        <v>308</v>
      </c>
      <c r="B75" s="134" t="b">
        <v>1</v>
      </c>
      <c r="C75" s="161">
        <f t="shared" ca="1" si="30"/>
        <v>74.03</v>
      </c>
      <c r="D75" s="161">
        <f t="shared" ca="1" si="31"/>
        <v>118</v>
      </c>
      <c r="E75" s="161">
        <f t="shared" ca="1" si="32"/>
        <v>64</v>
      </c>
      <c r="F75" s="161">
        <f t="shared" ca="1" si="33"/>
        <v>4</v>
      </c>
      <c r="G75" s="162">
        <f t="shared" ca="1" si="34"/>
        <v>447</v>
      </c>
      <c r="H75" s="163">
        <f t="shared" ca="1" si="35"/>
        <v>3534</v>
      </c>
      <c r="I75" s="163">
        <f t="shared" ca="1" si="36"/>
        <v>492</v>
      </c>
      <c r="J75" s="163">
        <f t="shared" ca="1" si="37"/>
        <v>6556</v>
      </c>
      <c r="K75" s="165">
        <f ca="1">IFERROR(IF(AND('CALLER Portal'!$Y$1 = "False", OverallTable[[#This Row],[Active]] = FALSE), "",OverallTable[[#This Row],[Total Gifts]]/OverallTable[[#This Row],[Contacts]]),"")</f>
        <v>0.26398210290827739</v>
      </c>
      <c r="L75" s="165">
        <f ca="1">IF(AND('CALLER Portal'!$Y$1 = "False", OverallTable[[#This Row],[Active]] = FALSE), "", IF(C75 = 0,"",IFERROR((E75+F75)/D75,0)))</f>
        <v>0.57627118644067798</v>
      </c>
      <c r="M75" s="165">
        <f ca="1">IF(AND('CALLER Portal'!$Y$1 = "False", OverallTable[[#This Row],[Active]] = FALSE), "",IF(C75 = 0,"",IFERROR(F75/D75,0)))</f>
        <v>3.3898305084745763E-2</v>
      </c>
      <c r="N75" s="166">
        <f ca="1">IF(AND('CALLER Portal'!$Y$1 = "False", OverallTable[[#This Row],[Active]] = FALSE), "", IFERROR((H75+I75)/C75,""))</f>
        <v>54.383358098068349</v>
      </c>
      <c r="O75" s="172">
        <f ca="1">IF(AND('CALLER Portal'!$Y$1 = "False", OverallTable[[#This Row],[Active]] = FALSE),"",IF(C75 = 0,"",IFERROR((E75+F75)/C75,0)))</f>
        <v>0.9185465351884371</v>
      </c>
      <c r="P75" s="172">
        <f ca="1">IF(AND('CALLER Portal'!$Y$1 = "False", OverallTable[[#This Row],[Active]] = FALSE), "", IF(C75 = 0,"",IFERROR((F75)/C75,0)))</f>
        <v>5.4032149128731596E-2</v>
      </c>
      <c r="Q75" s="164">
        <f t="shared" ca="1" si="38"/>
        <v>6.038092665135756</v>
      </c>
      <c r="R75" s="164">
        <f ca="1">IFERROR(_xlfn.PERCENTRANK.INC(OverallTable[F-Score], OverallTable[[#This Row],[F-Score]]),"")</f>
        <v>0.39700000000000002</v>
      </c>
      <c r="S75" s="164">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0.45290000000000002</v>
      </c>
      <c r="T75" s="159">
        <f t="shared" ca="1" si="39"/>
        <v>0.47699999999999998</v>
      </c>
      <c r="U75" s="141">
        <f t="shared" ca="1" si="40"/>
        <v>0.41099999999999998</v>
      </c>
      <c r="V75" s="141">
        <f t="shared" ca="1" si="41"/>
        <v>0.255</v>
      </c>
      <c r="W75" s="141">
        <f t="shared" ca="1" si="42"/>
        <v>0.55500000000000005</v>
      </c>
      <c r="X75" s="141">
        <f t="shared" ca="1" si="43"/>
        <v>0.53300000000000003</v>
      </c>
      <c r="Y75" s="141">
        <f t="shared" ca="1" si="44"/>
        <v>0.32200000000000001</v>
      </c>
      <c r="Z75" s="141" t="str">
        <f>IFERROR(IF('CALLER Portal'!$Y$1 = "TRUE", OverallTable[[#This Row],[Name]],IF(AND('CALLER Portal'!$Y$1 = "FALSE", OverallTable[[#This Row],[Active]] = TRUE),OverallTable[[#This Row],[Name]],"(Blank)")),"")</f>
        <v xml:space="preserve">Jenna Kerns </v>
      </c>
      <c r="AB75" s="73" t="s">
        <v>317</v>
      </c>
    </row>
    <row r="76" spans="1:28" x14ac:dyDescent="0.25">
      <c r="A76" s="151" t="s">
        <v>317</v>
      </c>
      <c r="B76" s="134" t="b">
        <v>1</v>
      </c>
      <c r="C76" s="152">
        <f t="shared" ca="1" si="30"/>
        <v>92.216999999999999</v>
      </c>
      <c r="D76" s="152">
        <f t="shared" ca="1" si="31"/>
        <v>149</v>
      </c>
      <c r="E76" s="152">
        <f t="shared" ca="1" si="32"/>
        <v>80</v>
      </c>
      <c r="F76" s="152">
        <f t="shared" ca="1" si="33"/>
        <v>12</v>
      </c>
      <c r="G76" s="153">
        <f t="shared" ca="1" si="34"/>
        <v>499</v>
      </c>
      <c r="H76" s="154">
        <f t="shared" ca="1" si="35"/>
        <v>3805</v>
      </c>
      <c r="I76" s="154">
        <f t="shared" ca="1" si="36"/>
        <v>1575</v>
      </c>
      <c r="J76" s="154">
        <f t="shared" ca="1" si="37"/>
        <v>9030</v>
      </c>
      <c r="K76" s="155">
        <f ca="1">IFERROR(IF(AND('CALLER Portal'!$Y$1 = "False", OverallTable[[#This Row],[Active]] = FALSE), "",OverallTable[[#This Row],[Total Gifts]]/OverallTable[[#This Row],[Contacts]]),"")</f>
        <v>0.29859719438877758</v>
      </c>
      <c r="L76" s="155">
        <f ca="1">IF(AND('CALLER Portal'!$Y$1 = "False", OverallTable[[#This Row],[Active]] = FALSE), "", IF(C76 = 0,"",IFERROR((E76+F76)/D76,0)))</f>
        <v>0.6174496644295302</v>
      </c>
      <c r="M76" s="155">
        <f ca="1">IF(AND('CALLER Portal'!$Y$1 = "False", OverallTable[[#This Row],[Active]] = FALSE), "",IF(C76 = 0,"",IFERROR(F76/D76,0)))</f>
        <v>8.0536912751677847E-2</v>
      </c>
      <c r="N76" s="156">
        <f ca="1">IF(AND('CALLER Portal'!$Y$1 = "False", OverallTable[[#This Row],[Active]] = FALSE), "", IFERROR((H76+I76)/C76,""))</f>
        <v>58.340653024930326</v>
      </c>
      <c r="O76" s="171">
        <f ca="1">IF(AND('CALLER Portal'!$Y$1 = "False", OverallTable[[#This Row],[Active]] = FALSE),"",IF(C76 = 0,"",IFERROR((E76+F76)/C76,0)))</f>
        <v>0.99764685470141079</v>
      </c>
      <c r="P76" s="171">
        <f ca="1">IF(AND('CALLER Portal'!$Y$1 = "False", OverallTable[[#This Row],[Active]] = FALSE), "", IF(C76 = 0,"",IFERROR((F76)/C76,0)))</f>
        <v>0.13012785061322749</v>
      </c>
      <c r="Q76" s="157">
        <f t="shared" ca="1" si="38"/>
        <v>5.4111497880000439</v>
      </c>
      <c r="R76" s="157">
        <f ca="1">IFERROR(_xlfn.PERCENTRANK.INC(OverallTable[F-Score], OverallTable[[#This Row],[F-Score]]),"")</f>
        <v>0.63600000000000001</v>
      </c>
      <c r="S76" s="157">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0.59189999999999998</v>
      </c>
      <c r="T76" s="159">
        <f t="shared" ca="1" si="39"/>
        <v>0.6</v>
      </c>
      <c r="U76" s="141">
        <f t="shared" ca="1" si="40"/>
        <v>0.53300000000000003</v>
      </c>
      <c r="V76" s="141">
        <f t="shared" ca="1" si="41"/>
        <v>0.622</v>
      </c>
      <c r="W76" s="141">
        <f t="shared" ca="1" si="42"/>
        <v>0.58799999999999997</v>
      </c>
      <c r="X76" s="141">
        <f t="shared" ca="1" si="43"/>
        <v>0.6</v>
      </c>
      <c r="Y76" s="141">
        <f t="shared" ca="1" si="44"/>
        <v>0.65500000000000003</v>
      </c>
      <c r="Z76" s="141" t="str">
        <f>IFERROR(IF('CALLER Portal'!$Y$1 = "TRUE", OverallTable[[#This Row],[Name]],IF(AND('CALLER Portal'!$Y$1 = "FALSE", OverallTable[[#This Row],[Active]] = TRUE),OverallTable[[#This Row],[Name]],"(Blank)")),"")</f>
        <v xml:space="preserve">Jens Layson </v>
      </c>
      <c r="AB76" s="73" t="s">
        <v>375</v>
      </c>
    </row>
    <row r="77" spans="1:28" x14ac:dyDescent="0.25">
      <c r="A77" s="82" t="s">
        <v>375</v>
      </c>
      <c r="B77" s="134" t="b">
        <v>1</v>
      </c>
      <c r="C77" s="83">
        <f t="shared" ca="1" si="30"/>
        <v>136.934</v>
      </c>
      <c r="D77" s="83">
        <f t="shared" ca="1" si="31"/>
        <v>129</v>
      </c>
      <c r="E77" s="83">
        <f t="shared" ca="1" si="32"/>
        <v>76</v>
      </c>
      <c r="F77" s="83">
        <f t="shared" ca="1" si="33"/>
        <v>1</v>
      </c>
      <c r="G77" s="107">
        <f t="shared" ca="1" si="34"/>
        <v>401</v>
      </c>
      <c r="H77" s="84">
        <f t="shared" ca="1" si="35"/>
        <v>4306</v>
      </c>
      <c r="I77" s="84">
        <f t="shared" ca="1" si="36"/>
        <v>120</v>
      </c>
      <c r="J77" s="84">
        <f t="shared" ca="1" si="37"/>
        <v>7106</v>
      </c>
      <c r="K77" s="92">
        <f ca="1">IFERROR(IF(AND('CALLER Portal'!$Y$1 = "False", OverallTable[[#This Row],[Active]] = FALSE), "",OverallTable[[#This Row],[Total Gifts]]/OverallTable[[#This Row],[Contacts]]),"")</f>
        <v>0.32169576059850374</v>
      </c>
      <c r="L77" s="92">
        <f ca="1">IF(AND('CALLER Portal'!$Y$1 = "False", OverallTable[[#This Row],[Active]] = FALSE), "", IF(C77 = 0,"",IFERROR((E77+F77)/D77,0)))</f>
        <v>0.5968992248062015</v>
      </c>
      <c r="M77" s="92">
        <f ca="1">IF(AND('CALLER Portal'!$Y$1 = "False", OverallTable[[#This Row],[Active]] = FALSE), "",IF(C77 = 0,"",IFERROR(F77/D77,0)))</f>
        <v>7.7519379844961239E-3</v>
      </c>
      <c r="N77" s="85">
        <f ca="1">IF(AND('CALLER Portal'!$Y$1 = "False", OverallTable[[#This Row],[Active]] = FALSE), "", IFERROR((H77+I77)/C77,""))</f>
        <v>32.322140593278512</v>
      </c>
      <c r="O77" s="170">
        <f ca="1">IF(AND('CALLER Portal'!$Y$1 = "False", OverallTable[[#This Row],[Active]] = FALSE),"",IF(C77 = 0,"",IFERROR((E77+F77)/C77,0)))</f>
        <v>0.56231469174930993</v>
      </c>
      <c r="P77" s="170">
        <f ca="1">IF(AND('CALLER Portal'!$Y$1 = "False", OverallTable[[#This Row],[Active]] = FALSE), "", IF(C77 = 0,"",IFERROR((F77)/C77,0)))</f>
        <v>7.3027882045364921E-3</v>
      </c>
      <c r="Q77" s="86">
        <f t="shared" ca="1" si="38"/>
        <v>2.9284180700191333</v>
      </c>
      <c r="R77" s="86">
        <f ca="1">IFERROR(_xlfn.PERCENTRANK.INC(OverallTable[F-Score], OverallTable[[#This Row],[F-Score]]),"")</f>
        <v>0.22700000000000001</v>
      </c>
      <c r="S77" s="86">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0.34050000000000002</v>
      </c>
      <c r="T77" s="116">
        <f t="shared" ca="1" si="39"/>
        <v>0.72199999999999998</v>
      </c>
      <c r="U77" s="117">
        <f t="shared" ca="1" si="40"/>
        <v>0.47699999999999998</v>
      </c>
      <c r="V77" s="117">
        <f t="shared" ca="1" si="41"/>
        <v>0.14399999999999999</v>
      </c>
      <c r="W77" s="117">
        <f t="shared" ca="1" si="42"/>
        <v>0.17699999999999999</v>
      </c>
      <c r="X77" s="117">
        <f t="shared" ca="1" si="43"/>
        <v>0.188</v>
      </c>
      <c r="Y77" s="117">
        <f t="shared" ca="1" si="44"/>
        <v>0.13300000000000001</v>
      </c>
      <c r="Z77" s="141" t="str">
        <f>IFERROR(IF('CALLER Portal'!$Y$1 = "TRUE", OverallTable[[#This Row],[Name]],IF(AND('CALLER Portal'!$Y$1 = "FALSE", OverallTable[[#This Row],[Active]] = TRUE),OverallTable[[#This Row],[Name]],"(Blank)")),"")</f>
        <v xml:space="preserve">Jim Kingser </v>
      </c>
      <c r="AB77" s="73" t="s">
        <v>318</v>
      </c>
    </row>
    <row r="78" spans="1:28" x14ac:dyDescent="0.25">
      <c r="A78" s="160" t="s">
        <v>318</v>
      </c>
      <c r="B78" s="134" t="b">
        <v>1</v>
      </c>
      <c r="C78" s="161">
        <f t="shared" ca="1" si="30"/>
        <v>63.695999999999991</v>
      </c>
      <c r="D78" s="161">
        <f t="shared" ca="1" si="31"/>
        <v>85</v>
      </c>
      <c r="E78" s="161">
        <f t="shared" ca="1" si="32"/>
        <v>42</v>
      </c>
      <c r="F78" s="161">
        <f t="shared" ca="1" si="33"/>
        <v>3</v>
      </c>
      <c r="G78" s="162">
        <f t="shared" ca="1" si="34"/>
        <v>385</v>
      </c>
      <c r="H78" s="163">
        <f t="shared" ca="1" si="35"/>
        <v>2850</v>
      </c>
      <c r="I78" s="163">
        <f t="shared" ca="1" si="36"/>
        <v>360</v>
      </c>
      <c r="J78" s="163">
        <f t="shared" ca="1" si="37"/>
        <v>5550</v>
      </c>
      <c r="K78" s="165">
        <f ca="1">IFERROR(IF(AND('CALLER Portal'!$Y$1 = "False", OverallTable[[#This Row],[Active]] = FALSE), "",OverallTable[[#This Row],[Total Gifts]]/OverallTable[[#This Row],[Contacts]]),"")</f>
        <v>0.22077922077922077</v>
      </c>
      <c r="L78" s="165">
        <f ca="1">IF(AND('CALLER Portal'!$Y$1 = "False", OverallTable[[#This Row],[Active]] = FALSE), "", IF(C78 = 0,"",IFERROR((E78+F78)/D78,0)))</f>
        <v>0.52941176470588236</v>
      </c>
      <c r="M78" s="165">
        <f ca="1">IF(AND('CALLER Portal'!$Y$1 = "False", OverallTable[[#This Row],[Active]] = FALSE), "",IF(C78 = 0,"",IFERROR(F78/D78,0)))</f>
        <v>3.5294117647058823E-2</v>
      </c>
      <c r="N78" s="166">
        <f ca="1">IF(AND('CALLER Portal'!$Y$1 = "False", OverallTable[[#This Row],[Active]] = FALSE), "", IFERROR((H78+I78)/C78,""))</f>
        <v>50.395629238884709</v>
      </c>
      <c r="O78" s="172">
        <f ca="1">IF(AND('CALLER Portal'!$Y$1 = "False", OverallTable[[#This Row],[Active]] = FALSE),"",IF(C78 = 0,"",IFERROR((E78+F78)/C78,0)))</f>
        <v>0.70648078372268286</v>
      </c>
      <c r="P78" s="172">
        <f ca="1">IF(AND('CALLER Portal'!$Y$1 = "False", OverallTable[[#This Row],[Active]] = FALSE), "", IF(C78 = 0,"",IFERROR((F78)/C78,0)))</f>
        <v>4.7098718914845523E-2</v>
      </c>
      <c r="Q78" s="164">
        <f t="shared" ca="1" si="38"/>
        <v>6.0443355940718417</v>
      </c>
      <c r="R78" s="164">
        <f ca="1">IFERROR(_xlfn.PERCENTRANK.INC(OverallTable[F-Score], OverallTable[[#This Row],[F-Score]]),"")</f>
        <v>0.215</v>
      </c>
      <c r="S78" s="164">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0.31309999999999999</v>
      </c>
      <c r="T78" s="159">
        <f t="shared" ca="1" si="39"/>
        <v>0.23300000000000001</v>
      </c>
      <c r="U78" s="141">
        <f t="shared" ca="1" si="40"/>
        <v>0.23300000000000001</v>
      </c>
      <c r="V78" s="141">
        <f t="shared" ca="1" si="41"/>
        <v>0.3</v>
      </c>
      <c r="W78" s="141">
        <f t="shared" ca="1" si="42"/>
        <v>0.5</v>
      </c>
      <c r="X78" s="141">
        <f t="shared" ca="1" si="43"/>
        <v>0.311</v>
      </c>
      <c r="Y78" s="141">
        <f t="shared" ca="1" si="44"/>
        <v>0.27700000000000002</v>
      </c>
      <c r="Z78" s="141" t="str">
        <f>IFERROR(IF('CALLER Portal'!$Y$1 = "TRUE", OverallTable[[#This Row],[Name]],IF(AND('CALLER Portal'!$Y$1 = "FALSE", OverallTable[[#This Row],[Active]] = TRUE),OverallTable[[#This Row],[Name]],"(Blank)")),"")</f>
        <v xml:space="preserve">Joel Owens </v>
      </c>
      <c r="AB78" s="73" t="s">
        <v>338</v>
      </c>
    </row>
    <row r="79" spans="1:28" x14ac:dyDescent="0.25">
      <c r="A79" s="82" t="s">
        <v>338</v>
      </c>
      <c r="B79" s="134" t="b">
        <v>1</v>
      </c>
      <c r="C79" s="83">
        <f t="shared" ca="1" si="30"/>
        <v>0</v>
      </c>
      <c r="D79" s="83">
        <f t="shared" ca="1" si="31"/>
        <v>0</v>
      </c>
      <c r="E79" s="83">
        <f t="shared" ca="1" si="32"/>
        <v>0</v>
      </c>
      <c r="F79" s="83">
        <f t="shared" ca="1" si="33"/>
        <v>0</v>
      </c>
      <c r="G79" s="107">
        <f t="shared" ca="1" si="34"/>
        <v>0</v>
      </c>
      <c r="H79" s="84">
        <f t="shared" ca="1" si="35"/>
        <v>0</v>
      </c>
      <c r="I79" s="84">
        <f t="shared" ca="1" si="36"/>
        <v>0</v>
      </c>
      <c r="J79" s="84">
        <f t="shared" ca="1" si="37"/>
        <v>0</v>
      </c>
      <c r="K79" s="92" t="str">
        <f ca="1">IFERROR(IF(AND('CALLER Portal'!$Y$1 = "False", OverallTable[[#This Row],[Active]] = FALSE), "",OverallTable[[#This Row],[Total Gifts]]/OverallTable[[#This Row],[Contacts]]),"")</f>
        <v/>
      </c>
      <c r="L79" s="92" t="str">
        <f ca="1">IF(AND('CALLER Portal'!$Y$1 = "False", OverallTable[[#This Row],[Active]] = FALSE), "", IF(C79 = 0,"",IFERROR((E79+F79)/D79,0)))</f>
        <v/>
      </c>
      <c r="M79" s="92" t="str">
        <f ca="1">IF(AND('CALLER Portal'!$Y$1 = "False", OverallTable[[#This Row],[Active]] = FALSE), "",IF(C79 = 0,"",IFERROR(F79/D79,0)))</f>
        <v/>
      </c>
      <c r="N79" s="85" t="str">
        <f ca="1">IF(AND('CALLER Portal'!$Y$1 = "False", OverallTable[[#This Row],[Active]] = FALSE), "", IFERROR((H79+I79)/C79,""))</f>
        <v/>
      </c>
      <c r="O79" s="170" t="str">
        <f ca="1">IF(AND('CALLER Portal'!$Y$1 = "False", OverallTable[[#This Row],[Active]] = FALSE),"",IF(C79 = 0,"",IFERROR((E79+F79)/C79,0)))</f>
        <v/>
      </c>
      <c r="P79" s="170" t="str">
        <f ca="1">IF(AND('CALLER Portal'!$Y$1 = "False", OverallTable[[#This Row],[Active]] = FALSE), "", IF(C79 = 0,"",IFERROR((F79)/C79,0)))</f>
        <v/>
      </c>
      <c r="Q79" s="86" t="str">
        <f t="shared" ca="1" si="38"/>
        <v/>
      </c>
      <c r="R79" s="86" t="str">
        <f ca="1">IFERROR(_xlfn.PERCENTRANK.INC(OverallTable[F-Score], OverallTable[[#This Row],[F-Score]]),"")</f>
        <v/>
      </c>
      <c r="S79"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79" s="116" t="str">
        <f t="shared" ca="1" si="39"/>
        <v/>
      </c>
      <c r="U79" s="117" t="str">
        <f t="shared" ca="1" si="40"/>
        <v/>
      </c>
      <c r="V79" s="117" t="str">
        <f t="shared" ca="1" si="41"/>
        <v/>
      </c>
      <c r="W79" s="117" t="str">
        <f t="shared" ca="1" si="42"/>
        <v/>
      </c>
      <c r="X79" s="117" t="str">
        <f t="shared" ca="1" si="43"/>
        <v/>
      </c>
      <c r="Y79" s="117" t="str">
        <f t="shared" ca="1" si="44"/>
        <v/>
      </c>
      <c r="Z79" s="141" t="str">
        <f>IFERROR(IF('CALLER Portal'!$Y$1 = "TRUE", OverallTable[[#This Row],[Name]],IF(AND('CALLER Portal'!$Y$1 = "FALSE", OverallTable[[#This Row],[Active]] = TRUE),OverallTable[[#This Row],[Name]],"(Blank)")),"")</f>
        <v xml:space="preserve">John Tree </v>
      </c>
      <c r="AB79" s="73" t="s">
        <v>271</v>
      </c>
    </row>
    <row r="80" spans="1:28" x14ac:dyDescent="0.25">
      <c r="A80" s="82" t="s">
        <v>271</v>
      </c>
      <c r="B80" s="134" t="b">
        <v>1</v>
      </c>
      <c r="C80" s="83">
        <f t="shared" ca="1" si="30"/>
        <v>69.155000000000001</v>
      </c>
      <c r="D80" s="83">
        <f t="shared" ca="1" si="31"/>
        <v>104</v>
      </c>
      <c r="E80" s="83">
        <f t="shared" ca="1" si="32"/>
        <v>68</v>
      </c>
      <c r="F80" s="83">
        <f t="shared" ca="1" si="33"/>
        <v>2</v>
      </c>
      <c r="G80" s="107">
        <f t="shared" ca="1" si="34"/>
        <v>342</v>
      </c>
      <c r="H80" s="84">
        <f t="shared" ca="1" si="35"/>
        <v>4025</v>
      </c>
      <c r="I80" s="84">
        <f t="shared" ca="1" si="36"/>
        <v>170</v>
      </c>
      <c r="J80" s="84">
        <f t="shared" ca="1" si="37"/>
        <v>5690</v>
      </c>
      <c r="K80" s="92">
        <f ca="1">IFERROR(IF(AND('CALLER Portal'!$Y$1 = "False", OverallTable[[#This Row],[Active]] = FALSE), "",OverallTable[[#This Row],[Total Gifts]]/OverallTable[[#This Row],[Contacts]]),"")</f>
        <v>0.30409356725146197</v>
      </c>
      <c r="L80" s="92">
        <f ca="1">IF(AND('CALLER Portal'!$Y$1 = "False", OverallTable[[#This Row],[Active]] = FALSE), "", IF(C80 = 0,"",IFERROR((E80+F80)/D80,0)))</f>
        <v>0.67307692307692313</v>
      </c>
      <c r="M80" s="92">
        <f ca="1">IF(AND('CALLER Portal'!$Y$1 = "False", OverallTable[[#This Row],[Active]] = FALSE), "",IF(C80 = 0,"",IFERROR(F80/D80,0)))</f>
        <v>1.9230769230769232E-2</v>
      </c>
      <c r="N80" s="85">
        <f ca="1">IF(AND('CALLER Portal'!$Y$1 = "False", OverallTable[[#This Row],[Active]] = FALSE), "", IFERROR((H80+I80)/C80,""))</f>
        <v>60.660834357602489</v>
      </c>
      <c r="O80" s="170">
        <f ca="1">IF(AND('CALLER Portal'!$Y$1 = "False", OverallTable[[#This Row],[Active]] = FALSE),"",IF(C80 = 0,"",IFERROR((E80+F80)/C80,0)))</f>
        <v>1.0122189284939629</v>
      </c>
      <c r="P80" s="170">
        <f ca="1">IF(AND('CALLER Portal'!$Y$1 = "False", OverallTable[[#This Row],[Active]] = FALSE), "", IF(C80 = 0,"",IFERROR((F80)/C80,0)))</f>
        <v>2.8920540814113223E-2</v>
      </c>
      <c r="Q80" s="86">
        <f t="shared" ca="1" si="38"/>
        <v>4.9454124792133616</v>
      </c>
      <c r="R80" s="86">
        <f ca="1">IFERROR(_xlfn.PERCENTRANK.INC(OverallTable[F-Score], OverallTable[[#This Row],[F-Score]]),"")</f>
        <v>0.60199999999999998</v>
      </c>
      <c r="S80" s="86">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0.57080000000000009</v>
      </c>
      <c r="T80" s="116">
        <f t="shared" ca="1" si="39"/>
        <v>0.64400000000000002</v>
      </c>
      <c r="U80" s="117">
        <f t="shared" ca="1" si="40"/>
        <v>0.73299999999999998</v>
      </c>
      <c r="V80" s="117">
        <f t="shared" ca="1" si="41"/>
        <v>0.2</v>
      </c>
      <c r="W80" s="117">
        <f t="shared" ca="1" si="42"/>
        <v>0.64400000000000002</v>
      </c>
      <c r="X80" s="117">
        <f t="shared" ca="1" si="43"/>
        <v>0.63300000000000001</v>
      </c>
      <c r="Y80" s="117">
        <f t="shared" ca="1" si="44"/>
        <v>0.2</v>
      </c>
      <c r="Z80" s="141" t="str">
        <f>IFERROR(IF('CALLER Portal'!$Y$1 = "TRUE", OverallTable[[#This Row],[Name]],IF(AND('CALLER Portal'!$Y$1 = "FALSE", OverallTable[[#This Row],[Active]] = TRUE),OverallTable[[#This Row],[Name]],"(Blank)")),"")</f>
        <v xml:space="preserve">Joseff Reeves </v>
      </c>
      <c r="AB80" s="73" t="s">
        <v>380</v>
      </c>
    </row>
    <row r="81" spans="1:28" x14ac:dyDescent="0.25">
      <c r="A81" s="82" t="s">
        <v>380</v>
      </c>
      <c r="B81" s="134" t="b">
        <v>1</v>
      </c>
      <c r="C81" s="83">
        <f t="shared" ca="1" si="30"/>
        <v>0</v>
      </c>
      <c r="D81" s="83">
        <f t="shared" ca="1" si="31"/>
        <v>0</v>
      </c>
      <c r="E81" s="83">
        <f t="shared" ca="1" si="32"/>
        <v>0</v>
      </c>
      <c r="F81" s="83">
        <f t="shared" ca="1" si="33"/>
        <v>0</v>
      </c>
      <c r="G81" s="107">
        <f t="shared" ca="1" si="34"/>
        <v>0</v>
      </c>
      <c r="H81" s="84">
        <f t="shared" ca="1" si="35"/>
        <v>0</v>
      </c>
      <c r="I81" s="84">
        <f t="shared" ca="1" si="36"/>
        <v>0</v>
      </c>
      <c r="J81" s="84">
        <f t="shared" ca="1" si="37"/>
        <v>0</v>
      </c>
      <c r="K81" s="92" t="str">
        <f ca="1">IFERROR(IF(AND('CALLER Portal'!$Y$1 = "False", OverallTable[[#This Row],[Active]] = FALSE), "",OverallTable[[#This Row],[Total Gifts]]/OverallTable[[#This Row],[Contacts]]),"")</f>
        <v/>
      </c>
      <c r="L81" s="92" t="str">
        <f ca="1">IF(AND('CALLER Portal'!$Y$1 = "False", OverallTable[[#This Row],[Active]] = FALSE), "", IF(C81 = 0,"",IFERROR((E81+F81)/D81,0)))</f>
        <v/>
      </c>
      <c r="M81" s="92" t="str">
        <f ca="1">IF(AND('CALLER Portal'!$Y$1 = "False", OverallTable[[#This Row],[Active]] = FALSE), "",IF(C81 = 0,"",IFERROR(F81/D81,0)))</f>
        <v/>
      </c>
      <c r="N81" s="85" t="str">
        <f ca="1">IF(AND('CALLER Portal'!$Y$1 = "False", OverallTable[[#This Row],[Active]] = FALSE), "", IFERROR((H81+I81)/C81,""))</f>
        <v/>
      </c>
      <c r="O81" s="170" t="str">
        <f ca="1">IF(AND('CALLER Portal'!$Y$1 = "False", OverallTable[[#This Row],[Active]] = FALSE),"",IF(C81 = 0,"",IFERROR((E81+F81)/C81,0)))</f>
        <v/>
      </c>
      <c r="P81" s="170" t="str">
        <f ca="1">IF(AND('CALLER Portal'!$Y$1 = "False", OverallTable[[#This Row],[Active]] = FALSE), "", IF(C81 = 0,"",IFERROR((F81)/C81,0)))</f>
        <v/>
      </c>
      <c r="Q81" s="86" t="str">
        <f t="shared" ca="1" si="38"/>
        <v/>
      </c>
      <c r="R81" s="86" t="str">
        <f ca="1">IFERROR(_xlfn.PERCENTRANK.INC(OverallTable[F-Score], OverallTable[[#This Row],[F-Score]]),"")</f>
        <v/>
      </c>
      <c r="S81"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81" s="116" t="str">
        <f t="shared" ca="1" si="39"/>
        <v/>
      </c>
      <c r="U81" s="117" t="str">
        <f t="shared" ca="1" si="40"/>
        <v/>
      </c>
      <c r="V81" s="117" t="str">
        <f t="shared" ca="1" si="41"/>
        <v/>
      </c>
      <c r="W81" s="117" t="str">
        <f t="shared" ca="1" si="42"/>
        <v/>
      </c>
      <c r="X81" s="117" t="str">
        <f t="shared" ca="1" si="43"/>
        <v/>
      </c>
      <c r="Y81" s="117" t="str">
        <f t="shared" ca="1" si="44"/>
        <v/>
      </c>
      <c r="Z81" s="141" t="str">
        <f>IFERROR(IF('CALLER Portal'!$Y$1 = "TRUE", OverallTable[[#This Row],[Name]],IF(AND('CALLER Portal'!$Y$1 = "FALSE", OverallTable[[#This Row],[Active]] = TRUE),OverallTable[[#This Row],[Name]],"(Blank)")),"")</f>
        <v xml:space="preserve">Joseph Tallys </v>
      </c>
      <c r="AB81" s="73" t="s">
        <v>427</v>
      </c>
    </row>
    <row r="82" spans="1:28" x14ac:dyDescent="0.25">
      <c r="A82" s="82" t="s">
        <v>427</v>
      </c>
      <c r="B82" s="134" t="b">
        <v>1</v>
      </c>
      <c r="C82" s="91">
        <f t="shared" ca="1" si="30"/>
        <v>0</v>
      </c>
      <c r="D82" s="91">
        <f t="shared" ca="1" si="31"/>
        <v>0</v>
      </c>
      <c r="E82" s="91">
        <f t="shared" ca="1" si="32"/>
        <v>0</v>
      </c>
      <c r="F82" s="91">
        <f t="shared" ca="1" si="33"/>
        <v>0</v>
      </c>
      <c r="G82" s="107">
        <f t="shared" ca="1" si="34"/>
        <v>0</v>
      </c>
      <c r="H82" s="84">
        <f t="shared" ca="1" si="35"/>
        <v>0</v>
      </c>
      <c r="I82" s="84">
        <f t="shared" ca="1" si="36"/>
        <v>0</v>
      </c>
      <c r="J82" s="84">
        <f t="shared" ca="1" si="37"/>
        <v>0</v>
      </c>
      <c r="K82" s="92" t="str">
        <f ca="1">IFERROR(IF(AND('CALLER Portal'!$Y$1 = "False", OverallTable[[#This Row],[Active]] = FALSE), "",OverallTable[[#This Row],[Total Gifts]]/OverallTable[[#This Row],[Contacts]]),"")</f>
        <v/>
      </c>
      <c r="L82" s="92" t="str">
        <f ca="1">IF(AND('CALLER Portal'!$Y$1 = "False", OverallTable[[#This Row],[Active]] = FALSE), "", IF(C82 = 0,"",IFERROR((E82+F82)/D82,0)))</f>
        <v/>
      </c>
      <c r="M82" s="92" t="str">
        <f ca="1">IF(AND('CALLER Portal'!$Y$1 = "False", OverallTable[[#This Row],[Active]] = FALSE), "",IF(C82 = 0,"",IFERROR(F82/D82,0)))</f>
        <v/>
      </c>
      <c r="N82" s="85" t="str">
        <f ca="1">IF(AND('CALLER Portal'!$Y$1 = "False", OverallTable[[#This Row],[Active]] = FALSE), "", IFERROR((H82+I82)/C82,""))</f>
        <v/>
      </c>
      <c r="O82" s="173" t="str">
        <f ca="1">IF(AND('CALLER Portal'!$Y$1 = "False", OverallTable[[#This Row],[Active]] = FALSE),"",IF(C82 = 0,"",IFERROR((E82+F82)/C82,0)))</f>
        <v/>
      </c>
      <c r="P82" s="173" t="str">
        <f ca="1">IF(AND('CALLER Portal'!$Y$1 = "False", OverallTable[[#This Row],[Active]] = FALSE), "", IF(C82 = 0,"",IFERROR((F82)/C82,0)))</f>
        <v/>
      </c>
      <c r="Q82" s="86" t="str">
        <f t="shared" ca="1" si="38"/>
        <v/>
      </c>
      <c r="R82" s="86" t="str">
        <f ca="1">IFERROR(_xlfn.PERCENTRANK.INC(OverallTable[F-Score], OverallTable[[#This Row],[F-Score]]),"")</f>
        <v/>
      </c>
      <c r="S82"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82" s="201" t="str">
        <f t="shared" ca="1" si="39"/>
        <v/>
      </c>
      <c r="U82" s="117" t="str">
        <f t="shared" ca="1" si="40"/>
        <v/>
      </c>
      <c r="V82" s="117" t="str">
        <f t="shared" ca="1" si="41"/>
        <v/>
      </c>
      <c r="W82" s="117" t="str">
        <f t="shared" ca="1" si="42"/>
        <v/>
      </c>
      <c r="X82" s="117" t="str">
        <f t="shared" ca="1" si="43"/>
        <v/>
      </c>
      <c r="Y82" s="117" t="str">
        <f t="shared" ca="1" si="44"/>
        <v/>
      </c>
      <c r="Z82" s="141" t="str">
        <f>IFERROR(IF('CALLER Portal'!$Y$1 = "TRUE", OverallTable[[#This Row],[Name]],IF(AND('CALLER Portal'!$Y$1 = "FALSE", OverallTable[[#This Row],[Active]] = TRUE),OverallTable[[#This Row],[Name]],"(Blank)")),"")</f>
        <v xml:space="preserve">Julien Peason </v>
      </c>
      <c r="AB82" s="73" t="s">
        <v>414</v>
      </c>
    </row>
    <row r="83" spans="1:28" x14ac:dyDescent="0.25">
      <c r="A83" s="158" t="s">
        <v>414</v>
      </c>
      <c r="B83" s="134" t="b">
        <v>1</v>
      </c>
      <c r="C83" s="239">
        <f t="shared" ca="1" si="30"/>
        <v>48.728000000000009</v>
      </c>
      <c r="D83" s="239">
        <f t="shared" ca="1" si="31"/>
        <v>103</v>
      </c>
      <c r="E83" s="239">
        <f t="shared" ca="1" si="32"/>
        <v>56</v>
      </c>
      <c r="F83" s="239">
        <f t="shared" ca="1" si="33"/>
        <v>8</v>
      </c>
      <c r="G83" s="240">
        <f t="shared" ca="1" si="34"/>
        <v>289</v>
      </c>
      <c r="H83" s="241">
        <f t="shared" ca="1" si="35"/>
        <v>2485</v>
      </c>
      <c r="I83" s="241">
        <f t="shared" ca="1" si="36"/>
        <v>960</v>
      </c>
      <c r="J83" s="241">
        <f t="shared" ca="1" si="37"/>
        <v>5895</v>
      </c>
      <c r="K83" s="242">
        <f ca="1">IFERROR(IF(AND('CALLER Portal'!$Y$1 = "False", OverallTable[[#This Row],[Active]] = FALSE), "",OverallTable[[#This Row],[Total Gifts]]/OverallTable[[#This Row],[Contacts]]),"")</f>
        <v>0.356401384083045</v>
      </c>
      <c r="L83" s="242">
        <f ca="1">IF(AND('CALLER Portal'!$Y$1 = "False", OverallTable[[#This Row],[Active]] = FALSE), "", IF(C83 = 0,"",IFERROR((E83+F83)/D83,0)))</f>
        <v>0.62135922330097082</v>
      </c>
      <c r="M83" s="242">
        <f ca="1">IF(AND('CALLER Portal'!$Y$1 = "False", OverallTable[[#This Row],[Active]] = FALSE), "",IF(C83 = 0,"",IFERROR(F83/D83,0)))</f>
        <v>7.7669902912621352E-2</v>
      </c>
      <c r="N83" s="243">
        <f ca="1">IF(AND('CALLER Portal'!$Y$1 = "False", OverallTable[[#This Row],[Active]] = FALSE), "", IFERROR((H83+I83)/C83,""))</f>
        <v>70.69857166310949</v>
      </c>
      <c r="O83" s="244">
        <f ca="1">IF(AND('CALLER Portal'!$Y$1 = "False", OverallTable[[#This Row],[Active]] = FALSE),"",IF(C83 = 0,"",IFERROR((E83+F83)/C83,0)))</f>
        <v>1.3134132326383186</v>
      </c>
      <c r="P83" s="244">
        <f ca="1">IF(AND('CALLER Portal'!$Y$1 = "False", OverallTable[[#This Row],[Active]] = FALSE), "", IF(C83 = 0,"",IFERROR((F83)/C83,0)))</f>
        <v>0.16417665407978982</v>
      </c>
      <c r="Q83" s="245">
        <f t="shared" ca="1" si="38"/>
        <v>5.9308816286324078</v>
      </c>
      <c r="R83" s="245">
        <f ca="1">IFERROR(_xlfn.PERCENTRANK.INC(OverallTable[F-Score], OverallTable[[#This Row],[F-Score]]),"")</f>
        <v>0.88600000000000001</v>
      </c>
      <c r="S83" s="245">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0.75160000000000016</v>
      </c>
      <c r="T83" s="159">
        <f t="shared" ca="1" si="39"/>
        <v>0.877</v>
      </c>
      <c r="U83" s="141">
        <f t="shared" ca="1" si="40"/>
        <v>0.57699999999999996</v>
      </c>
      <c r="V83" s="141">
        <f t="shared" ca="1" si="41"/>
        <v>0.61099999999999999</v>
      </c>
      <c r="W83" s="141">
        <f t="shared" ca="1" si="42"/>
        <v>0.78800000000000003</v>
      </c>
      <c r="X83" s="141">
        <f t="shared" ca="1" si="43"/>
        <v>0.84399999999999997</v>
      </c>
      <c r="Y83" s="141">
        <f t="shared" ca="1" si="44"/>
        <v>0.73299999999999998</v>
      </c>
      <c r="Z83" s="141" t="str">
        <f>IFERROR(IF('CALLER Portal'!$Y$1 = "TRUE", OverallTable[[#This Row],[Name]],IF(AND('CALLER Portal'!$Y$1 = "FALSE", OverallTable[[#This Row],[Active]] = TRUE),OverallTable[[#This Row],[Name]],"(Blank)")),"")</f>
        <v xml:space="preserve">Julius McCayon </v>
      </c>
      <c r="AB83" s="73" t="s">
        <v>421</v>
      </c>
    </row>
    <row r="84" spans="1:28" x14ac:dyDescent="0.25">
      <c r="A84" s="82" t="s">
        <v>421</v>
      </c>
      <c r="B84" s="134" t="b">
        <v>1</v>
      </c>
      <c r="C84" s="91">
        <f t="shared" ca="1" si="30"/>
        <v>0</v>
      </c>
      <c r="D84" s="91">
        <f t="shared" ca="1" si="31"/>
        <v>0</v>
      </c>
      <c r="E84" s="91">
        <f t="shared" ca="1" si="32"/>
        <v>0</v>
      </c>
      <c r="F84" s="91">
        <f t="shared" ca="1" si="33"/>
        <v>0</v>
      </c>
      <c r="G84" s="107">
        <f t="shared" ca="1" si="34"/>
        <v>0</v>
      </c>
      <c r="H84" s="84">
        <f t="shared" ca="1" si="35"/>
        <v>0</v>
      </c>
      <c r="I84" s="84">
        <f t="shared" ca="1" si="36"/>
        <v>0</v>
      </c>
      <c r="J84" s="84">
        <f t="shared" ca="1" si="37"/>
        <v>0</v>
      </c>
      <c r="K84" s="92" t="str">
        <f ca="1">IFERROR(IF(AND('CALLER Portal'!$Y$1 = "False", OverallTable[[#This Row],[Active]] = FALSE), "",OverallTable[[#This Row],[Total Gifts]]/OverallTable[[#This Row],[Contacts]]),"")</f>
        <v/>
      </c>
      <c r="L84" s="92" t="str">
        <f ca="1">IF(AND('CALLER Portal'!$Y$1 = "False", OverallTable[[#This Row],[Active]] = FALSE), "", IF(C84 = 0,"",IFERROR((E84+F84)/D84,0)))</f>
        <v/>
      </c>
      <c r="M84" s="92" t="str">
        <f ca="1">IF(AND('CALLER Portal'!$Y$1 = "False", OverallTable[[#This Row],[Active]] = FALSE), "",IF(C84 = 0,"",IFERROR(F84/D84,0)))</f>
        <v/>
      </c>
      <c r="N84" s="85" t="str">
        <f ca="1">IF(AND('CALLER Portal'!$Y$1 = "False", OverallTable[[#This Row],[Active]] = FALSE), "", IFERROR((H84+I84)/C84,""))</f>
        <v/>
      </c>
      <c r="O84" s="173" t="str">
        <f ca="1">IF(AND('CALLER Portal'!$Y$1 = "False", OverallTable[[#This Row],[Active]] = FALSE),"",IF(C84 = 0,"",IFERROR((E84+F84)/C84,0)))</f>
        <v/>
      </c>
      <c r="P84" s="173" t="str">
        <f ca="1">IF(AND('CALLER Portal'!$Y$1 = "False", OverallTable[[#This Row],[Active]] = FALSE), "", IF(C84 = 0,"",IFERROR((F84)/C84,0)))</f>
        <v/>
      </c>
      <c r="Q84" s="86" t="str">
        <f t="shared" ca="1" si="38"/>
        <v/>
      </c>
      <c r="R84" s="86" t="str">
        <f ca="1">IFERROR(_xlfn.PERCENTRANK.INC(OverallTable[F-Score], OverallTable[[#This Row],[F-Score]]),"")</f>
        <v/>
      </c>
      <c r="S84"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84" s="116" t="str">
        <f t="shared" ca="1" si="39"/>
        <v/>
      </c>
      <c r="U84" s="117" t="str">
        <f t="shared" ca="1" si="40"/>
        <v/>
      </c>
      <c r="V84" s="117" t="str">
        <f t="shared" ca="1" si="41"/>
        <v/>
      </c>
      <c r="W84" s="117" t="str">
        <f t="shared" ca="1" si="42"/>
        <v/>
      </c>
      <c r="X84" s="117" t="str">
        <f t="shared" ca="1" si="43"/>
        <v/>
      </c>
      <c r="Y84" s="117" t="str">
        <f t="shared" ca="1" si="44"/>
        <v/>
      </c>
      <c r="Z84" s="141" t="str">
        <f>IFERROR(IF('CALLER Portal'!$Y$1 = "TRUE", OverallTable[[#This Row],[Name]],IF(AND('CALLER Portal'!$Y$1 = "FALSE", OverallTable[[#This Row],[Active]] = TRUE),OverallTable[[#This Row],[Name]],"(Blank)")),"")</f>
        <v xml:space="preserve">Juniper Kidd </v>
      </c>
      <c r="AB84" s="73" t="s">
        <v>429</v>
      </c>
    </row>
    <row r="85" spans="1:28" x14ac:dyDescent="0.25">
      <c r="A85" s="82" t="s">
        <v>429</v>
      </c>
      <c r="B85" s="134" t="b">
        <v>1</v>
      </c>
      <c r="C85" s="91">
        <f t="shared" ca="1" si="30"/>
        <v>0</v>
      </c>
      <c r="D85" s="91">
        <f t="shared" ca="1" si="31"/>
        <v>0</v>
      </c>
      <c r="E85" s="91">
        <f t="shared" ca="1" si="32"/>
        <v>0</v>
      </c>
      <c r="F85" s="91">
        <f t="shared" ca="1" si="33"/>
        <v>0</v>
      </c>
      <c r="G85" s="107">
        <f t="shared" ca="1" si="34"/>
        <v>0</v>
      </c>
      <c r="H85" s="84">
        <f t="shared" ca="1" si="35"/>
        <v>0</v>
      </c>
      <c r="I85" s="84">
        <f t="shared" ca="1" si="36"/>
        <v>0</v>
      </c>
      <c r="J85" s="84">
        <f t="shared" ca="1" si="37"/>
        <v>0</v>
      </c>
      <c r="K85" s="92" t="str">
        <f ca="1">IFERROR(IF(AND('CALLER Portal'!$Y$1 = "False", OverallTable[[#This Row],[Active]] = FALSE), "",OverallTable[[#This Row],[Total Gifts]]/OverallTable[[#This Row],[Contacts]]),"")</f>
        <v/>
      </c>
      <c r="L85" s="92" t="str">
        <f ca="1">IF(AND('CALLER Portal'!$Y$1 = "False", OverallTable[[#This Row],[Active]] = FALSE), "", IF(C85 = 0,"",IFERROR((E85+F85)/D85,0)))</f>
        <v/>
      </c>
      <c r="M85" s="92" t="str">
        <f ca="1">IF(AND('CALLER Portal'!$Y$1 = "False", OverallTable[[#This Row],[Active]] = FALSE), "",IF(C85 = 0,"",IFERROR(F85/D85,0)))</f>
        <v/>
      </c>
      <c r="N85" s="85" t="str">
        <f ca="1">IF(AND('CALLER Portal'!$Y$1 = "False", OverallTable[[#This Row],[Active]] = FALSE), "", IFERROR((H85+I85)/C85,""))</f>
        <v/>
      </c>
      <c r="O85" s="173" t="str">
        <f ca="1">IF(AND('CALLER Portal'!$Y$1 = "False", OverallTable[[#This Row],[Active]] = FALSE),"",IF(C85 = 0,"",IFERROR((E85+F85)/C85,0)))</f>
        <v/>
      </c>
      <c r="P85" s="173" t="str">
        <f ca="1">IF(AND('CALLER Portal'!$Y$1 = "False", OverallTable[[#This Row],[Active]] = FALSE), "", IF(C85 = 0,"",IFERROR((F85)/C85,0)))</f>
        <v/>
      </c>
      <c r="Q85" s="86" t="str">
        <f t="shared" ca="1" si="38"/>
        <v/>
      </c>
      <c r="R85" s="86" t="str">
        <f ca="1">IFERROR(_xlfn.PERCENTRANK.INC(OverallTable[F-Score], OverallTable[[#This Row],[F-Score]]),"")</f>
        <v/>
      </c>
      <c r="S85"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85" s="201" t="str">
        <f t="shared" ca="1" si="39"/>
        <v/>
      </c>
      <c r="U85" s="117" t="str">
        <f t="shared" ca="1" si="40"/>
        <v/>
      </c>
      <c r="V85" s="117" t="str">
        <f t="shared" ca="1" si="41"/>
        <v/>
      </c>
      <c r="W85" s="117" t="str">
        <f t="shared" ca="1" si="42"/>
        <v/>
      </c>
      <c r="X85" s="117" t="str">
        <f t="shared" ca="1" si="43"/>
        <v/>
      </c>
      <c r="Y85" s="117" t="str">
        <f t="shared" ca="1" si="44"/>
        <v/>
      </c>
      <c r="Z85" s="141" t="str">
        <f>IFERROR(IF('CALLER Portal'!$Y$1 = "TRUE", OverallTable[[#This Row],[Name]],IF(AND('CALLER Portal'!$Y$1 = "FALSE", OverallTable[[#This Row],[Active]] = TRUE),OverallTable[[#This Row],[Name]],"(Blank)")),"")</f>
        <v xml:space="preserve">Justice Kolpos </v>
      </c>
      <c r="AB85" s="73" t="s">
        <v>274</v>
      </c>
    </row>
    <row r="86" spans="1:28" x14ac:dyDescent="0.25">
      <c r="A86" s="82" t="s">
        <v>274</v>
      </c>
      <c r="B86" s="134" t="b">
        <v>1</v>
      </c>
      <c r="C86" s="83">
        <f t="shared" ca="1" si="30"/>
        <v>13.001999999999999</v>
      </c>
      <c r="D86" s="83">
        <f t="shared" ca="1" si="31"/>
        <v>15</v>
      </c>
      <c r="E86" s="83">
        <f t="shared" ca="1" si="32"/>
        <v>13</v>
      </c>
      <c r="F86" s="83">
        <f t="shared" ca="1" si="33"/>
        <v>1</v>
      </c>
      <c r="G86" s="107">
        <f t="shared" ca="1" si="34"/>
        <v>49</v>
      </c>
      <c r="H86" s="84">
        <f t="shared" ca="1" si="35"/>
        <v>655</v>
      </c>
      <c r="I86" s="84">
        <f t="shared" ca="1" si="36"/>
        <v>120</v>
      </c>
      <c r="J86" s="84">
        <f t="shared" ca="1" si="37"/>
        <v>875</v>
      </c>
      <c r="K86" s="92">
        <f ca="1">IFERROR(IF(AND('CALLER Portal'!$Y$1 = "False", OverallTable[[#This Row],[Active]] = FALSE), "",OverallTable[[#This Row],[Total Gifts]]/OverallTable[[#This Row],[Contacts]]),"")</f>
        <v>0.30612244897959184</v>
      </c>
      <c r="L86" s="92">
        <f ca="1">IF(AND('CALLER Portal'!$Y$1 = "False", OverallTable[[#This Row],[Active]] = FALSE), "", IF(C86 = 0,"",IFERROR((E86+F86)/D86,0)))</f>
        <v>0.93333333333333335</v>
      </c>
      <c r="M86" s="92">
        <f ca="1">IF(AND('CALLER Portal'!$Y$1 = "False", OverallTable[[#This Row],[Active]] = FALSE), "",IF(C86 = 0,"",IFERROR(F86/D86,0)))</f>
        <v>6.6666666666666666E-2</v>
      </c>
      <c r="N86" s="85">
        <f ca="1">IF(AND('CALLER Portal'!$Y$1 = "False", OverallTable[[#This Row],[Active]] = FALSE), "", IFERROR((H86+I86)/C86,""))</f>
        <v>59.606214428549457</v>
      </c>
      <c r="O86" s="170">
        <f ca="1">IF(AND('CALLER Portal'!$Y$1 = "False", OverallTable[[#This Row],[Active]] = FALSE),"",IF(C86 = 0,"",IFERROR((E86+F86)/C86,0)))</f>
        <v>1.0767574219350871</v>
      </c>
      <c r="P86" s="170">
        <f ca="1">IF(AND('CALLER Portal'!$Y$1 = "False", OverallTable[[#This Row],[Active]] = FALSE), "", IF(C86 = 0,"",IFERROR((F86)/C86,0)))</f>
        <v>7.691124442393478E-2</v>
      </c>
      <c r="Q86" s="86">
        <f t="shared" ca="1" si="38"/>
        <v>3.7686509767728045</v>
      </c>
      <c r="R86" s="86">
        <f ca="1">IFERROR(_xlfn.PERCENTRANK.INC(OverallTable[F-Score], OverallTable[[#This Row],[F-Score]]),"")</f>
        <v>0.76100000000000001</v>
      </c>
      <c r="S86" s="86">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0.67400000000000004</v>
      </c>
      <c r="T86" s="116">
        <f t="shared" ca="1" si="39"/>
        <v>0.65500000000000003</v>
      </c>
      <c r="U86" s="117">
        <f t="shared" ca="1" si="40"/>
        <v>0.95499999999999996</v>
      </c>
      <c r="V86" s="117">
        <f t="shared" ca="1" si="41"/>
        <v>0.53300000000000003</v>
      </c>
      <c r="W86" s="117">
        <f t="shared" ca="1" si="42"/>
        <v>0.61099999999999999</v>
      </c>
      <c r="X86" s="117">
        <f t="shared" ca="1" si="43"/>
        <v>0.67700000000000005</v>
      </c>
      <c r="Y86" s="117">
        <f t="shared" ca="1" si="44"/>
        <v>0.41099999999999998</v>
      </c>
      <c r="Z86" s="141" t="str">
        <f>IFERROR(IF('CALLER Portal'!$Y$1 = "TRUE", OverallTable[[#This Row],[Name]],IF(AND('CALLER Portal'!$Y$1 = "FALSE", OverallTable[[#This Row],[Active]] = TRUE),OverallTable[[#This Row],[Name]],"(Blank)")),"")</f>
        <v xml:space="preserve">Kara Andrews </v>
      </c>
      <c r="AB86" s="73" t="s">
        <v>289</v>
      </c>
    </row>
    <row r="87" spans="1:28" x14ac:dyDescent="0.25">
      <c r="A87" s="82" t="s">
        <v>289</v>
      </c>
      <c r="B87" s="134" t="b">
        <v>1</v>
      </c>
      <c r="C87" s="83">
        <f t="shared" ca="1" si="30"/>
        <v>0</v>
      </c>
      <c r="D87" s="83">
        <f t="shared" ca="1" si="31"/>
        <v>0</v>
      </c>
      <c r="E87" s="83">
        <f t="shared" ca="1" si="32"/>
        <v>0</v>
      </c>
      <c r="F87" s="83">
        <f t="shared" ca="1" si="33"/>
        <v>0</v>
      </c>
      <c r="G87" s="107">
        <f t="shared" ca="1" si="34"/>
        <v>0</v>
      </c>
      <c r="H87" s="84">
        <f t="shared" ca="1" si="35"/>
        <v>0</v>
      </c>
      <c r="I87" s="84">
        <f t="shared" ca="1" si="36"/>
        <v>0</v>
      </c>
      <c r="J87" s="84">
        <f t="shared" ca="1" si="37"/>
        <v>0</v>
      </c>
      <c r="K87" s="92" t="str">
        <f ca="1">IFERROR(IF(AND('CALLER Portal'!$Y$1 = "False", OverallTable[[#This Row],[Active]] = FALSE), "",OverallTable[[#This Row],[Total Gifts]]/OverallTable[[#This Row],[Contacts]]),"")</f>
        <v/>
      </c>
      <c r="L87" s="92" t="str">
        <f ca="1">IF(AND('CALLER Portal'!$Y$1 = "False", OverallTable[[#This Row],[Active]] = FALSE), "", IF(C87 = 0,"",IFERROR((E87+F87)/D87,0)))</f>
        <v/>
      </c>
      <c r="M87" s="92" t="str">
        <f ca="1">IF(AND('CALLER Portal'!$Y$1 = "False", OverallTable[[#This Row],[Active]] = FALSE), "",IF(C87 = 0,"",IFERROR(F87/D87,0)))</f>
        <v/>
      </c>
      <c r="N87" s="85" t="str">
        <f ca="1">IF(AND('CALLER Portal'!$Y$1 = "False", OverallTable[[#This Row],[Active]] = FALSE), "", IFERROR((H87+I87)/C87,""))</f>
        <v/>
      </c>
      <c r="O87" s="170" t="str">
        <f ca="1">IF(AND('CALLER Portal'!$Y$1 = "False", OverallTable[[#This Row],[Active]] = FALSE),"",IF(C87 = 0,"",IFERROR((E87+F87)/C87,0)))</f>
        <v/>
      </c>
      <c r="P87" s="170" t="str">
        <f ca="1">IF(AND('CALLER Portal'!$Y$1 = "False", OverallTable[[#This Row],[Active]] = FALSE), "", IF(C87 = 0,"",IFERROR((F87)/C87,0)))</f>
        <v/>
      </c>
      <c r="Q87" s="86" t="str">
        <f t="shared" ca="1" si="38"/>
        <v/>
      </c>
      <c r="R87" s="86" t="str">
        <f ca="1">IFERROR(_xlfn.PERCENTRANK.INC(OverallTable[F-Score], OverallTable[[#This Row],[F-Score]]),"")</f>
        <v/>
      </c>
      <c r="S87"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87" s="116" t="str">
        <f t="shared" ca="1" si="39"/>
        <v/>
      </c>
      <c r="U87" s="117" t="str">
        <f t="shared" ca="1" si="40"/>
        <v/>
      </c>
      <c r="V87" s="117" t="str">
        <f t="shared" ca="1" si="41"/>
        <v/>
      </c>
      <c r="W87" s="117" t="str">
        <f t="shared" ca="1" si="42"/>
        <v/>
      </c>
      <c r="X87" s="117" t="str">
        <f t="shared" ca="1" si="43"/>
        <v/>
      </c>
      <c r="Y87" s="117" t="str">
        <f t="shared" ca="1" si="44"/>
        <v/>
      </c>
      <c r="Z87" s="141" t="str">
        <f>IFERROR(IF('CALLER Portal'!$Y$1 = "TRUE", OverallTable[[#This Row],[Name]],IF(AND('CALLER Portal'!$Y$1 = "FALSE", OverallTable[[#This Row],[Active]] = TRUE),OverallTable[[#This Row],[Name]],"(Blank)")),"")</f>
        <v xml:space="preserve">Karl Wood </v>
      </c>
      <c r="AB87" s="73" t="s">
        <v>346</v>
      </c>
    </row>
    <row r="88" spans="1:28" x14ac:dyDescent="0.25">
      <c r="A88" s="82" t="s">
        <v>346</v>
      </c>
      <c r="B88" s="134" t="b">
        <v>1</v>
      </c>
      <c r="C88" s="83">
        <f t="shared" ca="1" si="30"/>
        <v>0</v>
      </c>
      <c r="D88" s="83">
        <f t="shared" ca="1" si="31"/>
        <v>0</v>
      </c>
      <c r="E88" s="83">
        <f t="shared" ca="1" si="32"/>
        <v>0</v>
      </c>
      <c r="F88" s="83">
        <f t="shared" ca="1" si="33"/>
        <v>0</v>
      </c>
      <c r="G88" s="107">
        <f t="shared" ca="1" si="34"/>
        <v>0</v>
      </c>
      <c r="H88" s="84">
        <f t="shared" ca="1" si="35"/>
        <v>0</v>
      </c>
      <c r="I88" s="84">
        <f t="shared" ca="1" si="36"/>
        <v>0</v>
      </c>
      <c r="J88" s="84">
        <f t="shared" ca="1" si="37"/>
        <v>0</v>
      </c>
      <c r="K88" s="92" t="str">
        <f ca="1">IFERROR(IF(AND('CALLER Portal'!$Y$1 = "False", OverallTable[[#This Row],[Active]] = FALSE), "",OverallTable[[#This Row],[Total Gifts]]/OverallTable[[#This Row],[Contacts]]),"")</f>
        <v/>
      </c>
      <c r="L88" s="92" t="str">
        <f ca="1">IF(AND('CALLER Portal'!$Y$1 = "False", OverallTable[[#This Row],[Active]] = FALSE), "", IF(C88 = 0,"",IFERROR((E88+F88)/D88,0)))</f>
        <v/>
      </c>
      <c r="M88" s="92" t="str">
        <f ca="1">IF(AND('CALLER Portal'!$Y$1 = "False", OverallTable[[#This Row],[Active]] = FALSE), "",IF(C88 = 0,"",IFERROR(F88/D88,0)))</f>
        <v/>
      </c>
      <c r="N88" s="85" t="str">
        <f ca="1">IF(AND('CALLER Portal'!$Y$1 = "False", OverallTable[[#This Row],[Active]] = FALSE), "", IFERROR((H88+I88)/C88,""))</f>
        <v/>
      </c>
      <c r="O88" s="170" t="str">
        <f ca="1">IF(AND('CALLER Portal'!$Y$1 = "False", OverallTable[[#This Row],[Active]] = FALSE),"",IF(C88 = 0,"",IFERROR((E88+F88)/C88,0)))</f>
        <v/>
      </c>
      <c r="P88" s="170" t="str">
        <f ca="1">IF(AND('CALLER Portal'!$Y$1 = "False", OverallTable[[#This Row],[Active]] = FALSE), "", IF(C88 = 0,"",IFERROR((F88)/C88,0)))</f>
        <v/>
      </c>
      <c r="Q88" s="86" t="str">
        <f t="shared" ca="1" si="38"/>
        <v/>
      </c>
      <c r="R88" s="86" t="str">
        <f ca="1">IFERROR(_xlfn.PERCENTRANK.INC(OverallTable[F-Score], OverallTable[[#This Row],[F-Score]]),"")</f>
        <v/>
      </c>
      <c r="S88"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88" s="116" t="str">
        <f t="shared" ca="1" si="39"/>
        <v/>
      </c>
      <c r="U88" s="117" t="str">
        <f t="shared" ca="1" si="40"/>
        <v/>
      </c>
      <c r="V88" s="117" t="str">
        <f t="shared" ca="1" si="41"/>
        <v/>
      </c>
      <c r="W88" s="117" t="str">
        <f t="shared" ca="1" si="42"/>
        <v/>
      </c>
      <c r="X88" s="117" t="str">
        <f t="shared" ca="1" si="43"/>
        <v/>
      </c>
      <c r="Y88" s="117" t="str">
        <f t="shared" ca="1" si="44"/>
        <v/>
      </c>
      <c r="Z88" s="141" t="str">
        <f>IFERROR(IF('CALLER Portal'!$Y$1 = "TRUE", OverallTable[[#This Row],[Name]],IF(AND('CALLER Portal'!$Y$1 = "FALSE", OverallTable[[#This Row],[Active]] = TRUE),OverallTable[[#This Row],[Name]],"(Blank)")),"")</f>
        <v xml:space="preserve">Kasper Moayap </v>
      </c>
      <c r="AB88" s="73" t="s">
        <v>389</v>
      </c>
    </row>
    <row r="89" spans="1:28" x14ac:dyDescent="0.25">
      <c r="A89" s="82" t="s">
        <v>389</v>
      </c>
      <c r="B89" s="134" t="b">
        <v>1</v>
      </c>
      <c r="C89" s="83">
        <f t="shared" ca="1" si="30"/>
        <v>76.944000000000003</v>
      </c>
      <c r="D89" s="83">
        <f t="shared" ca="1" si="31"/>
        <v>108</v>
      </c>
      <c r="E89" s="83">
        <f t="shared" ca="1" si="32"/>
        <v>58</v>
      </c>
      <c r="F89" s="83">
        <f t="shared" ca="1" si="33"/>
        <v>19</v>
      </c>
      <c r="G89" s="107">
        <f t="shared" ca="1" si="34"/>
        <v>485</v>
      </c>
      <c r="H89" s="84">
        <f t="shared" ca="1" si="35"/>
        <v>3303</v>
      </c>
      <c r="I89" s="84">
        <f t="shared" ca="1" si="36"/>
        <v>1995</v>
      </c>
      <c r="J89" s="84">
        <f t="shared" ca="1" si="37"/>
        <v>6683</v>
      </c>
      <c r="K89" s="92">
        <f ca="1">IFERROR(IF(AND('CALLER Portal'!$Y$1 = "False", OverallTable[[#This Row],[Active]] = FALSE), "",OverallTable[[#This Row],[Total Gifts]]/OverallTable[[#This Row],[Contacts]]),"")</f>
        <v>0.22268041237113403</v>
      </c>
      <c r="L89" s="92">
        <f ca="1">IF(AND('CALLER Portal'!$Y$1 = "False", OverallTable[[#This Row],[Active]] = FALSE), "", IF(C89 = 0,"",IFERROR((E89+F89)/D89,0)))</f>
        <v>0.71296296296296291</v>
      </c>
      <c r="M89" s="92">
        <f ca="1">IF(AND('CALLER Portal'!$Y$1 = "False", OverallTable[[#This Row],[Active]] = FALSE), "",IF(C89 = 0,"",IFERROR(F89/D89,0)))</f>
        <v>0.17592592592592593</v>
      </c>
      <c r="N89" s="85">
        <f ca="1">IF(AND('CALLER Portal'!$Y$1 = "False", OverallTable[[#This Row],[Active]] = FALSE), "", IFERROR((H89+I89)/C89,""))</f>
        <v>68.85527136618839</v>
      </c>
      <c r="O89" s="170">
        <f ca="1">IF(AND('CALLER Portal'!$Y$1 = "False", OverallTable[[#This Row],[Active]] = FALSE),"",IF(C89 = 0,"",IFERROR((E89+F89)/C89,0)))</f>
        <v>1.0007278020378456</v>
      </c>
      <c r="P89" s="170">
        <f ca="1">IF(AND('CALLER Portal'!$Y$1 = "False", OverallTable[[#This Row],[Active]] = FALSE), "", IF(C89 = 0,"",IFERROR((F89)/C89,0)))</f>
        <v>0.2469328342690788</v>
      </c>
      <c r="Q89" s="86">
        <f t="shared" ca="1" si="38"/>
        <v>6.3032855063422746</v>
      </c>
      <c r="R89" s="86">
        <f ca="1">IFERROR(_xlfn.PERCENTRANK.INC(OverallTable[F-Score], OverallTable[[#This Row],[F-Score]]),"")</f>
        <v>0.71499999999999997</v>
      </c>
      <c r="S89" s="86">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0.65839999999999999</v>
      </c>
      <c r="T89" s="116">
        <f t="shared" ca="1" si="39"/>
        <v>0.24399999999999999</v>
      </c>
      <c r="U89" s="117">
        <f t="shared" ca="1" si="40"/>
        <v>0.78800000000000003</v>
      </c>
      <c r="V89" s="117">
        <f t="shared" ca="1" si="41"/>
        <v>0.93300000000000005</v>
      </c>
      <c r="W89" s="117">
        <f t="shared" ca="1" si="42"/>
        <v>0.74399999999999999</v>
      </c>
      <c r="X89" s="117">
        <f t="shared" ca="1" si="43"/>
        <v>0.61099999999999999</v>
      </c>
      <c r="Y89" s="117">
        <f t="shared" ca="1" si="44"/>
        <v>0.877</v>
      </c>
      <c r="Z89" s="141" t="str">
        <f>IFERROR(IF('CALLER Portal'!$Y$1 = "TRUE", OverallTable[[#This Row],[Name]],IF(AND('CALLER Portal'!$Y$1 = "FALSE", OverallTable[[#This Row],[Active]] = TRUE),OverallTable[[#This Row],[Name]],"(Blank)")),"")</f>
        <v xml:space="preserve">Kayden Dodsonl </v>
      </c>
      <c r="AB89" s="73" t="s">
        <v>288</v>
      </c>
    </row>
    <row r="90" spans="1:28" x14ac:dyDescent="0.25">
      <c r="A90" s="82" t="s">
        <v>288</v>
      </c>
      <c r="B90" s="134" t="b">
        <v>1</v>
      </c>
      <c r="C90" s="83">
        <f t="shared" ca="1" si="30"/>
        <v>0</v>
      </c>
      <c r="D90" s="83">
        <f t="shared" ca="1" si="31"/>
        <v>0</v>
      </c>
      <c r="E90" s="83">
        <f t="shared" ca="1" si="32"/>
        <v>0</v>
      </c>
      <c r="F90" s="83">
        <f t="shared" ca="1" si="33"/>
        <v>0</v>
      </c>
      <c r="G90" s="107">
        <f t="shared" ca="1" si="34"/>
        <v>0</v>
      </c>
      <c r="H90" s="84">
        <f t="shared" ca="1" si="35"/>
        <v>0</v>
      </c>
      <c r="I90" s="84">
        <f t="shared" ca="1" si="36"/>
        <v>0</v>
      </c>
      <c r="J90" s="84">
        <f t="shared" ca="1" si="37"/>
        <v>0</v>
      </c>
      <c r="K90" s="92" t="str">
        <f ca="1">IFERROR(IF(AND('CALLER Portal'!$Y$1 = "False", OverallTable[[#This Row],[Active]] = FALSE), "",OverallTable[[#This Row],[Total Gifts]]/OverallTable[[#This Row],[Contacts]]),"")</f>
        <v/>
      </c>
      <c r="L90" s="92" t="str">
        <f ca="1">IF(AND('CALLER Portal'!$Y$1 = "False", OverallTable[[#This Row],[Active]] = FALSE), "", IF(C90 = 0,"",IFERROR((E90+F90)/D90,0)))</f>
        <v/>
      </c>
      <c r="M90" s="92" t="str">
        <f ca="1">IF(AND('CALLER Portal'!$Y$1 = "False", OverallTable[[#This Row],[Active]] = FALSE), "",IF(C90 = 0,"",IFERROR(F90/D90,0)))</f>
        <v/>
      </c>
      <c r="N90" s="85" t="str">
        <f ca="1">IF(AND('CALLER Portal'!$Y$1 = "False", OverallTable[[#This Row],[Active]] = FALSE), "", IFERROR((H90+I90)/C90,""))</f>
        <v/>
      </c>
      <c r="O90" s="170" t="str">
        <f ca="1">IF(AND('CALLER Portal'!$Y$1 = "False", OverallTable[[#This Row],[Active]] = FALSE),"",IF(C90 = 0,"",IFERROR((E90+F90)/C90,0)))</f>
        <v/>
      </c>
      <c r="P90" s="170" t="str">
        <f ca="1">IF(AND('CALLER Portal'!$Y$1 = "False", OverallTable[[#This Row],[Active]] = FALSE), "", IF(C90 = 0,"",IFERROR((F90)/C90,0)))</f>
        <v/>
      </c>
      <c r="Q90" s="86" t="str">
        <f t="shared" ca="1" si="38"/>
        <v/>
      </c>
      <c r="R90" s="86" t="str">
        <f ca="1">IFERROR(_xlfn.PERCENTRANK.INC(OverallTable[F-Score], OverallTable[[#This Row],[F-Score]]),"")</f>
        <v/>
      </c>
      <c r="S90"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90" s="116" t="str">
        <f t="shared" ca="1" si="39"/>
        <v/>
      </c>
      <c r="U90" s="117" t="str">
        <f t="shared" ca="1" si="40"/>
        <v/>
      </c>
      <c r="V90" s="117" t="str">
        <f t="shared" ca="1" si="41"/>
        <v/>
      </c>
      <c r="W90" s="117" t="str">
        <f t="shared" ca="1" si="42"/>
        <v/>
      </c>
      <c r="X90" s="117" t="str">
        <f t="shared" ca="1" si="43"/>
        <v/>
      </c>
      <c r="Y90" s="117" t="str">
        <f t="shared" ca="1" si="44"/>
        <v/>
      </c>
      <c r="Z90" s="141" t="str">
        <f>IFERROR(IF('CALLER Portal'!$Y$1 = "TRUE", OverallTable[[#This Row],[Name]],IF(AND('CALLER Portal'!$Y$1 = "FALSE", OverallTable[[#This Row],[Active]] = TRUE),OverallTable[[#This Row],[Name]],"(Blank)")),"")</f>
        <v xml:space="preserve">Keiron Cope </v>
      </c>
      <c r="AB90" s="73" t="s">
        <v>417</v>
      </c>
    </row>
    <row r="91" spans="1:28" x14ac:dyDescent="0.25">
      <c r="A91" s="82" t="s">
        <v>417</v>
      </c>
      <c r="B91" s="134" t="b">
        <v>1</v>
      </c>
      <c r="C91" s="91">
        <f t="shared" ca="1" si="30"/>
        <v>81.720999999999989</v>
      </c>
      <c r="D91" s="91">
        <f t="shared" ca="1" si="31"/>
        <v>135</v>
      </c>
      <c r="E91" s="91">
        <f t="shared" ca="1" si="32"/>
        <v>64</v>
      </c>
      <c r="F91" s="91">
        <f t="shared" ca="1" si="33"/>
        <v>7</v>
      </c>
      <c r="G91" s="107">
        <f t="shared" ca="1" si="34"/>
        <v>465</v>
      </c>
      <c r="H91" s="84">
        <f t="shared" ca="1" si="35"/>
        <v>4297</v>
      </c>
      <c r="I91" s="84">
        <f t="shared" ca="1" si="36"/>
        <v>960</v>
      </c>
      <c r="J91" s="84">
        <f t="shared" ca="1" si="37"/>
        <v>9297</v>
      </c>
      <c r="K91" s="92">
        <f ca="1">IFERROR(IF(AND('CALLER Portal'!$Y$1 = "False", OverallTable[[#This Row],[Active]] = FALSE), "",OverallTable[[#This Row],[Total Gifts]]/OverallTable[[#This Row],[Contacts]]),"")</f>
        <v>0.29032258064516131</v>
      </c>
      <c r="L91" s="92">
        <f ca="1">IF(AND('CALLER Portal'!$Y$1 = "False", OverallTable[[#This Row],[Active]] = FALSE), "", IF(C91 = 0,"",IFERROR((E91+F91)/D91,0)))</f>
        <v>0.52592592592592591</v>
      </c>
      <c r="M91" s="92">
        <f ca="1">IF(AND('CALLER Portal'!$Y$1 = "False", OverallTable[[#This Row],[Active]] = FALSE), "",IF(C91 = 0,"",IFERROR(F91/D91,0)))</f>
        <v>5.185185185185185E-2</v>
      </c>
      <c r="N91" s="85">
        <f ca="1">IF(AND('CALLER Portal'!$Y$1 = "False", OverallTable[[#This Row],[Active]] = FALSE), "", IFERROR((H91+I91)/C91,""))</f>
        <v>64.328630339814737</v>
      </c>
      <c r="O91" s="173">
        <f ca="1">IF(AND('CALLER Portal'!$Y$1 = "False", OverallTable[[#This Row],[Active]] = FALSE),"",IF(C91 = 0,"",IFERROR((E91+F91)/C91,0)))</f>
        <v>0.86880973066898359</v>
      </c>
      <c r="P91" s="173">
        <f ca="1">IF(AND('CALLER Portal'!$Y$1 = "False", OverallTable[[#This Row],[Active]] = FALSE), "", IF(C91 = 0,"",IFERROR((F91)/C91,0)))</f>
        <v>8.5657297389899786E-2</v>
      </c>
      <c r="Q91" s="86">
        <f t="shared" ca="1" si="38"/>
        <v>5.6900918980433435</v>
      </c>
      <c r="R91" s="86">
        <f ca="1">IFERROR(_xlfn.PERCENTRANK.INC(OverallTable[F-Score], OverallTable[[#This Row],[F-Score]]),"")</f>
        <v>0.43099999999999999</v>
      </c>
      <c r="S91" s="86">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0.47179999999999994</v>
      </c>
      <c r="T91" s="116">
        <f t="shared" ca="1" si="39"/>
        <v>0.56599999999999995</v>
      </c>
      <c r="U91" s="117">
        <f t="shared" ca="1" si="40"/>
        <v>0.2</v>
      </c>
      <c r="V91" s="117">
        <f t="shared" ca="1" si="41"/>
        <v>0.38800000000000001</v>
      </c>
      <c r="W91" s="117">
        <f t="shared" ca="1" si="42"/>
        <v>0.7</v>
      </c>
      <c r="X91" s="117">
        <f t="shared" ca="1" si="43"/>
        <v>0.47699999999999998</v>
      </c>
      <c r="Y91" s="117">
        <f t="shared" ca="1" si="44"/>
        <v>0.44400000000000001</v>
      </c>
      <c r="Z91" s="141" t="str">
        <f>IFERROR(IF('CALLER Portal'!$Y$1 = "TRUE", OverallTable[[#This Row],[Name]],IF(AND('CALLER Portal'!$Y$1 = "FALSE", OverallTable[[#This Row],[Active]] = TRUE),OverallTable[[#This Row],[Name]],"(Blank)")),"")</f>
        <v xml:space="preserve">Kelsey McCannon </v>
      </c>
      <c r="AB91" s="73" t="s">
        <v>325</v>
      </c>
    </row>
    <row r="92" spans="1:28" x14ac:dyDescent="0.25">
      <c r="A92" s="160" t="s">
        <v>325</v>
      </c>
      <c r="B92" s="134" t="b">
        <v>1</v>
      </c>
      <c r="C92" s="161">
        <f t="shared" ca="1" si="30"/>
        <v>73.528000000000006</v>
      </c>
      <c r="D92" s="161">
        <f t="shared" ca="1" si="31"/>
        <v>107</v>
      </c>
      <c r="E92" s="161">
        <f t="shared" ca="1" si="32"/>
        <v>56</v>
      </c>
      <c r="F92" s="161">
        <f t="shared" ca="1" si="33"/>
        <v>8</v>
      </c>
      <c r="G92" s="162">
        <f t="shared" ca="1" si="34"/>
        <v>364</v>
      </c>
      <c r="H92" s="163">
        <f t="shared" ca="1" si="35"/>
        <v>3305</v>
      </c>
      <c r="I92" s="163">
        <f t="shared" ca="1" si="36"/>
        <v>1320</v>
      </c>
      <c r="J92" s="163">
        <f t="shared" ca="1" si="37"/>
        <v>6395</v>
      </c>
      <c r="K92" s="165">
        <f ca="1">IFERROR(IF(AND('CALLER Portal'!$Y$1 = "False", OverallTable[[#This Row],[Active]] = FALSE), "",OverallTable[[#This Row],[Total Gifts]]/OverallTable[[#This Row],[Contacts]]),"")</f>
        <v>0.29395604395604397</v>
      </c>
      <c r="L92" s="165">
        <f ca="1">IF(AND('CALLER Portal'!$Y$1 = "False", OverallTable[[#This Row],[Active]] = FALSE), "", IF(C92 = 0,"",IFERROR((E92+F92)/D92,0)))</f>
        <v>0.59813084112149528</v>
      </c>
      <c r="M92" s="165">
        <f ca="1">IF(AND('CALLER Portal'!$Y$1 = "False", OverallTable[[#This Row],[Active]] = FALSE), "",IF(C92 = 0,"",IFERROR(F92/D92,0)))</f>
        <v>7.476635514018691E-2</v>
      </c>
      <c r="N92" s="166">
        <f ca="1">IF(AND('CALLER Portal'!$Y$1 = "False", OverallTable[[#This Row],[Active]] = FALSE), "", IFERROR((H92+I92)/C92,""))</f>
        <v>62.901207703187893</v>
      </c>
      <c r="O92" s="172">
        <f ca="1">IF(AND('CALLER Portal'!$Y$1 = "False", OverallTable[[#This Row],[Active]] = FALSE),"",IF(C92 = 0,"",IFERROR((E92+F92)/C92,0)))</f>
        <v>0.87041671200087034</v>
      </c>
      <c r="P92" s="172">
        <f ca="1">IF(AND('CALLER Portal'!$Y$1 = "False", OverallTable[[#This Row],[Active]] = FALSE), "", IF(C92 = 0,"",IFERROR((F92)/C92,0)))</f>
        <v>0.10880208900010879</v>
      </c>
      <c r="Q92" s="164">
        <f t="shared" ca="1" si="38"/>
        <v>4.9504950495049505</v>
      </c>
      <c r="R92" s="164">
        <f ca="1">IFERROR(_xlfn.PERCENTRANK.INC(OverallTable[F-Score], OverallTable[[#This Row],[F-Score]]),"")</f>
        <v>0.56799999999999995</v>
      </c>
      <c r="S92" s="164">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0.55810000000000004</v>
      </c>
      <c r="T92" s="159">
        <f t="shared" ca="1" si="39"/>
        <v>0.57699999999999996</v>
      </c>
      <c r="U92" s="141">
        <f t="shared" ca="1" si="40"/>
        <v>0.48799999999999999</v>
      </c>
      <c r="V92" s="141">
        <f t="shared" ca="1" si="41"/>
        <v>0.58799999999999997</v>
      </c>
      <c r="W92" s="141">
        <f t="shared" ca="1" si="42"/>
        <v>0.66600000000000004</v>
      </c>
      <c r="X92" s="141">
        <f t="shared" ca="1" si="43"/>
        <v>0.48799999999999999</v>
      </c>
      <c r="Y92" s="141">
        <f t="shared" ca="1" si="44"/>
        <v>0.55500000000000005</v>
      </c>
      <c r="Z92" s="141" t="str">
        <f>IFERROR(IF('CALLER Portal'!$Y$1 = "TRUE", OverallTable[[#This Row],[Name]],IF(AND('CALLER Portal'!$Y$1 = "FALSE", OverallTable[[#This Row],[Active]] = TRUE),OverallTable[[#This Row],[Name]],"(Blank)")),"")</f>
        <v xml:space="preserve">Kenneth Choi </v>
      </c>
      <c r="AB92" s="73" t="s">
        <v>360</v>
      </c>
    </row>
    <row r="93" spans="1:28" x14ac:dyDescent="0.25">
      <c r="A93" s="82" t="s">
        <v>360</v>
      </c>
      <c r="B93" s="134" t="b">
        <v>1</v>
      </c>
      <c r="C93" s="83">
        <f t="shared" ca="1" si="30"/>
        <v>53.178000000000004</v>
      </c>
      <c r="D93" s="83">
        <f t="shared" ca="1" si="31"/>
        <v>51</v>
      </c>
      <c r="E93" s="83">
        <f t="shared" ca="1" si="32"/>
        <v>27</v>
      </c>
      <c r="F93" s="83">
        <f t="shared" ca="1" si="33"/>
        <v>8</v>
      </c>
      <c r="G93" s="107">
        <f t="shared" ca="1" si="34"/>
        <v>273</v>
      </c>
      <c r="H93" s="84">
        <f t="shared" ca="1" si="35"/>
        <v>1520</v>
      </c>
      <c r="I93" s="84">
        <f t="shared" ca="1" si="36"/>
        <v>960</v>
      </c>
      <c r="J93" s="84">
        <f t="shared" ca="1" si="37"/>
        <v>3415</v>
      </c>
      <c r="K93" s="92">
        <f ca="1">IFERROR(IF(AND('CALLER Portal'!$Y$1 = "False", OverallTable[[#This Row],[Active]] = FALSE), "",OverallTable[[#This Row],[Total Gifts]]/OverallTable[[#This Row],[Contacts]]),"")</f>
        <v>0.18681318681318682</v>
      </c>
      <c r="L93" s="92">
        <f ca="1">IF(AND('CALLER Portal'!$Y$1 = "False", OverallTable[[#This Row],[Active]] = FALSE), "", IF(C93 = 0,"",IFERROR((E93+F93)/D93,0)))</f>
        <v>0.68627450980392157</v>
      </c>
      <c r="M93" s="92">
        <f ca="1">IF(AND('CALLER Portal'!$Y$1 = "False", OverallTable[[#This Row],[Active]] = FALSE), "",IF(C93 = 0,"",IFERROR(F93/D93,0)))</f>
        <v>0.15686274509803921</v>
      </c>
      <c r="N93" s="85">
        <f ca="1">IF(AND('CALLER Portal'!$Y$1 = "False", OverallTable[[#This Row],[Active]] = FALSE), "", IFERROR((H93+I93)/C93,""))</f>
        <v>46.635826845688065</v>
      </c>
      <c r="O93" s="170">
        <f ca="1">IF(AND('CALLER Portal'!$Y$1 = "False", OverallTable[[#This Row],[Active]] = FALSE),"",IF(C93 = 0,"",IFERROR((E93+F93)/C93,0)))</f>
        <v>0.65816691112866221</v>
      </c>
      <c r="P93" s="170">
        <f ca="1">IF(AND('CALLER Portal'!$Y$1 = "False", OverallTable[[#This Row],[Active]] = FALSE), "", IF(C93 = 0,"",IFERROR((F93)/C93,0)))</f>
        <v>0.15043815111512279</v>
      </c>
      <c r="Q93" s="86">
        <f t="shared" ca="1" si="38"/>
        <v>5.133701906803565</v>
      </c>
      <c r="R93" s="86">
        <f ca="1">IFERROR(_xlfn.PERCENTRANK.INC(OverallTable[F-Score], OverallTable[[#This Row],[F-Score]]),"")</f>
        <v>0.40899999999999997</v>
      </c>
      <c r="S93" s="86">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0.45850000000000007</v>
      </c>
      <c r="T93" s="116">
        <f t="shared" ca="1" si="39"/>
        <v>0.1</v>
      </c>
      <c r="U93" s="117">
        <f t="shared" ca="1" si="40"/>
        <v>0.755</v>
      </c>
      <c r="V93" s="117">
        <f t="shared" ca="1" si="41"/>
        <v>0.91100000000000003</v>
      </c>
      <c r="W93" s="117">
        <f t="shared" ca="1" si="42"/>
        <v>0.377</v>
      </c>
      <c r="X93" s="117">
        <f t="shared" ca="1" si="43"/>
        <v>0.255</v>
      </c>
      <c r="Y93" s="117">
        <f t="shared" ca="1" si="44"/>
        <v>0.7</v>
      </c>
      <c r="Z93" s="141" t="str">
        <f>IFERROR(IF('CALLER Portal'!$Y$1 = "TRUE", OverallTable[[#This Row],[Name]],IF(AND('CALLER Portal'!$Y$1 = "FALSE", OverallTable[[#This Row],[Active]] = TRUE),OverallTable[[#This Row],[Name]],"(Blank)")),"")</f>
        <v xml:space="preserve">Kenzo Fisher </v>
      </c>
      <c r="AB93" s="73" t="s">
        <v>296</v>
      </c>
    </row>
    <row r="94" spans="1:28" x14ac:dyDescent="0.25">
      <c r="A94" s="82" t="s">
        <v>296</v>
      </c>
      <c r="B94" s="134" t="b">
        <v>1</v>
      </c>
      <c r="C94" s="83">
        <f t="shared" ca="1" si="30"/>
        <v>0</v>
      </c>
      <c r="D94" s="83">
        <f t="shared" ca="1" si="31"/>
        <v>0</v>
      </c>
      <c r="E94" s="83">
        <f t="shared" ca="1" si="32"/>
        <v>0</v>
      </c>
      <c r="F94" s="83">
        <f t="shared" ca="1" si="33"/>
        <v>0</v>
      </c>
      <c r="G94" s="107">
        <f t="shared" ca="1" si="34"/>
        <v>0</v>
      </c>
      <c r="H94" s="84">
        <f t="shared" ca="1" si="35"/>
        <v>0</v>
      </c>
      <c r="I94" s="84">
        <f t="shared" ca="1" si="36"/>
        <v>0</v>
      </c>
      <c r="J94" s="84">
        <f t="shared" ca="1" si="37"/>
        <v>0</v>
      </c>
      <c r="K94" s="92" t="str">
        <f ca="1">IFERROR(IF(AND('CALLER Portal'!$Y$1 = "False", OverallTable[[#This Row],[Active]] = FALSE), "",OverallTable[[#This Row],[Total Gifts]]/OverallTable[[#This Row],[Contacts]]),"")</f>
        <v/>
      </c>
      <c r="L94" s="92" t="str">
        <f ca="1">IF(AND('CALLER Portal'!$Y$1 = "False", OverallTable[[#This Row],[Active]] = FALSE), "", IF(C94 = 0,"",IFERROR((E94+F94)/D94,0)))</f>
        <v/>
      </c>
      <c r="M94" s="92" t="str">
        <f ca="1">IF(AND('CALLER Portal'!$Y$1 = "False", OverallTable[[#This Row],[Active]] = FALSE), "",IF(C94 = 0,"",IFERROR(F94/D94,0)))</f>
        <v/>
      </c>
      <c r="N94" s="85" t="str">
        <f ca="1">IF(AND('CALLER Portal'!$Y$1 = "False", OverallTable[[#This Row],[Active]] = FALSE), "", IFERROR((H94+I94)/C94,""))</f>
        <v/>
      </c>
      <c r="O94" s="170" t="str">
        <f ca="1">IF(AND('CALLER Portal'!$Y$1 = "False", OverallTable[[#This Row],[Active]] = FALSE),"",IF(C94 = 0,"",IFERROR((E94+F94)/C94,0)))</f>
        <v/>
      </c>
      <c r="P94" s="170" t="str">
        <f ca="1">IF(AND('CALLER Portal'!$Y$1 = "False", OverallTable[[#This Row],[Active]] = FALSE), "", IF(C94 = 0,"",IFERROR((F94)/C94,0)))</f>
        <v/>
      </c>
      <c r="Q94" s="86" t="str">
        <f t="shared" ca="1" si="38"/>
        <v/>
      </c>
      <c r="R94" s="86" t="str">
        <f ca="1">IFERROR(_xlfn.PERCENTRANK.INC(OverallTable[F-Score], OverallTable[[#This Row],[F-Score]]),"")</f>
        <v/>
      </c>
      <c r="S94"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94" s="116" t="str">
        <f t="shared" ca="1" si="39"/>
        <v/>
      </c>
      <c r="U94" s="117" t="str">
        <f t="shared" ca="1" si="40"/>
        <v/>
      </c>
      <c r="V94" s="117" t="str">
        <f t="shared" ca="1" si="41"/>
        <v/>
      </c>
      <c r="W94" s="117" t="str">
        <f t="shared" ca="1" si="42"/>
        <v/>
      </c>
      <c r="X94" s="117" t="str">
        <f t="shared" ca="1" si="43"/>
        <v/>
      </c>
      <c r="Y94" s="117" t="str">
        <f t="shared" ca="1" si="44"/>
        <v/>
      </c>
      <c r="Z94" s="141" t="str">
        <f>IFERROR(IF('CALLER Portal'!$Y$1 = "TRUE", OverallTable[[#This Row],[Name]],IF(AND('CALLER Portal'!$Y$1 = "FALSE", OverallTable[[#This Row],[Active]] = TRUE),OverallTable[[#This Row],[Name]],"(Blank)")),"")</f>
        <v xml:space="preserve">Korban McCray </v>
      </c>
      <c r="AB94" s="73" t="s">
        <v>364</v>
      </c>
    </row>
    <row r="95" spans="1:28" x14ac:dyDescent="0.25">
      <c r="A95" s="158" t="s">
        <v>364</v>
      </c>
      <c r="B95" s="134" t="b">
        <v>1</v>
      </c>
      <c r="C95" s="239">
        <f t="shared" ca="1" si="30"/>
        <v>29.533000000000001</v>
      </c>
      <c r="D95" s="239">
        <f t="shared" ca="1" si="31"/>
        <v>59</v>
      </c>
      <c r="E95" s="239">
        <f t="shared" ca="1" si="32"/>
        <v>25</v>
      </c>
      <c r="F95" s="239">
        <f t="shared" ca="1" si="33"/>
        <v>8</v>
      </c>
      <c r="G95" s="240">
        <f t="shared" ca="1" si="34"/>
        <v>164</v>
      </c>
      <c r="H95" s="241">
        <f t="shared" ca="1" si="35"/>
        <v>1144</v>
      </c>
      <c r="I95" s="241">
        <f t="shared" ca="1" si="36"/>
        <v>876</v>
      </c>
      <c r="J95" s="241">
        <f t="shared" ca="1" si="37"/>
        <v>3165</v>
      </c>
      <c r="K95" s="242">
        <f ca="1">IFERROR(IF(AND('CALLER Portal'!$Y$1 = "False", OverallTable[[#This Row],[Active]] = FALSE), "",OverallTable[[#This Row],[Total Gifts]]/OverallTable[[#This Row],[Contacts]]),"")</f>
        <v>0.3597560975609756</v>
      </c>
      <c r="L95" s="242">
        <f ca="1">IF(AND('CALLER Portal'!$Y$1 = "False", OverallTable[[#This Row],[Active]] = FALSE), "", IF(C95 = 0,"",IFERROR((E95+F95)/D95,0)))</f>
        <v>0.55932203389830504</v>
      </c>
      <c r="M95" s="242">
        <f ca="1">IF(AND('CALLER Portal'!$Y$1 = "False", OverallTable[[#This Row],[Active]] = FALSE), "",IF(C95 = 0,"",IFERROR(F95/D95,0)))</f>
        <v>0.13559322033898305</v>
      </c>
      <c r="N95" s="243">
        <f ca="1">IF(AND('CALLER Portal'!$Y$1 = "False", OverallTable[[#This Row],[Active]] = FALSE), "", IFERROR((H95+I95)/C95,""))</f>
        <v>68.398063183557369</v>
      </c>
      <c r="O95" s="244">
        <f ca="1">IF(AND('CALLER Portal'!$Y$1 = "False", OverallTable[[#This Row],[Active]] = FALSE),"",IF(C95 = 0,"",IFERROR((E95+F95)/C95,0)))</f>
        <v>1.1173941015135611</v>
      </c>
      <c r="P95" s="244">
        <f ca="1">IF(AND('CALLER Portal'!$Y$1 = "False", OverallTable[[#This Row],[Active]] = FALSE), "", IF(C95 = 0,"",IFERROR((F95)/C95,0)))</f>
        <v>0.27088341854874209</v>
      </c>
      <c r="Q95" s="245">
        <f t="shared" ca="1" si="38"/>
        <v>5.5531100802492128</v>
      </c>
      <c r="R95" s="245">
        <f ca="1">IFERROR(_xlfn.PERCENTRANK.INC(OverallTable[F-Score], OverallTable[[#This Row],[F-Score]]),"")</f>
        <v>0.84</v>
      </c>
      <c r="S95" s="245">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0.71619999999999995</v>
      </c>
      <c r="T95" s="159">
        <f t="shared" ca="1" si="39"/>
        <v>0.88800000000000001</v>
      </c>
      <c r="U95" s="141">
        <f t="shared" ca="1" si="40"/>
        <v>0.34399999999999997</v>
      </c>
      <c r="V95" s="141">
        <f t="shared" ca="1" si="41"/>
        <v>0.81100000000000005</v>
      </c>
      <c r="W95" s="141">
        <f t="shared" ca="1" si="42"/>
        <v>0.73299999999999998</v>
      </c>
      <c r="X95" s="141">
        <f t="shared" ca="1" si="43"/>
        <v>0.755</v>
      </c>
      <c r="Y95" s="141">
        <f t="shared" ca="1" si="44"/>
        <v>0.91100000000000003</v>
      </c>
      <c r="Z95" s="141" t="str">
        <f>IFERROR(IF('CALLER Portal'!$Y$1 = "TRUE", OverallTable[[#This Row],[Name]],IF(AND('CALLER Portal'!$Y$1 = "FALSE", OverallTable[[#This Row],[Active]] = TRUE),OverallTable[[#This Row],[Name]],"(Blank)")),"")</f>
        <v xml:space="preserve">Kris Olber </v>
      </c>
      <c r="AB95" s="73" t="s">
        <v>404</v>
      </c>
    </row>
    <row r="96" spans="1:28" x14ac:dyDescent="0.25">
      <c r="A96" s="82" t="s">
        <v>404</v>
      </c>
      <c r="B96" s="134" t="b">
        <v>1</v>
      </c>
      <c r="C96" s="239">
        <f t="shared" ca="1" si="30"/>
        <v>0</v>
      </c>
      <c r="D96" s="239">
        <f t="shared" ca="1" si="31"/>
        <v>0</v>
      </c>
      <c r="E96" s="239">
        <f t="shared" ca="1" si="32"/>
        <v>0</v>
      </c>
      <c r="F96" s="239">
        <f t="shared" ca="1" si="33"/>
        <v>0</v>
      </c>
      <c r="G96" s="240">
        <f t="shared" ca="1" si="34"/>
        <v>0</v>
      </c>
      <c r="H96" s="241">
        <f t="shared" ca="1" si="35"/>
        <v>0</v>
      </c>
      <c r="I96" s="241">
        <f t="shared" ca="1" si="36"/>
        <v>0</v>
      </c>
      <c r="J96" s="241">
        <f t="shared" ca="1" si="37"/>
        <v>0</v>
      </c>
      <c r="K96" s="242" t="str">
        <f ca="1">IFERROR(IF(AND('CALLER Portal'!$Y$1 = "False", OverallTable[[#This Row],[Active]] = FALSE), "",OverallTable[[#This Row],[Total Gifts]]/OverallTable[[#This Row],[Contacts]]),"")</f>
        <v/>
      </c>
      <c r="L96" s="242" t="str">
        <f ca="1">IF(AND('CALLER Portal'!$Y$1 = "False", OverallTable[[#This Row],[Active]] = FALSE), "", IF(C96 = 0,"",IFERROR((E96+F96)/D96,0)))</f>
        <v/>
      </c>
      <c r="M96" s="242" t="str">
        <f ca="1">IF(AND('CALLER Portal'!$Y$1 = "False", OverallTable[[#This Row],[Active]] = FALSE), "",IF(C96 = 0,"",IFERROR(F96/D96,0)))</f>
        <v/>
      </c>
      <c r="N96" s="243" t="str">
        <f ca="1">IF(AND('CALLER Portal'!$Y$1 = "False", OverallTable[[#This Row],[Active]] = FALSE), "", IFERROR((H96+I96)/C96,""))</f>
        <v/>
      </c>
      <c r="O96" s="244" t="str">
        <f ca="1">IF(AND('CALLER Portal'!$Y$1 = "False", OverallTable[[#This Row],[Active]] = FALSE),"",IF(C96 = 0,"",IFERROR((E96+F96)/C96,0)))</f>
        <v/>
      </c>
      <c r="P96" s="244" t="str">
        <f ca="1">IF(AND('CALLER Portal'!$Y$1 = "False", OverallTable[[#This Row],[Active]] = FALSE), "", IF(C96 = 0,"",IFERROR((F96)/C96,0)))</f>
        <v/>
      </c>
      <c r="Q96" s="245" t="str">
        <f t="shared" ca="1" si="38"/>
        <v/>
      </c>
      <c r="R96" s="245" t="str">
        <f ca="1">IFERROR(_xlfn.PERCENTRANK.INC(OverallTable[F-Score], OverallTable[[#This Row],[F-Score]]),"")</f>
        <v/>
      </c>
      <c r="S96" s="245"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96" s="159" t="str">
        <f t="shared" ca="1" si="39"/>
        <v/>
      </c>
      <c r="U96" s="141" t="str">
        <f t="shared" ca="1" si="40"/>
        <v/>
      </c>
      <c r="V96" s="141" t="str">
        <f t="shared" ca="1" si="41"/>
        <v/>
      </c>
      <c r="W96" s="141" t="str">
        <f t="shared" ca="1" si="42"/>
        <v/>
      </c>
      <c r="X96" s="141" t="str">
        <f t="shared" ca="1" si="43"/>
        <v/>
      </c>
      <c r="Y96" s="141" t="str">
        <f t="shared" ca="1" si="44"/>
        <v/>
      </c>
      <c r="Z96" s="141" t="str">
        <f>IFERROR(IF('CALLER Portal'!$Y$1 = "TRUE", OverallTable[[#This Row],[Name]],IF(AND('CALLER Portal'!$Y$1 = "FALSE", OverallTable[[#This Row],[Active]] = TRUE),OverallTable[[#This Row],[Name]],"(Blank)")),"")</f>
        <v xml:space="preserve">Kristy Creg </v>
      </c>
      <c r="AB96" s="73" t="s">
        <v>311</v>
      </c>
    </row>
    <row r="97" spans="1:28" x14ac:dyDescent="0.25">
      <c r="A97" s="238" t="s">
        <v>311</v>
      </c>
      <c r="B97" s="134" t="b">
        <v>1</v>
      </c>
      <c r="C97" s="239">
        <f t="shared" ca="1" si="30"/>
        <v>40.414000000000001</v>
      </c>
      <c r="D97" s="239">
        <f t="shared" ca="1" si="31"/>
        <v>62</v>
      </c>
      <c r="E97" s="239">
        <f t="shared" ca="1" si="32"/>
        <v>27</v>
      </c>
      <c r="F97" s="239">
        <f t="shared" ca="1" si="33"/>
        <v>9</v>
      </c>
      <c r="G97" s="240">
        <f t="shared" ca="1" si="34"/>
        <v>175</v>
      </c>
      <c r="H97" s="241">
        <f t="shared" ca="1" si="35"/>
        <v>1355</v>
      </c>
      <c r="I97" s="241">
        <f t="shared" ca="1" si="36"/>
        <v>1085</v>
      </c>
      <c r="J97" s="241">
        <f t="shared" ca="1" si="37"/>
        <v>4085</v>
      </c>
      <c r="K97" s="242">
        <f ca="1">IFERROR(IF(AND('CALLER Portal'!$Y$1 = "False", OverallTable[[#This Row],[Active]] = FALSE), "",OverallTable[[#This Row],[Total Gifts]]/OverallTable[[#This Row],[Contacts]]),"")</f>
        <v>0.35428571428571426</v>
      </c>
      <c r="L97" s="242">
        <f ca="1">IF(AND('CALLER Portal'!$Y$1 = "False", OverallTable[[#This Row],[Active]] = FALSE), "", IF(C97 = 0,"",IFERROR((E97+F97)/D97,0)))</f>
        <v>0.58064516129032262</v>
      </c>
      <c r="M97" s="242">
        <f ca="1">IF(AND('CALLER Portal'!$Y$1 = "False", OverallTable[[#This Row],[Active]] = FALSE), "",IF(C97 = 0,"",IFERROR(F97/D97,0)))</f>
        <v>0.14516129032258066</v>
      </c>
      <c r="N97" s="243">
        <f ca="1">IF(AND('CALLER Portal'!$Y$1 = "False", OverallTable[[#This Row],[Active]] = FALSE), "", IFERROR((H97+I97)/C97,""))</f>
        <v>60.375117533527984</v>
      </c>
      <c r="O97" s="244">
        <f ca="1">IF(AND('CALLER Portal'!$Y$1 = "False", OverallTable[[#This Row],[Active]] = FALSE),"",IF(C97 = 0,"",IFERROR((E97+F97)/C97,0)))</f>
        <v>0.89078042262582269</v>
      </c>
      <c r="P97" s="244">
        <f ca="1">IF(AND('CALLER Portal'!$Y$1 = "False", OverallTable[[#This Row],[Active]] = FALSE), "", IF(C97 = 0,"",IFERROR((F97)/C97,0)))</f>
        <v>0.22269510565645567</v>
      </c>
      <c r="Q97" s="245">
        <f t="shared" ca="1" si="38"/>
        <v>4.3301826099866378</v>
      </c>
      <c r="R97" s="245">
        <f ca="1">IFERROR(_xlfn.PERCENTRANK.INC(OverallTable[F-Score], OverallTable[[#This Row],[F-Score]]),"")</f>
        <v>0.73799999999999999</v>
      </c>
      <c r="S97" s="245">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0.66070000000000018</v>
      </c>
      <c r="T97" s="159">
        <f t="shared" ca="1" si="39"/>
        <v>0.86599999999999999</v>
      </c>
      <c r="U97" s="141">
        <f t="shared" ca="1" si="40"/>
        <v>0.433</v>
      </c>
      <c r="V97" s="141">
        <f t="shared" ca="1" si="41"/>
        <v>0.86599999999999999</v>
      </c>
      <c r="W97" s="141">
        <f t="shared" ca="1" si="42"/>
        <v>0.63300000000000001</v>
      </c>
      <c r="X97" s="141">
        <f t="shared" ca="1" si="43"/>
        <v>0.51100000000000001</v>
      </c>
      <c r="Y97" s="141">
        <f t="shared" ca="1" si="44"/>
        <v>0.85499999999999998</v>
      </c>
      <c r="Z97" s="141" t="str">
        <f>IFERROR(IF('CALLER Portal'!$Y$1 = "TRUE", OverallTable[[#This Row],[Name]],IF(AND('CALLER Portal'!$Y$1 = "FALSE", OverallTable[[#This Row],[Active]] = TRUE),OverallTable[[#This Row],[Name]],"(Blank)")),"")</f>
        <v xml:space="preserve">Kyla Dudley </v>
      </c>
      <c r="AB97" s="73" t="s">
        <v>359</v>
      </c>
    </row>
    <row r="98" spans="1:28" x14ac:dyDescent="0.25">
      <c r="A98" s="82" t="s">
        <v>359</v>
      </c>
      <c r="B98" s="134" t="b">
        <v>1</v>
      </c>
      <c r="C98" s="83">
        <f t="shared" ref="C98:C129" ca="1" si="45">SUMPRODUCT(SUMIF(INDIRECT("'"&amp;SheetList&amp;"'!B4:B150"),$A98,INDIRECT("'"&amp;SheetList&amp;"'!C4:C150")))</f>
        <v>15.032000000000002</v>
      </c>
      <c r="D98" s="83">
        <f t="shared" ref="D98:D129" ca="1" si="46">SUMPRODUCT(SUMIF(INDIRECT("'"&amp;SheetList&amp;"'!B4:B150"),$A98,INDIRECT("'"&amp;SheetList&amp;"'!D4:D150")))</f>
        <v>17</v>
      </c>
      <c r="E98" s="83">
        <f t="shared" ref="E98:E129" ca="1" si="47">SUMPRODUCT(SUMIF(INDIRECT("'"&amp;SheetList&amp;"'!B4:B150"),$A98,INDIRECT("'"&amp;SheetList&amp;"'!E4:E150")))</f>
        <v>8</v>
      </c>
      <c r="F98" s="83">
        <f t="shared" ref="F98:F129" ca="1" si="48">SUMPRODUCT(SUMIF(INDIRECT("'"&amp;SheetList&amp;"'!B4:B150"),$A98,INDIRECT("'"&amp;SheetList&amp;"'!F4:F150")))</f>
        <v>0</v>
      </c>
      <c r="G98" s="107">
        <f t="shared" ref="G98:G129" ca="1" si="49">SUMPRODUCT(SUMIF(INDIRECT("'"&amp;SheetList&amp;"'!B4:B150"),$A98,INDIRECT("'"&amp;SheetList&amp;"'!G4:G150")))</f>
        <v>69</v>
      </c>
      <c r="H98" s="84">
        <f t="shared" ref="H98:H129" ca="1" si="50">SUMPRODUCT(SUMIF(INDIRECT("'"&amp;SheetList&amp;"'!B4:B150"),$A98,INDIRECT("'"&amp;SheetList&amp;"'!h4:h150")))</f>
        <v>411</v>
      </c>
      <c r="I98" s="84">
        <f t="shared" ref="I98:I129" ca="1" si="51">SUMPRODUCT(SUMIF(INDIRECT("'"&amp;SheetList&amp;"'!B4:B150"),$A98,INDIRECT("'"&amp;SheetList&amp;"'!i4:i150")))</f>
        <v>0</v>
      </c>
      <c r="J98" s="84">
        <f t="shared" ref="J98:J129" ca="1" si="52">SUMPRODUCT(SUMIF(INDIRECT("'"&amp;SheetList&amp;"'!B4:B150"),$A98,INDIRECT("'"&amp;SheetList&amp;"'!j4:j150")))</f>
        <v>786</v>
      </c>
      <c r="K98" s="92">
        <f ca="1">IFERROR(IF(AND('CALLER Portal'!$Y$1 = "False", OverallTable[[#This Row],[Active]] = FALSE), "",OverallTable[[#This Row],[Total Gifts]]/OverallTable[[#This Row],[Contacts]]),"")</f>
        <v>0.24637681159420291</v>
      </c>
      <c r="L98" s="92">
        <f ca="1">IF(AND('CALLER Portal'!$Y$1 = "False", OverallTable[[#This Row],[Active]] = FALSE), "", IF(C98 = 0,"",IFERROR((E98+F98)/D98,0)))</f>
        <v>0.47058823529411764</v>
      </c>
      <c r="M98" s="92">
        <f ca="1">IF(AND('CALLER Portal'!$Y$1 = "False", OverallTable[[#This Row],[Active]] = FALSE), "",IF(C98 = 0,"",IFERROR(F98/D98,0)))</f>
        <v>0</v>
      </c>
      <c r="N98" s="85">
        <f ca="1">IF(AND('CALLER Portal'!$Y$1 = "False", OverallTable[[#This Row],[Active]] = FALSE), "", IFERROR((H98+I98)/C98,""))</f>
        <v>27.341671101649812</v>
      </c>
      <c r="O98" s="170">
        <f ca="1">IF(AND('CALLER Portal'!$Y$1 = "False", OverallTable[[#This Row],[Active]] = FALSE),"",IF(C98 = 0,"",IFERROR((E98+F98)/C98,0)))</f>
        <v>0.53219797764768484</v>
      </c>
      <c r="P98" s="170">
        <f ca="1">IF(AND('CALLER Portal'!$Y$1 = "False", OverallTable[[#This Row],[Active]] = FALSE), "", IF(C98 = 0,"",IFERROR((F98)/C98,0)))</f>
        <v>0</v>
      </c>
      <c r="Q98" s="86">
        <f t="shared" ref="Q98:Q129" ca="1" si="53">IFERROR(G98/C98,"")</f>
        <v>4.5902075572112819</v>
      </c>
      <c r="R98" s="86">
        <f ca="1">IFERROR(_xlfn.PERCENTRANK.INC(OverallTable[F-Score], OverallTable[[#This Row],[F-Score]]),"")</f>
        <v>6.8000000000000005E-2</v>
      </c>
      <c r="S98" s="86">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0.15740000000000001</v>
      </c>
      <c r="T98" s="116">
        <f t="shared" ref="T98:T129" ca="1" si="54">IFERROR(_xlfn.PERCENTRANK.EXC(K:K, K98), "")</f>
        <v>0.4</v>
      </c>
      <c r="U98" s="117">
        <f t="shared" ref="U98:U129" ca="1" si="55">IFERROR(_xlfn.PERCENTRANK.EXC(L:L, L98), "")</f>
        <v>8.7999999999999995E-2</v>
      </c>
      <c r="V98" s="117">
        <f t="shared" ref="V98:V129" ca="1" si="56">IFERROR(_xlfn.PERCENTRANK.EXC(M:M, M98), "")</f>
        <v>1.0999999999999999E-2</v>
      </c>
      <c r="W98" s="117">
        <f t="shared" ref="W98:W129" ca="1" si="57">IFERROR(_xlfn.PERCENTRANK.EXC(N:N, N98), "")</f>
        <v>0.122</v>
      </c>
      <c r="X98" s="117">
        <f t="shared" ref="X98:X129" ca="1" si="58">IFERROR(_xlfn.PERCENTRANK.EXC(O:O, O98), "")</f>
        <v>0.16600000000000001</v>
      </c>
      <c r="Y98" s="117">
        <f t="shared" ref="Y98:Y129" ca="1" si="59">IFERROR(_xlfn.PERCENTRANK.EXC(P:P, P98), "")</f>
        <v>1.0999999999999999E-2</v>
      </c>
      <c r="Z98" s="141" t="str">
        <f>IFERROR(IF('CALLER Portal'!$Y$1 = "TRUE", OverallTable[[#This Row],[Name]],IF(AND('CALLER Portal'!$Y$1 = "FALSE", OverallTable[[#This Row],[Active]] = TRUE),OverallTable[[#This Row],[Name]],"(Blank)")),"")</f>
        <v xml:space="preserve">Larry Lopez </v>
      </c>
      <c r="AB98" s="73" t="s">
        <v>326</v>
      </c>
    </row>
    <row r="99" spans="1:28" x14ac:dyDescent="0.25">
      <c r="A99" s="82" t="s">
        <v>326</v>
      </c>
      <c r="B99" s="134" t="b">
        <v>1</v>
      </c>
      <c r="C99" s="83">
        <f t="shared" ca="1" si="45"/>
        <v>48.821999999999996</v>
      </c>
      <c r="D99" s="83">
        <f t="shared" ca="1" si="46"/>
        <v>53</v>
      </c>
      <c r="E99" s="83">
        <f t="shared" ca="1" si="47"/>
        <v>23</v>
      </c>
      <c r="F99" s="83">
        <f t="shared" ca="1" si="48"/>
        <v>3</v>
      </c>
      <c r="G99" s="107">
        <f t="shared" ca="1" si="49"/>
        <v>198</v>
      </c>
      <c r="H99" s="84">
        <f t="shared" ca="1" si="50"/>
        <v>1720</v>
      </c>
      <c r="I99" s="84">
        <f t="shared" ca="1" si="51"/>
        <v>240</v>
      </c>
      <c r="J99" s="84">
        <f t="shared" ca="1" si="52"/>
        <v>3030</v>
      </c>
      <c r="K99" s="92">
        <f ca="1">IFERROR(IF(AND('CALLER Portal'!$Y$1 = "False", OverallTable[[#This Row],[Active]] = FALSE), "",OverallTable[[#This Row],[Total Gifts]]/OverallTable[[#This Row],[Contacts]]),"")</f>
        <v>0.26767676767676768</v>
      </c>
      <c r="L99" s="92">
        <f ca="1">IF(AND('CALLER Portal'!$Y$1 = "False", OverallTable[[#This Row],[Active]] = FALSE), "", IF(C99 = 0,"",IFERROR((E99+F99)/D99,0)))</f>
        <v>0.49056603773584906</v>
      </c>
      <c r="M99" s="92">
        <f ca="1">IF(AND('CALLER Portal'!$Y$1 = "False", OverallTable[[#This Row],[Active]] = FALSE), "",IF(C99 = 0,"",IFERROR(F99/D99,0)))</f>
        <v>5.6603773584905662E-2</v>
      </c>
      <c r="N99" s="85">
        <f ca="1">IF(AND('CALLER Portal'!$Y$1 = "False", OverallTable[[#This Row],[Active]] = FALSE), "", IFERROR((H99+I99)/C99,""))</f>
        <v>40.145835893654507</v>
      </c>
      <c r="O99" s="170">
        <f ca="1">IF(AND('CALLER Portal'!$Y$1 = "False", OverallTable[[#This Row],[Active]] = FALSE),"",IF(C99 = 0,"",IFERROR((E99+F99)/C99,0)))</f>
        <v>0.53254680267092713</v>
      </c>
      <c r="P99" s="170">
        <f ca="1">IF(AND('CALLER Portal'!$Y$1 = "False", OverallTable[[#This Row],[Active]] = FALSE), "", IF(C99 = 0,"",IFERROR((F99)/C99,0)))</f>
        <v>6.144770800049159E-2</v>
      </c>
      <c r="Q99" s="86">
        <f t="shared" ca="1" si="53"/>
        <v>4.0555487280324449</v>
      </c>
      <c r="R99" s="86">
        <f ca="1">IFERROR(_xlfn.PERCENTRANK.INC(OverallTable[F-Score], OverallTable[[#This Row],[F-Score]]),"")</f>
        <v>0.20399999999999999</v>
      </c>
      <c r="S99" s="86">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0.29509999999999997</v>
      </c>
      <c r="T99" s="116">
        <f t="shared" ca="1" si="54"/>
        <v>0.51100000000000001</v>
      </c>
      <c r="U99" s="117">
        <f t="shared" ca="1" si="55"/>
        <v>0.122</v>
      </c>
      <c r="V99" s="117">
        <f t="shared" ca="1" si="56"/>
        <v>0.4</v>
      </c>
      <c r="W99" s="117">
        <f t="shared" ca="1" si="57"/>
        <v>0.28799999999999998</v>
      </c>
      <c r="X99" s="117">
        <f t="shared" ca="1" si="58"/>
        <v>0.17699999999999999</v>
      </c>
      <c r="Y99" s="117">
        <f t="shared" ca="1" si="59"/>
        <v>0.35499999999999998</v>
      </c>
      <c r="Z99" s="141" t="str">
        <f>IFERROR(IF('CALLER Portal'!$Y$1 = "TRUE", OverallTable[[#This Row],[Name]],IF(AND('CALLER Portal'!$Y$1 = "FALSE", OverallTable[[#This Row],[Active]] = TRUE),OverallTable[[#This Row],[Name]],"(Blank)")),"")</f>
        <v xml:space="preserve">Lauren Hewitt </v>
      </c>
      <c r="AB99" s="73" t="s">
        <v>339</v>
      </c>
    </row>
    <row r="100" spans="1:28" x14ac:dyDescent="0.25">
      <c r="A100" s="82" t="s">
        <v>339</v>
      </c>
      <c r="B100" s="134" t="b">
        <v>1</v>
      </c>
      <c r="C100" s="83">
        <f t="shared" ca="1" si="45"/>
        <v>0</v>
      </c>
      <c r="D100" s="83">
        <f t="shared" ca="1" si="46"/>
        <v>0</v>
      </c>
      <c r="E100" s="83">
        <f t="shared" ca="1" si="47"/>
        <v>0</v>
      </c>
      <c r="F100" s="83">
        <f t="shared" ca="1" si="48"/>
        <v>0</v>
      </c>
      <c r="G100" s="107">
        <f t="shared" ca="1" si="49"/>
        <v>0</v>
      </c>
      <c r="H100" s="84">
        <f t="shared" ca="1" si="50"/>
        <v>0</v>
      </c>
      <c r="I100" s="84">
        <f t="shared" ca="1" si="51"/>
        <v>0</v>
      </c>
      <c r="J100" s="84">
        <f t="shared" ca="1" si="52"/>
        <v>0</v>
      </c>
      <c r="K100" s="92" t="str">
        <f ca="1">IFERROR(IF(AND('CALLER Portal'!$Y$1 = "False", OverallTable[[#This Row],[Active]] = FALSE), "",OverallTable[[#This Row],[Total Gifts]]/OverallTable[[#This Row],[Contacts]]),"")</f>
        <v/>
      </c>
      <c r="L100" s="92" t="str">
        <f ca="1">IF(AND('CALLER Portal'!$Y$1 = "False", OverallTable[[#This Row],[Active]] = FALSE), "", IF(C100 = 0,"",IFERROR((E100+F100)/D100,0)))</f>
        <v/>
      </c>
      <c r="M100" s="92" t="str">
        <f ca="1">IF(AND('CALLER Portal'!$Y$1 = "False", OverallTable[[#This Row],[Active]] = FALSE), "",IF(C100 = 0,"",IFERROR(F100/D100,0)))</f>
        <v/>
      </c>
      <c r="N100" s="85" t="str">
        <f ca="1">IF(AND('CALLER Portal'!$Y$1 = "False", OverallTable[[#This Row],[Active]] = FALSE), "", IFERROR((H100+I100)/C100,""))</f>
        <v/>
      </c>
      <c r="O100" s="170" t="str">
        <f ca="1">IF(AND('CALLER Portal'!$Y$1 = "False", OverallTable[[#This Row],[Active]] = FALSE),"",IF(C100 = 0,"",IFERROR((E100+F100)/C100,0)))</f>
        <v/>
      </c>
      <c r="P100" s="170" t="str">
        <f ca="1">IF(AND('CALLER Portal'!$Y$1 = "False", OverallTable[[#This Row],[Active]] = FALSE), "", IF(C100 = 0,"",IFERROR((F100)/C100,0)))</f>
        <v/>
      </c>
      <c r="Q100" s="86" t="str">
        <f t="shared" ca="1" si="53"/>
        <v/>
      </c>
      <c r="R100" s="86" t="str">
        <f ca="1">IFERROR(_xlfn.PERCENTRANK.INC(OverallTable[F-Score], OverallTable[[#This Row],[F-Score]]),"")</f>
        <v/>
      </c>
      <c r="S100"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100" s="116" t="str">
        <f t="shared" ca="1" si="54"/>
        <v/>
      </c>
      <c r="U100" s="117" t="str">
        <f t="shared" ca="1" si="55"/>
        <v/>
      </c>
      <c r="V100" s="117" t="str">
        <f t="shared" ca="1" si="56"/>
        <v/>
      </c>
      <c r="W100" s="117" t="str">
        <f t="shared" ca="1" si="57"/>
        <v/>
      </c>
      <c r="X100" s="117" t="str">
        <f t="shared" ca="1" si="58"/>
        <v/>
      </c>
      <c r="Y100" s="117" t="str">
        <f t="shared" ca="1" si="59"/>
        <v/>
      </c>
      <c r="Z100" s="141" t="str">
        <f>IFERROR(IF('CALLER Portal'!$Y$1 = "TRUE", OverallTable[[#This Row],[Name]],IF(AND('CALLER Portal'!$Y$1 = "FALSE", OverallTable[[#This Row],[Active]] = TRUE),OverallTable[[#This Row],[Name]],"(Blank)")),"")</f>
        <v xml:space="preserve">Lauren Yapsen </v>
      </c>
      <c r="AB100" s="73" t="s">
        <v>400</v>
      </c>
    </row>
    <row r="101" spans="1:28" x14ac:dyDescent="0.25">
      <c r="A101" s="160" t="s">
        <v>400</v>
      </c>
      <c r="B101" s="134" t="b">
        <v>1</v>
      </c>
      <c r="C101" s="161">
        <f t="shared" ca="1" si="45"/>
        <v>66.204000000000008</v>
      </c>
      <c r="D101" s="161">
        <f t="shared" ca="1" si="46"/>
        <v>117</v>
      </c>
      <c r="E101" s="161">
        <f t="shared" ca="1" si="47"/>
        <v>63</v>
      </c>
      <c r="F101" s="161">
        <f t="shared" ca="1" si="48"/>
        <v>11</v>
      </c>
      <c r="G101" s="162">
        <f t="shared" ca="1" si="49"/>
        <v>391</v>
      </c>
      <c r="H101" s="163">
        <f t="shared" ca="1" si="50"/>
        <v>3715</v>
      </c>
      <c r="I101" s="163">
        <f t="shared" ca="1" si="51"/>
        <v>1320</v>
      </c>
      <c r="J101" s="163">
        <f t="shared" ca="1" si="52"/>
        <v>7345</v>
      </c>
      <c r="K101" s="165">
        <f ca="1">IFERROR(IF(AND('CALLER Portal'!$Y$1 = "False", OverallTable[[#This Row],[Active]] = FALSE), "",OverallTable[[#This Row],[Total Gifts]]/OverallTable[[#This Row],[Contacts]]),"")</f>
        <v>0.29923273657289001</v>
      </c>
      <c r="L101" s="165">
        <f ca="1">IF(AND('CALLER Portal'!$Y$1 = "False", OverallTable[[#This Row],[Active]] = FALSE), "", IF(C101 = 0,"",IFERROR((E101+F101)/D101,0)))</f>
        <v>0.63247863247863245</v>
      </c>
      <c r="M101" s="165">
        <f ca="1">IF(AND('CALLER Portal'!$Y$1 = "False", OverallTable[[#This Row],[Active]] = FALSE), "",IF(C101 = 0,"",IFERROR(F101/D101,0)))</f>
        <v>9.4017094017094016E-2</v>
      </c>
      <c r="N101" s="166">
        <f ca="1">IF(AND('CALLER Portal'!$Y$1 = "False", OverallTable[[#This Row],[Active]] = FALSE), "", IFERROR((H101+I101)/C101,""))</f>
        <v>76.052806476950025</v>
      </c>
      <c r="O101" s="172">
        <f ca="1">IF(AND('CALLER Portal'!$Y$1 = "False", OverallTable[[#This Row],[Active]] = FALSE),"",IF(C101 = 0,"",IFERROR((E101+F101)/C101,0)))</f>
        <v>1.1177572352123737</v>
      </c>
      <c r="P101" s="172">
        <f ca="1">IF(AND('CALLER Portal'!$Y$1 = "False", OverallTable[[#This Row],[Active]] = FALSE), "", IF(C101 = 0,"",IFERROR((F101)/C101,0)))</f>
        <v>0.16615310253156906</v>
      </c>
      <c r="Q101" s="164">
        <f t="shared" ca="1" si="53"/>
        <v>5.9059875536221371</v>
      </c>
      <c r="R101" s="164">
        <f ca="1">IFERROR(_xlfn.PERCENTRANK.INC(OverallTable[F-Score], OverallTable[[#This Row],[F-Score]]),"")</f>
        <v>0.79500000000000004</v>
      </c>
      <c r="S101" s="164">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0.70080000000000009</v>
      </c>
      <c r="T101" s="159">
        <f t="shared" ca="1" si="54"/>
        <v>0.61099999999999999</v>
      </c>
      <c r="U101" s="141">
        <f t="shared" ca="1" si="55"/>
        <v>0.61099999999999999</v>
      </c>
      <c r="V101" s="141">
        <f t="shared" ca="1" si="56"/>
        <v>0.66600000000000004</v>
      </c>
      <c r="W101" s="141">
        <f t="shared" ca="1" si="57"/>
        <v>0.81100000000000005</v>
      </c>
      <c r="X101" s="141">
        <f t="shared" ca="1" si="58"/>
        <v>0.76600000000000001</v>
      </c>
      <c r="Y101" s="141">
        <f t="shared" ca="1" si="59"/>
        <v>0.74399999999999999</v>
      </c>
      <c r="Z101" s="141" t="str">
        <f>IFERROR(IF('CALLER Portal'!$Y$1 = "TRUE", OverallTable[[#This Row],[Name]],IF(AND('CALLER Portal'!$Y$1 = "FALSE", OverallTable[[#This Row],[Active]] = TRUE),OverallTable[[#This Row],[Name]],"(Blank)")),"")</f>
        <v xml:space="preserve">Lee Waller </v>
      </c>
      <c r="AB101" s="73" t="s">
        <v>415</v>
      </c>
    </row>
    <row r="102" spans="1:28" x14ac:dyDescent="0.25">
      <c r="A102" s="82" t="s">
        <v>415</v>
      </c>
      <c r="B102" s="134" t="b">
        <v>1</v>
      </c>
      <c r="C102" s="91">
        <f t="shared" ca="1" si="45"/>
        <v>0</v>
      </c>
      <c r="D102" s="91">
        <f t="shared" ca="1" si="46"/>
        <v>0</v>
      </c>
      <c r="E102" s="91">
        <f t="shared" ca="1" si="47"/>
        <v>0</v>
      </c>
      <c r="F102" s="91">
        <f t="shared" ca="1" si="48"/>
        <v>0</v>
      </c>
      <c r="G102" s="107">
        <f t="shared" ca="1" si="49"/>
        <v>0</v>
      </c>
      <c r="H102" s="84">
        <f t="shared" ca="1" si="50"/>
        <v>0</v>
      </c>
      <c r="I102" s="84">
        <f t="shared" ca="1" si="51"/>
        <v>0</v>
      </c>
      <c r="J102" s="84">
        <f t="shared" ca="1" si="52"/>
        <v>0</v>
      </c>
      <c r="K102" s="92" t="str">
        <f ca="1">IFERROR(IF(AND('CALLER Portal'!$Y$1 = "False", OverallTable[[#This Row],[Active]] = FALSE), "",OverallTable[[#This Row],[Total Gifts]]/OverallTable[[#This Row],[Contacts]]),"")</f>
        <v/>
      </c>
      <c r="L102" s="92" t="str">
        <f ca="1">IF(AND('CALLER Portal'!$Y$1 = "False", OverallTable[[#This Row],[Active]] = FALSE), "", IF(C102 = 0,"",IFERROR((E102+F102)/D102,0)))</f>
        <v/>
      </c>
      <c r="M102" s="92" t="str">
        <f ca="1">IF(AND('CALLER Portal'!$Y$1 = "False", OverallTable[[#This Row],[Active]] = FALSE), "",IF(C102 = 0,"",IFERROR(F102/D102,0)))</f>
        <v/>
      </c>
      <c r="N102" s="85" t="str">
        <f ca="1">IF(AND('CALLER Portal'!$Y$1 = "False", OverallTable[[#This Row],[Active]] = FALSE), "", IFERROR((H102+I102)/C102,""))</f>
        <v/>
      </c>
      <c r="O102" s="173" t="str">
        <f ca="1">IF(AND('CALLER Portal'!$Y$1 = "False", OverallTable[[#This Row],[Active]] = FALSE),"",IF(C102 = 0,"",IFERROR((E102+F102)/C102,0)))</f>
        <v/>
      </c>
      <c r="P102" s="173" t="str">
        <f ca="1">IF(AND('CALLER Portal'!$Y$1 = "False", OverallTable[[#This Row],[Active]] = FALSE), "", IF(C102 = 0,"",IFERROR((F102)/C102,0)))</f>
        <v/>
      </c>
      <c r="Q102" s="86" t="str">
        <f t="shared" ca="1" si="53"/>
        <v/>
      </c>
      <c r="R102" s="86" t="str">
        <f ca="1">IFERROR(_xlfn.PERCENTRANK.INC(OverallTable[F-Score], OverallTable[[#This Row],[F-Score]]),"")</f>
        <v/>
      </c>
      <c r="S102"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102" s="116" t="str">
        <f t="shared" ca="1" si="54"/>
        <v/>
      </c>
      <c r="U102" s="117" t="str">
        <f t="shared" ca="1" si="55"/>
        <v/>
      </c>
      <c r="V102" s="117" t="str">
        <f t="shared" ca="1" si="56"/>
        <v/>
      </c>
      <c r="W102" s="117" t="str">
        <f t="shared" ca="1" si="57"/>
        <v/>
      </c>
      <c r="X102" s="117" t="str">
        <f t="shared" ca="1" si="58"/>
        <v/>
      </c>
      <c r="Y102" s="117" t="str">
        <f t="shared" ca="1" si="59"/>
        <v/>
      </c>
      <c r="Z102" s="141" t="str">
        <f>IFERROR(IF('CALLER Portal'!$Y$1 = "TRUE", OverallTable[[#This Row],[Name]],IF(AND('CALLER Portal'!$Y$1 = "FALSE", OverallTable[[#This Row],[Active]] = TRUE),OverallTable[[#This Row],[Name]],"(Blank)")),"")</f>
        <v xml:space="preserve">Leia Tolpor </v>
      </c>
      <c r="AB102" s="73" t="s">
        <v>355</v>
      </c>
    </row>
    <row r="103" spans="1:28" x14ac:dyDescent="0.25">
      <c r="A103" s="82" t="s">
        <v>355</v>
      </c>
      <c r="B103" s="134" t="b">
        <v>1</v>
      </c>
      <c r="C103" s="83">
        <f t="shared" ca="1" si="45"/>
        <v>10.460999999999999</v>
      </c>
      <c r="D103" s="83">
        <f t="shared" ca="1" si="46"/>
        <v>21</v>
      </c>
      <c r="E103" s="83">
        <f t="shared" ca="1" si="47"/>
        <v>13</v>
      </c>
      <c r="F103" s="83">
        <f t="shared" ca="1" si="48"/>
        <v>2</v>
      </c>
      <c r="G103" s="107">
        <f t="shared" ca="1" si="49"/>
        <v>58</v>
      </c>
      <c r="H103" s="84">
        <f t="shared" ca="1" si="50"/>
        <v>286</v>
      </c>
      <c r="I103" s="84">
        <f t="shared" ca="1" si="51"/>
        <v>40</v>
      </c>
      <c r="J103" s="84">
        <f t="shared" ca="1" si="52"/>
        <v>691</v>
      </c>
      <c r="K103" s="92">
        <f ca="1">IFERROR(IF(AND('CALLER Portal'!$Y$1 = "False", OverallTable[[#This Row],[Active]] = FALSE), "",OverallTable[[#This Row],[Total Gifts]]/OverallTable[[#This Row],[Contacts]]),"")</f>
        <v>0.36206896551724138</v>
      </c>
      <c r="L103" s="92">
        <f ca="1">IF(AND('CALLER Portal'!$Y$1 = "False", OverallTable[[#This Row],[Active]] = FALSE), "", IF(C103 = 0,"",IFERROR((E103+F103)/D103,0)))</f>
        <v>0.7142857142857143</v>
      </c>
      <c r="M103" s="92">
        <f ca="1">IF(AND('CALLER Portal'!$Y$1 = "False", OverallTable[[#This Row],[Active]] = FALSE), "",IF(C103 = 0,"",IFERROR(F103/D103,0)))</f>
        <v>9.5238095238095233E-2</v>
      </c>
      <c r="N103" s="85">
        <f ca="1">IF(AND('CALLER Portal'!$Y$1 = "False", OverallTable[[#This Row],[Active]] = FALSE), "", IFERROR((H103+I103)/C103,""))</f>
        <v>31.163368702800884</v>
      </c>
      <c r="O103" s="170">
        <f ca="1">IF(AND('CALLER Portal'!$Y$1 = "False", OverallTable[[#This Row],[Active]] = FALSE),"",IF(C103 = 0,"",IFERROR((E103+F103)/C103,0)))</f>
        <v>1.433897332950961</v>
      </c>
      <c r="P103" s="170">
        <f ca="1">IF(AND('CALLER Portal'!$Y$1 = "False", OverallTable[[#This Row],[Active]] = FALSE), "", IF(C103 = 0,"",IFERROR((F103)/C103,0)))</f>
        <v>0.19118631106012812</v>
      </c>
      <c r="Q103" s="86">
        <f t="shared" ca="1" si="53"/>
        <v>5.5444030207437152</v>
      </c>
      <c r="R103" s="86">
        <f ca="1">IFERROR(_xlfn.PERCENTRANK.INC(OverallTable[F-Score], OverallTable[[#This Row],[F-Score]]),"")</f>
        <v>0.80600000000000005</v>
      </c>
      <c r="S103" s="86">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0.70090000000000008</v>
      </c>
      <c r="T103" s="116">
        <f t="shared" ca="1" si="54"/>
        <v>0.9</v>
      </c>
      <c r="U103" s="117">
        <f t="shared" ca="1" si="55"/>
        <v>0.8</v>
      </c>
      <c r="V103" s="117">
        <f t="shared" ca="1" si="56"/>
        <v>0.67700000000000005</v>
      </c>
      <c r="W103" s="117">
        <f t="shared" ca="1" si="57"/>
        <v>0.155</v>
      </c>
      <c r="X103" s="117">
        <f t="shared" ca="1" si="58"/>
        <v>0.91100000000000003</v>
      </c>
      <c r="Y103" s="117">
        <f t="shared" ca="1" si="59"/>
        <v>0.8</v>
      </c>
      <c r="Z103" s="141" t="str">
        <f>IFERROR(IF('CALLER Portal'!$Y$1 = "TRUE", OverallTable[[#This Row],[Name]],IF(AND('CALLER Portal'!$Y$1 = "FALSE", OverallTable[[#This Row],[Active]] = TRUE),OverallTable[[#This Row],[Name]],"(Blank)")),"")</f>
        <v xml:space="preserve">Leile Contrea </v>
      </c>
      <c r="AB103" s="73" t="s">
        <v>422</v>
      </c>
    </row>
    <row r="104" spans="1:28" x14ac:dyDescent="0.25">
      <c r="A104" s="158" t="s">
        <v>422</v>
      </c>
      <c r="B104" s="134" t="b">
        <v>1</v>
      </c>
      <c r="C104" s="239">
        <f t="shared" ca="1" si="45"/>
        <v>111.64800000000002</v>
      </c>
      <c r="D104" s="239">
        <f t="shared" ca="1" si="46"/>
        <v>249</v>
      </c>
      <c r="E104" s="239">
        <f t="shared" ca="1" si="47"/>
        <v>139</v>
      </c>
      <c r="F104" s="239">
        <f t="shared" ca="1" si="48"/>
        <v>24</v>
      </c>
      <c r="G104" s="240">
        <f t="shared" ca="1" si="49"/>
        <v>724</v>
      </c>
      <c r="H104" s="241">
        <f t="shared" ca="1" si="50"/>
        <v>7195</v>
      </c>
      <c r="I104" s="241">
        <f t="shared" ca="1" si="51"/>
        <v>3120</v>
      </c>
      <c r="J104" s="241">
        <f t="shared" ca="1" si="52"/>
        <v>15715</v>
      </c>
      <c r="K104" s="242">
        <f ca="1">IFERROR(IF(AND('CALLER Portal'!$Y$1 = "False", OverallTable[[#This Row],[Active]] = FALSE), "",OverallTable[[#This Row],[Total Gifts]]/OverallTable[[#This Row],[Contacts]]),"")</f>
        <v>0.34392265193370164</v>
      </c>
      <c r="L104" s="242">
        <f ca="1">IF(AND('CALLER Portal'!$Y$1 = "False", OverallTable[[#This Row],[Active]] = FALSE), "", IF(C104 = 0,"",IFERROR((E104+F104)/D104,0)))</f>
        <v>0.65461847389558236</v>
      </c>
      <c r="M104" s="242">
        <f ca="1">IF(AND('CALLER Portal'!$Y$1 = "False", OverallTable[[#This Row],[Active]] = FALSE), "",IF(C104 = 0,"",IFERROR(F104/D104,0)))</f>
        <v>9.6385542168674704E-2</v>
      </c>
      <c r="N104" s="243">
        <f ca="1">IF(AND('CALLER Portal'!$Y$1 = "False", OverallTable[[#This Row],[Active]] = FALSE), "", IFERROR((H104+I104)/C104,""))</f>
        <v>92.388578389223255</v>
      </c>
      <c r="O104" s="244">
        <f ca="1">IF(AND('CALLER Portal'!$Y$1 = "False", OverallTable[[#This Row],[Active]] = FALSE),"",IF(C104 = 0,"",IFERROR((E104+F104)/C104,0)))</f>
        <v>1.4599455431355686</v>
      </c>
      <c r="P104" s="244">
        <f ca="1">IF(AND('CALLER Portal'!$Y$1 = "False", OverallTable[[#This Row],[Active]] = FALSE), "", IF(C104 = 0,"",IFERROR((F104)/C104,0)))</f>
        <v>0.2149613069647463</v>
      </c>
      <c r="Q104" s="245">
        <f t="shared" ca="1" si="53"/>
        <v>6.4846660934365135</v>
      </c>
      <c r="R104" s="245">
        <f ca="1">IFERROR(_xlfn.PERCENTRANK.INC(OverallTable[F-Score], OverallTable[[#This Row],[F-Score]]),"")</f>
        <v>0.97699999999999998</v>
      </c>
      <c r="S104" s="245">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0.8307000000000001</v>
      </c>
      <c r="T104" s="159">
        <f t="shared" ca="1" si="54"/>
        <v>0.81100000000000005</v>
      </c>
      <c r="U104" s="141">
        <f t="shared" ca="1" si="55"/>
        <v>0.67700000000000005</v>
      </c>
      <c r="V104" s="141">
        <f t="shared" ca="1" si="56"/>
        <v>0.7</v>
      </c>
      <c r="W104" s="141">
        <f t="shared" ca="1" si="57"/>
        <v>0.94399999999999995</v>
      </c>
      <c r="X104" s="141">
        <f t="shared" ca="1" si="58"/>
        <v>0.95499999999999996</v>
      </c>
      <c r="Y104" s="141">
        <f t="shared" ca="1" si="59"/>
        <v>0.83299999999999996</v>
      </c>
      <c r="Z104" s="141" t="str">
        <f>IFERROR(IF('CALLER Portal'!$Y$1 = "TRUE", OverallTable[[#This Row],[Name]],IF(AND('CALLER Portal'!$Y$1 = "FALSE", OverallTable[[#This Row],[Active]] = TRUE),OverallTable[[#This Row],[Name]],"(Blank)")),"")</f>
        <v xml:space="preserve">Leslie Query </v>
      </c>
      <c r="AB104" s="73" t="s">
        <v>419</v>
      </c>
    </row>
    <row r="105" spans="1:28" x14ac:dyDescent="0.25">
      <c r="A105" s="82" t="s">
        <v>419</v>
      </c>
      <c r="B105" s="134" t="b">
        <v>1</v>
      </c>
      <c r="C105" s="91">
        <f t="shared" ca="1" si="45"/>
        <v>0</v>
      </c>
      <c r="D105" s="91">
        <f t="shared" ca="1" si="46"/>
        <v>0</v>
      </c>
      <c r="E105" s="91">
        <f t="shared" ca="1" si="47"/>
        <v>0</v>
      </c>
      <c r="F105" s="91">
        <f t="shared" ca="1" si="48"/>
        <v>0</v>
      </c>
      <c r="G105" s="107">
        <f t="shared" ca="1" si="49"/>
        <v>0</v>
      </c>
      <c r="H105" s="84">
        <f t="shared" ca="1" si="50"/>
        <v>0</v>
      </c>
      <c r="I105" s="84">
        <f t="shared" ca="1" si="51"/>
        <v>0</v>
      </c>
      <c r="J105" s="84">
        <f t="shared" ca="1" si="52"/>
        <v>0</v>
      </c>
      <c r="K105" s="92" t="str">
        <f ca="1">IFERROR(IF(AND('CALLER Portal'!$Y$1 = "False", OverallTable[[#This Row],[Active]] = FALSE), "",OverallTable[[#This Row],[Total Gifts]]/OverallTable[[#This Row],[Contacts]]),"")</f>
        <v/>
      </c>
      <c r="L105" s="92" t="str">
        <f ca="1">IF(AND('CALLER Portal'!$Y$1 = "False", OverallTable[[#This Row],[Active]] = FALSE), "", IF(C105 = 0,"",IFERROR((E105+F105)/D105,0)))</f>
        <v/>
      </c>
      <c r="M105" s="92" t="str">
        <f ca="1">IF(AND('CALLER Portal'!$Y$1 = "False", OverallTable[[#This Row],[Active]] = FALSE), "",IF(C105 = 0,"",IFERROR(F105/D105,0)))</f>
        <v/>
      </c>
      <c r="N105" s="85" t="str">
        <f ca="1">IF(AND('CALLER Portal'!$Y$1 = "False", OverallTable[[#This Row],[Active]] = FALSE), "", IFERROR((H105+I105)/C105,""))</f>
        <v/>
      </c>
      <c r="O105" s="173" t="str">
        <f ca="1">IF(AND('CALLER Portal'!$Y$1 = "False", OverallTable[[#This Row],[Active]] = FALSE),"",IF(C105 = 0,"",IFERROR((E105+F105)/C105,0)))</f>
        <v/>
      </c>
      <c r="P105" s="173" t="str">
        <f ca="1">IF(AND('CALLER Portal'!$Y$1 = "False", OverallTable[[#This Row],[Active]] = FALSE), "", IF(C105 = 0,"",IFERROR((F105)/C105,0)))</f>
        <v/>
      </c>
      <c r="Q105" s="86" t="str">
        <f t="shared" ca="1" si="53"/>
        <v/>
      </c>
      <c r="R105" s="86" t="str">
        <f ca="1">IFERROR(_xlfn.PERCENTRANK.INC(OverallTable[F-Score], OverallTable[[#This Row],[F-Score]]),"")</f>
        <v/>
      </c>
      <c r="S105"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105" s="116" t="str">
        <f t="shared" ca="1" si="54"/>
        <v/>
      </c>
      <c r="U105" s="117" t="str">
        <f t="shared" ca="1" si="55"/>
        <v/>
      </c>
      <c r="V105" s="117" t="str">
        <f t="shared" ca="1" si="56"/>
        <v/>
      </c>
      <c r="W105" s="117" t="str">
        <f t="shared" ca="1" si="57"/>
        <v/>
      </c>
      <c r="X105" s="117" t="str">
        <f t="shared" ca="1" si="58"/>
        <v/>
      </c>
      <c r="Y105" s="117" t="str">
        <f t="shared" ca="1" si="59"/>
        <v/>
      </c>
      <c r="Z105" s="141" t="str">
        <f>IFERROR(IF('CALLER Portal'!$Y$1 = "TRUE", OverallTable[[#This Row],[Name]],IF(AND('CALLER Portal'!$Y$1 = "FALSE", OverallTable[[#This Row],[Active]] = TRUE),OverallTable[[#This Row],[Name]],"(Blank)")),"")</f>
        <v xml:space="preserve">Liz Thoat </v>
      </c>
      <c r="AB105" s="73" t="s">
        <v>306</v>
      </c>
    </row>
    <row r="106" spans="1:28" x14ac:dyDescent="0.25">
      <c r="A106" s="82" t="s">
        <v>306</v>
      </c>
      <c r="B106" s="134" t="b">
        <v>1</v>
      </c>
      <c r="C106" s="83">
        <f t="shared" ca="1" si="45"/>
        <v>0</v>
      </c>
      <c r="D106" s="83">
        <f t="shared" ca="1" si="46"/>
        <v>0</v>
      </c>
      <c r="E106" s="83">
        <f t="shared" ca="1" si="47"/>
        <v>0</v>
      </c>
      <c r="F106" s="83">
        <f t="shared" ca="1" si="48"/>
        <v>0</v>
      </c>
      <c r="G106" s="107">
        <f t="shared" ca="1" si="49"/>
        <v>0</v>
      </c>
      <c r="H106" s="84">
        <f t="shared" ca="1" si="50"/>
        <v>0</v>
      </c>
      <c r="I106" s="84">
        <f t="shared" ca="1" si="51"/>
        <v>0</v>
      </c>
      <c r="J106" s="84">
        <f t="shared" ca="1" si="52"/>
        <v>0</v>
      </c>
      <c r="K106" s="92" t="str">
        <f ca="1">IFERROR(IF(AND('CALLER Portal'!$Y$1 = "False", OverallTable[[#This Row],[Active]] = FALSE), "",OverallTable[[#This Row],[Total Gifts]]/OverallTable[[#This Row],[Contacts]]),"")</f>
        <v/>
      </c>
      <c r="L106" s="92" t="str">
        <f ca="1">IF(AND('CALLER Portal'!$Y$1 = "False", OverallTable[[#This Row],[Active]] = FALSE), "", IF(C106 = 0,"",IFERROR((E106+F106)/D106,0)))</f>
        <v/>
      </c>
      <c r="M106" s="92" t="str">
        <f ca="1">IF(AND('CALLER Portal'!$Y$1 = "False", OverallTable[[#This Row],[Active]] = FALSE), "",IF(C106 = 0,"",IFERROR(F106/D106,0)))</f>
        <v/>
      </c>
      <c r="N106" s="85" t="str">
        <f ca="1">IF(AND('CALLER Portal'!$Y$1 = "False", OverallTable[[#This Row],[Active]] = FALSE), "", IFERROR((H106+I106)/C106,""))</f>
        <v/>
      </c>
      <c r="O106" s="170" t="str">
        <f ca="1">IF(AND('CALLER Portal'!$Y$1 = "False", OverallTable[[#This Row],[Active]] = FALSE),"",IF(C106 = 0,"",IFERROR((E106+F106)/C106,0)))</f>
        <v/>
      </c>
      <c r="P106" s="170" t="str">
        <f ca="1">IF(AND('CALLER Portal'!$Y$1 = "False", OverallTable[[#This Row],[Active]] = FALSE), "", IF(C106 = 0,"",IFERROR((F106)/C106,0)))</f>
        <v/>
      </c>
      <c r="Q106" s="86" t="str">
        <f t="shared" ca="1" si="53"/>
        <v/>
      </c>
      <c r="R106" s="86" t="str">
        <f ca="1">IFERROR(_xlfn.PERCENTRANK.INC(OverallTable[F-Score], OverallTable[[#This Row],[F-Score]]),"")</f>
        <v/>
      </c>
      <c r="S106"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106" s="116" t="str">
        <f t="shared" ca="1" si="54"/>
        <v/>
      </c>
      <c r="U106" s="117" t="str">
        <f t="shared" ca="1" si="55"/>
        <v/>
      </c>
      <c r="V106" s="117" t="str">
        <f t="shared" ca="1" si="56"/>
        <v/>
      </c>
      <c r="W106" s="117" t="str">
        <f t="shared" ca="1" si="57"/>
        <v/>
      </c>
      <c r="X106" s="117" t="str">
        <f t="shared" ca="1" si="58"/>
        <v/>
      </c>
      <c r="Y106" s="117" t="str">
        <f t="shared" ca="1" si="59"/>
        <v/>
      </c>
      <c r="Z106" s="141" t="str">
        <f>IFERROR(IF('CALLER Portal'!$Y$1 = "TRUE", OverallTable[[#This Row],[Name]],IF(AND('CALLER Portal'!$Y$1 = "FALSE", OverallTable[[#This Row],[Active]] = TRUE),OverallTable[[#This Row],[Name]],"(Blank)")),"")</f>
        <v xml:space="preserve">Loren Appleton </v>
      </c>
      <c r="AB106" s="73" t="s">
        <v>336</v>
      </c>
    </row>
    <row r="107" spans="1:28" x14ac:dyDescent="0.25">
      <c r="A107" s="82" t="s">
        <v>336</v>
      </c>
      <c r="B107" s="134" t="b">
        <v>1</v>
      </c>
      <c r="C107" s="83">
        <f t="shared" ca="1" si="45"/>
        <v>53.216000000000001</v>
      </c>
      <c r="D107" s="83">
        <f t="shared" ca="1" si="46"/>
        <v>106</v>
      </c>
      <c r="E107" s="83">
        <f t="shared" ca="1" si="47"/>
        <v>51</v>
      </c>
      <c r="F107" s="83">
        <f t="shared" ca="1" si="48"/>
        <v>1</v>
      </c>
      <c r="G107" s="107">
        <f t="shared" ca="1" si="49"/>
        <v>387</v>
      </c>
      <c r="H107" s="84">
        <f t="shared" ca="1" si="50"/>
        <v>2646</v>
      </c>
      <c r="I107" s="84">
        <f t="shared" ca="1" si="51"/>
        <v>120</v>
      </c>
      <c r="J107" s="84">
        <f t="shared" ca="1" si="52"/>
        <v>5626</v>
      </c>
      <c r="K107" s="92">
        <f ca="1">IFERROR(IF(AND('CALLER Portal'!$Y$1 = "False", OverallTable[[#This Row],[Active]] = FALSE), "",OverallTable[[#This Row],[Total Gifts]]/OverallTable[[#This Row],[Contacts]]),"")</f>
        <v>0.27390180878552972</v>
      </c>
      <c r="L107" s="92">
        <f ca="1">IF(AND('CALLER Portal'!$Y$1 = "False", OverallTable[[#This Row],[Active]] = FALSE), "", IF(C107 = 0,"",IFERROR((E107+F107)/D107,0)))</f>
        <v>0.49056603773584906</v>
      </c>
      <c r="M107" s="92">
        <f ca="1">IF(AND('CALLER Portal'!$Y$1 = "False", OverallTable[[#This Row],[Active]] = FALSE), "",IF(C107 = 0,"",IFERROR(F107/D107,0)))</f>
        <v>9.433962264150943E-3</v>
      </c>
      <c r="N107" s="85">
        <f ca="1">IF(AND('CALLER Portal'!$Y$1 = "False", OverallTable[[#This Row],[Active]] = FALSE), "", IFERROR((H107+I107)/C107,""))</f>
        <v>51.976849067949487</v>
      </c>
      <c r="O107" s="170">
        <f ca="1">IF(AND('CALLER Portal'!$Y$1 = "False", OverallTable[[#This Row],[Active]] = FALSE),"",IF(C107 = 0,"",IFERROR((E107+F107)/C107,0)))</f>
        <v>0.97714972940469025</v>
      </c>
      <c r="P107" s="170">
        <f ca="1">IF(AND('CALLER Portal'!$Y$1 = "False", OverallTable[[#This Row],[Active]] = FALSE), "", IF(C107 = 0,"",IFERROR((F107)/C107,0)))</f>
        <v>1.8791340950090198E-2</v>
      </c>
      <c r="Q107" s="86">
        <f t="shared" ca="1" si="53"/>
        <v>7.2722489476849068</v>
      </c>
      <c r="R107" s="86">
        <f ca="1">IFERROR(_xlfn.PERCENTRANK.INC(OverallTable[F-Score], OverallTable[[#This Row],[F-Score]]),"")</f>
        <v>0.30599999999999999</v>
      </c>
      <c r="S107" s="86">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0.3906</v>
      </c>
      <c r="T107" s="116">
        <f t="shared" ca="1" si="54"/>
        <v>0.54400000000000004</v>
      </c>
      <c r="U107" s="117">
        <f t="shared" ca="1" si="55"/>
        <v>0.122</v>
      </c>
      <c r="V107" s="117">
        <f t="shared" ca="1" si="56"/>
        <v>0.155</v>
      </c>
      <c r="W107" s="117">
        <f t="shared" ca="1" si="57"/>
        <v>0.53300000000000003</v>
      </c>
      <c r="X107" s="117">
        <f t="shared" ca="1" si="58"/>
        <v>0.58799999999999997</v>
      </c>
      <c r="Y107" s="117">
        <f t="shared" ca="1" si="59"/>
        <v>0.17699999999999999</v>
      </c>
      <c r="Z107" s="141" t="str">
        <f>IFERROR(IF('CALLER Portal'!$Y$1 = "TRUE", OverallTable[[#This Row],[Name]],IF(AND('CALLER Portal'!$Y$1 = "FALSE", OverallTable[[#This Row],[Active]] = TRUE),OverallTable[[#This Row],[Name]],"(Blank)")),"")</f>
        <v xml:space="preserve">Lucas Ness </v>
      </c>
      <c r="AB107" s="73" t="s">
        <v>378</v>
      </c>
    </row>
    <row r="108" spans="1:28" x14ac:dyDescent="0.25">
      <c r="A108" s="82" t="s">
        <v>378</v>
      </c>
      <c r="B108" s="134" t="b">
        <v>1</v>
      </c>
      <c r="C108" s="83">
        <f t="shared" ca="1" si="45"/>
        <v>0</v>
      </c>
      <c r="D108" s="83">
        <f t="shared" ca="1" si="46"/>
        <v>0</v>
      </c>
      <c r="E108" s="83">
        <f t="shared" ca="1" si="47"/>
        <v>0</v>
      </c>
      <c r="F108" s="83">
        <f t="shared" ca="1" si="48"/>
        <v>0</v>
      </c>
      <c r="G108" s="107">
        <f t="shared" ca="1" si="49"/>
        <v>0</v>
      </c>
      <c r="H108" s="84">
        <f t="shared" ca="1" si="50"/>
        <v>0</v>
      </c>
      <c r="I108" s="84">
        <f t="shared" ca="1" si="51"/>
        <v>0</v>
      </c>
      <c r="J108" s="84">
        <f t="shared" ca="1" si="52"/>
        <v>0</v>
      </c>
      <c r="K108" s="92" t="str">
        <f ca="1">IFERROR(IF(AND('CALLER Portal'!$Y$1 = "False", OverallTable[[#This Row],[Active]] = FALSE), "",OverallTable[[#This Row],[Total Gifts]]/OverallTable[[#This Row],[Contacts]]),"")</f>
        <v/>
      </c>
      <c r="L108" s="92" t="str">
        <f ca="1">IF(AND('CALLER Portal'!$Y$1 = "False", OverallTable[[#This Row],[Active]] = FALSE), "", IF(C108 = 0,"",IFERROR((E108+F108)/D108,0)))</f>
        <v/>
      </c>
      <c r="M108" s="92" t="str">
        <f ca="1">IF(AND('CALLER Portal'!$Y$1 = "False", OverallTable[[#This Row],[Active]] = FALSE), "",IF(C108 = 0,"",IFERROR(F108/D108,0)))</f>
        <v/>
      </c>
      <c r="N108" s="85" t="str">
        <f ca="1">IF(AND('CALLER Portal'!$Y$1 = "False", OverallTable[[#This Row],[Active]] = FALSE), "", IFERROR((H108+I108)/C108,""))</f>
        <v/>
      </c>
      <c r="O108" s="170" t="str">
        <f ca="1">IF(AND('CALLER Portal'!$Y$1 = "False", OverallTable[[#This Row],[Active]] = FALSE),"",IF(C108 = 0,"",IFERROR((E108+F108)/C108,0)))</f>
        <v/>
      </c>
      <c r="P108" s="170" t="str">
        <f ca="1">IF(AND('CALLER Portal'!$Y$1 = "False", OverallTable[[#This Row],[Active]] = FALSE), "", IF(C108 = 0,"",IFERROR((F108)/C108,0)))</f>
        <v/>
      </c>
      <c r="Q108" s="86" t="str">
        <f t="shared" ca="1" si="53"/>
        <v/>
      </c>
      <c r="R108" s="86" t="str">
        <f ca="1">IFERROR(_xlfn.PERCENTRANK.INC(OverallTable[F-Score], OverallTable[[#This Row],[F-Score]]),"")</f>
        <v/>
      </c>
      <c r="S108"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108" s="116" t="str">
        <f t="shared" ca="1" si="54"/>
        <v/>
      </c>
      <c r="U108" s="117" t="str">
        <f t="shared" ca="1" si="55"/>
        <v/>
      </c>
      <c r="V108" s="117" t="str">
        <f t="shared" ca="1" si="56"/>
        <v/>
      </c>
      <c r="W108" s="117" t="str">
        <f t="shared" ca="1" si="57"/>
        <v/>
      </c>
      <c r="X108" s="117" t="str">
        <f t="shared" ca="1" si="58"/>
        <v/>
      </c>
      <c r="Y108" s="117" t="str">
        <f t="shared" ca="1" si="59"/>
        <v/>
      </c>
      <c r="Z108" s="141" t="str">
        <f>IFERROR(IF('CALLER Portal'!$Y$1 = "TRUE", OverallTable[[#This Row],[Name]],IF(AND('CALLER Portal'!$Y$1 = "FALSE", OverallTable[[#This Row],[Active]] = TRUE),OverallTable[[#This Row],[Name]],"(Blank)")),"")</f>
        <v xml:space="preserve">Macie Powell </v>
      </c>
      <c r="AB108" s="73" t="s">
        <v>332</v>
      </c>
    </row>
    <row r="109" spans="1:28" x14ac:dyDescent="0.25">
      <c r="A109" s="82" t="s">
        <v>332</v>
      </c>
      <c r="B109" s="134" t="b">
        <v>1</v>
      </c>
      <c r="C109" s="83">
        <f t="shared" ca="1" si="45"/>
        <v>58.801999999999992</v>
      </c>
      <c r="D109" s="83">
        <f t="shared" ca="1" si="46"/>
        <v>66</v>
      </c>
      <c r="E109" s="83">
        <f t="shared" ca="1" si="47"/>
        <v>36</v>
      </c>
      <c r="F109" s="83">
        <f t="shared" ca="1" si="48"/>
        <v>5</v>
      </c>
      <c r="G109" s="107">
        <f t="shared" ca="1" si="49"/>
        <v>250</v>
      </c>
      <c r="H109" s="84">
        <f t="shared" ca="1" si="50"/>
        <v>2072</v>
      </c>
      <c r="I109" s="84">
        <f t="shared" ca="1" si="51"/>
        <v>920</v>
      </c>
      <c r="J109" s="84">
        <f t="shared" ca="1" si="52"/>
        <v>4717</v>
      </c>
      <c r="K109" s="92">
        <f ca="1">IFERROR(IF(AND('CALLER Portal'!$Y$1 = "False", OverallTable[[#This Row],[Active]] = FALSE), "",OverallTable[[#This Row],[Total Gifts]]/OverallTable[[#This Row],[Contacts]]),"")</f>
        <v>0.26400000000000001</v>
      </c>
      <c r="L109" s="92">
        <f ca="1">IF(AND('CALLER Portal'!$Y$1 = "False", OverallTable[[#This Row],[Active]] = FALSE), "", IF(C109 = 0,"",IFERROR((E109+F109)/D109,0)))</f>
        <v>0.62121212121212122</v>
      </c>
      <c r="M109" s="92">
        <f ca="1">IF(AND('CALLER Portal'!$Y$1 = "False", OverallTable[[#This Row],[Active]] = FALSE), "",IF(C109 = 0,"",IFERROR(F109/D109,0)))</f>
        <v>7.575757575757576E-2</v>
      </c>
      <c r="N109" s="85">
        <f ca="1">IF(AND('CALLER Portal'!$Y$1 = "False", OverallTable[[#This Row],[Active]] = FALSE), "", IFERROR((H109+I109)/C109,""))</f>
        <v>50.882623040032655</v>
      </c>
      <c r="O109" s="170">
        <f ca="1">IF(AND('CALLER Portal'!$Y$1 = "False", OverallTable[[#This Row],[Active]] = FALSE),"",IF(C109 = 0,"",IFERROR((E109+F109)/C109,0)))</f>
        <v>0.69725519540151704</v>
      </c>
      <c r="P109" s="170">
        <f ca="1">IF(AND('CALLER Portal'!$Y$1 = "False", OverallTable[[#This Row],[Active]] = FALSE), "", IF(C109 = 0,"",IFERROR((F109)/C109,0)))</f>
        <v>8.5031121390428913E-2</v>
      </c>
      <c r="Q109" s="86">
        <f t="shared" ca="1" si="53"/>
        <v>4.2515560695214454</v>
      </c>
      <c r="R109" s="86">
        <f ca="1">IFERROR(_xlfn.PERCENTRANK.INC(OverallTable[F-Score], OverallTable[[#This Row],[F-Score]]),"")</f>
        <v>0.45400000000000001</v>
      </c>
      <c r="S109" s="86">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0.47389999999999999</v>
      </c>
      <c r="T109" s="116">
        <f t="shared" ca="1" si="54"/>
        <v>0.48799999999999999</v>
      </c>
      <c r="U109" s="117">
        <f t="shared" ca="1" si="55"/>
        <v>0.56599999999999995</v>
      </c>
      <c r="V109" s="117">
        <f t="shared" ca="1" si="56"/>
        <v>0.6</v>
      </c>
      <c r="W109" s="117">
        <f t="shared" ca="1" si="57"/>
        <v>0.51100000000000001</v>
      </c>
      <c r="X109" s="117">
        <f t="shared" ca="1" si="58"/>
        <v>0.28799999999999998</v>
      </c>
      <c r="Y109" s="117">
        <f t="shared" ca="1" si="59"/>
        <v>0.433</v>
      </c>
      <c r="Z109" s="141" t="str">
        <f>IFERROR(IF('CALLER Portal'!$Y$1 = "TRUE", OverallTable[[#This Row],[Name]],IF(AND('CALLER Portal'!$Y$1 = "FALSE", OverallTable[[#This Row],[Active]] = TRUE),OverallTable[[#This Row],[Name]],"(Blank)")),"")</f>
        <v xml:space="preserve">Mack Gold </v>
      </c>
      <c r="AB109" s="73" t="s">
        <v>316</v>
      </c>
    </row>
    <row r="110" spans="1:28" x14ac:dyDescent="0.25">
      <c r="A110" s="82" t="s">
        <v>316</v>
      </c>
      <c r="B110" s="134" t="b">
        <v>1</v>
      </c>
      <c r="C110" s="83">
        <f t="shared" ca="1" si="45"/>
        <v>13.110999999999999</v>
      </c>
      <c r="D110" s="83">
        <f t="shared" ca="1" si="46"/>
        <v>2</v>
      </c>
      <c r="E110" s="83">
        <f t="shared" ca="1" si="47"/>
        <v>2</v>
      </c>
      <c r="F110" s="83">
        <f t="shared" ca="1" si="48"/>
        <v>0</v>
      </c>
      <c r="G110" s="107">
        <f t="shared" ca="1" si="49"/>
        <v>24</v>
      </c>
      <c r="H110" s="84">
        <f t="shared" ca="1" si="50"/>
        <v>120</v>
      </c>
      <c r="I110" s="84">
        <f t="shared" ca="1" si="51"/>
        <v>0</v>
      </c>
      <c r="J110" s="84">
        <f t="shared" ca="1" si="52"/>
        <v>120</v>
      </c>
      <c r="K110" s="92">
        <f ca="1">IFERROR(IF(AND('CALLER Portal'!$Y$1 = "False", OverallTable[[#This Row],[Active]] = FALSE), "",OverallTable[[#This Row],[Total Gifts]]/OverallTable[[#This Row],[Contacts]]),"")</f>
        <v>8.3333333333333329E-2</v>
      </c>
      <c r="L110" s="92">
        <f ca="1">IF(AND('CALLER Portal'!$Y$1 = "False", OverallTable[[#This Row],[Active]] = FALSE), "", IF(C110 = 0,"",IFERROR((E110+F110)/D110,0)))</f>
        <v>1</v>
      </c>
      <c r="M110" s="92">
        <f ca="1">IF(AND('CALLER Portal'!$Y$1 = "False", OverallTable[[#This Row],[Active]] = FALSE), "",IF(C110 = 0,"",IFERROR(F110/D110,0)))</f>
        <v>0</v>
      </c>
      <c r="N110" s="85">
        <f ca="1">IF(AND('CALLER Portal'!$Y$1 = "False", OverallTable[[#This Row],[Active]] = FALSE), "", IFERROR((H110+I110)/C110,""))</f>
        <v>9.1526199374570982</v>
      </c>
      <c r="O110" s="170">
        <f ca="1">IF(AND('CALLER Portal'!$Y$1 = "False", OverallTable[[#This Row],[Active]] = FALSE),"",IF(C110 = 0,"",IFERROR((E110+F110)/C110,0)))</f>
        <v>0.15254366562428495</v>
      </c>
      <c r="P110" s="170">
        <f ca="1">IF(AND('CALLER Portal'!$Y$1 = "False", OverallTable[[#This Row],[Active]] = FALSE), "", IF(C110 = 0,"",IFERROR((F110)/C110,0)))</f>
        <v>0</v>
      </c>
      <c r="Q110" s="86">
        <f t="shared" ca="1" si="53"/>
        <v>1.8305239874914196</v>
      </c>
      <c r="R110" s="86">
        <f ca="1">IFERROR(_xlfn.PERCENTRANK.INC(OverallTable[F-Score], OverallTable[[#This Row],[F-Score]]),"")</f>
        <v>0.14699999999999999</v>
      </c>
      <c r="S110" s="86">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0.2218</v>
      </c>
      <c r="T110" s="116">
        <f t="shared" ca="1" si="54"/>
        <v>4.3999999999999997E-2</v>
      </c>
      <c r="U110" s="117">
        <f t="shared" ca="1" si="55"/>
        <v>0.96599999999999997</v>
      </c>
      <c r="V110" s="117">
        <f t="shared" ca="1" si="56"/>
        <v>1.0999999999999999E-2</v>
      </c>
      <c r="W110" s="117">
        <f t="shared" ca="1" si="57"/>
        <v>5.5E-2</v>
      </c>
      <c r="X110" s="117">
        <f t="shared" ca="1" si="58"/>
        <v>3.3000000000000002E-2</v>
      </c>
      <c r="Y110" s="117">
        <f t="shared" ca="1" si="59"/>
        <v>1.0999999999999999E-2</v>
      </c>
      <c r="Z110" s="141" t="str">
        <f>IFERROR(IF('CALLER Portal'!$Y$1 = "TRUE", OverallTable[[#This Row],[Name]],IF(AND('CALLER Portal'!$Y$1 = "FALSE", OverallTable[[#This Row],[Active]] = TRUE),OverallTable[[#This Row],[Name]],"(Blank)")),"")</f>
        <v xml:space="preserve">Madeline Finley </v>
      </c>
      <c r="AB110" s="73" t="s">
        <v>411</v>
      </c>
    </row>
    <row r="111" spans="1:28" x14ac:dyDescent="0.25">
      <c r="A111" s="82" t="s">
        <v>411</v>
      </c>
      <c r="B111" s="134" t="b">
        <v>1</v>
      </c>
      <c r="C111" s="91">
        <f t="shared" ca="1" si="45"/>
        <v>34.03</v>
      </c>
      <c r="D111" s="91">
        <f t="shared" ca="1" si="46"/>
        <v>41</v>
      </c>
      <c r="E111" s="91">
        <f t="shared" ca="1" si="47"/>
        <v>19</v>
      </c>
      <c r="F111" s="91">
        <f t="shared" ca="1" si="48"/>
        <v>5</v>
      </c>
      <c r="G111" s="107">
        <f t="shared" ca="1" si="49"/>
        <v>182</v>
      </c>
      <c r="H111" s="84">
        <f t="shared" ca="1" si="50"/>
        <v>910</v>
      </c>
      <c r="I111" s="84">
        <f t="shared" ca="1" si="51"/>
        <v>600</v>
      </c>
      <c r="J111" s="84">
        <f t="shared" ca="1" si="52"/>
        <v>2215</v>
      </c>
      <c r="K111" s="92">
        <f ca="1">IFERROR(IF(AND('CALLER Portal'!$Y$1 = "False", OverallTable[[#This Row],[Active]] = FALSE), "",OverallTable[[#This Row],[Total Gifts]]/OverallTable[[#This Row],[Contacts]]),"")</f>
        <v>0.22527472527472528</v>
      </c>
      <c r="L111" s="92">
        <f ca="1">IF(AND('CALLER Portal'!$Y$1 = "False", OverallTable[[#This Row],[Active]] = FALSE), "", IF(C111 = 0,"",IFERROR((E111+F111)/D111,0)))</f>
        <v>0.58536585365853655</v>
      </c>
      <c r="M111" s="92">
        <f ca="1">IF(AND('CALLER Portal'!$Y$1 = "False", OverallTable[[#This Row],[Active]] = FALSE), "",IF(C111 = 0,"",IFERROR(F111/D111,0)))</f>
        <v>0.12195121951219512</v>
      </c>
      <c r="N111" s="85">
        <f ca="1">IF(AND('CALLER Portal'!$Y$1 = "False", OverallTable[[#This Row],[Active]] = FALSE), "", IFERROR((H111+I111)/C111,""))</f>
        <v>44.372612400822803</v>
      </c>
      <c r="O111" s="173">
        <f ca="1">IF(AND('CALLER Portal'!$Y$1 = "False", OverallTable[[#This Row],[Active]] = FALSE),"",IF(C111 = 0,"",IFERROR((E111+F111)/C111,0)))</f>
        <v>0.70526006464883928</v>
      </c>
      <c r="P111" s="173">
        <f ca="1">IF(AND('CALLER Portal'!$Y$1 = "False", OverallTable[[#This Row],[Active]] = FALSE), "", IF(C111 = 0,"",IFERROR((F111)/C111,0)))</f>
        <v>0.14692918013517484</v>
      </c>
      <c r="Q111" s="86">
        <f t="shared" ca="1" si="53"/>
        <v>5.3482221569203645</v>
      </c>
      <c r="R111" s="86">
        <f ca="1">IFERROR(_xlfn.PERCENTRANK.INC(OverallTable[F-Score], OverallTable[[#This Row],[F-Score]]),"")</f>
        <v>0.36299999999999999</v>
      </c>
      <c r="S111" s="86">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0.41510000000000002</v>
      </c>
      <c r="T111" s="116">
        <f t="shared" ca="1" si="54"/>
        <v>0.27700000000000002</v>
      </c>
      <c r="U111" s="117">
        <f t="shared" ca="1" si="55"/>
        <v>0.45500000000000002</v>
      </c>
      <c r="V111" s="117">
        <f t="shared" ca="1" si="56"/>
        <v>0.74399999999999999</v>
      </c>
      <c r="W111" s="117">
        <f t="shared" ca="1" si="57"/>
        <v>0.33300000000000002</v>
      </c>
      <c r="X111" s="117">
        <f t="shared" ca="1" si="58"/>
        <v>0.3</v>
      </c>
      <c r="Y111" s="117">
        <f t="shared" ca="1" si="59"/>
        <v>0.67700000000000005</v>
      </c>
      <c r="Z111" s="141" t="str">
        <f>IFERROR(IF('CALLER Portal'!$Y$1 = "TRUE", OverallTable[[#This Row],[Name]],IF(AND('CALLER Portal'!$Y$1 = "FALSE", OverallTable[[#This Row],[Active]] = TRUE),OverallTable[[#This Row],[Name]],"(Blank)")),"")</f>
        <v xml:space="preserve">Madison Herp </v>
      </c>
      <c r="AB111" s="73" t="s">
        <v>368</v>
      </c>
    </row>
    <row r="112" spans="1:28" x14ac:dyDescent="0.25">
      <c r="A112" s="82" t="s">
        <v>368</v>
      </c>
      <c r="B112" s="134" t="b">
        <v>1</v>
      </c>
      <c r="C112" s="83">
        <f t="shared" ca="1" si="45"/>
        <v>0</v>
      </c>
      <c r="D112" s="83">
        <f t="shared" ca="1" si="46"/>
        <v>0</v>
      </c>
      <c r="E112" s="83">
        <f t="shared" ca="1" si="47"/>
        <v>0</v>
      </c>
      <c r="F112" s="83">
        <f t="shared" ca="1" si="48"/>
        <v>0</v>
      </c>
      <c r="G112" s="107">
        <f t="shared" ca="1" si="49"/>
        <v>0</v>
      </c>
      <c r="H112" s="84">
        <f t="shared" ca="1" si="50"/>
        <v>0</v>
      </c>
      <c r="I112" s="84">
        <f t="shared" ca="1" si="51"/>
        <v>0</v>
      </c>
      <c r="J112" s="84">
        <f t="shared" ca="1" si="52"/>
        <v>0</v>
      </c>
      <c r="K112" s="92" t="str">
        <f ca="1">IFERROR(IF(AND('CALLER Portal'!$Y$1 = "False", OverallTable[[#This Row],[Active]] = FALSE), "",OverallTable[[#This Row],[Total Gifts]]/OverallTable[[#This Row],[Contacts]]),"")</f>
        <v/>
      </c>
      <c r="L112" s="92" t="str">
        <f ca="1">IF(AND('CALLER Portal'!$Y$1 = "False", OverallTable[[#This Row],[Active]] = FALSE), "", IF(C112 = 0,"",IFERROR((E112+F112)/D112,0)))</f>
        <v/>
      </c>
      <c r="M112" s="92" t="str">
        <f ca="1">IF(AND('CALLER Portal'!$Y$1 = "False", OverallTable[[#This Row],[Active]] = FALSE), "",IF(C112 = 0,"",IFERROR(F112/D112,0)))</f>
        <v/>
      </c>
      <c r="N112" s="85" t="str">
        <f ca="1">IF(AND('CALLER Portal'!$Y$1 = "False", OverallTable[[#This Row],[Active]] = FALSE), "", IFERROR((H112+I112)/C112,""))</f>
        <v/>
      </c>
      <c r="O112" s="170" t="str">
        <f ca="1">IF(AND('CALLER Portal'!$Y$1 = "False", OverallTable[[#This Row],[Active]] = FALSE),"",IF(C112 = 0,"",IFERROR((E112+F112)/C112,0)))</f>
        <v/>
      </c>
      <c r="P112" s="170" t="str">
        <f ca="1">IF(AND('CALLER Portal'!$Y$1 = "False", OverallTable[[#This Row],[Active]] = FALSE), "", IF(C112 = 0,"",IFERROR((F112)/C112,0)))</f>
        <v/>
      </c>
      <c r="Q112" s="86" t="str">
        <f t="shared" ca="1" si="53"/>
        <v/>
      </c>
      <c r="R112" s="86" t="str">
        <f ca="1">IFERROR(_xlfn.PERCENTRANK.INC(OverallTable[F-Score], OverallTable[[#This Row],[F-Score]]),"")</f>
        <v/>
      </c>
      <c r="S112"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112" s="116" t="str">
        <f t="shared" ca="1" si="54"/>
        <v/>
      </c>
      <c r="U112" s="117" t="str">
        <f t="shared" ca="1" si="55"/>
        <v/>
      </c>
      <c r="V112" s="117" t="str">
        <f t="shared" ca="1" si="56"/>
        <v/>
      </c>
      <c r="W112" s="117" t="str">
        <f t="shared" ca="1" si="57"/>
        <v/>
      </c>
      <c r="X112" s="117" t="str">
        <f t="shared" ca="1" si="58"/>
        <v/>
      </c>
      <c r="Y112" s="117" t="str">
        <f t="shared" ca="1" si="59"/>
        <v/>
      </c>
      <c r="Z112" s="141" t="str">
        <f>IFERROR(IF('CALLER Portal'!$Y$1 = "TRUE", OverallTable[[#This Row],[Name]],IF(AND('CALLER Portal'!$Y$1 = "FALSE", OverallTable[[#This Row],[Active]] = TRUE),OverallTable[[#This Row],[Name]],"(Blank)")),"")</f>
        <v xml:space="preserve">Maja Thorpe </v>
      </c>
      <c r="AB112" s="73" t="s">
        <v>284</v>
      </c>
    </row>
    <row r="113" spans="1:28" x14ac:dyDescent="0.25">
      <c r="A113" s="82" t="s">
        <v>284</v>
      </c>
      <c r="B113" s="134" t="b">
        <v>1</v>
      </c>
      <c r="C113" s="83">
        <f t="shared" ca="1" si="45"/>
        <v>0</v>
      </c>
      <c r="D113" s="83">
        <f t="shared" ca="1" si="46"/>
        <v>0</v>
      </c>
      <c r="E113" s="83">
        <f t="shared" ca="1" si="47"/>
        <v>0</v>
      </c>
      <c r="F113" s="83">
        <f t="shared" ca="1" si="48"/>
        <v>0</v>
      </c>
      <c r="G113" s="107">
        <f t="shared" ca="1" si="49"/>
        <v>0</v>
      </c>
      <c r="H113" s="84">
        <f t="shared" ca="1" si="50"/>
        <v>0</v>
      </c>
      <c r="I113" s="84">
        <f t="shared" ca="1" si="51"/>
        <v>0</v>
      </c>
      <c r="J113" s="84">
        <f t="shared" ca="1" si="52"/>
        <v>0</v>
      </c>
      <c r="K113" s="92" t="str">
        <f ca="1">IFERROR(IF(AND('CALLER Portal'!$Y$1 = "False", OverallTable[[#This Row],[Active]] = FALSE), "",OverallTable[[#This Row],[Total Gifts]]/OverallTable[[#This Row],[Contacts]]),"")</f>
        <v/>
      </c>
      <c r="L113" s="92" t="str">
        <f ca="1">IF(AND('CALLER Portal'!$Y$1 = "False", OverallTable[[#This Row],[Active]] = FALSE), "", IF(C113 = 0,"",IFERROR((E113+F113)/D113,0)))</f>
        <v/>
      </c>
      <c r="M113" s="92" t="str">
        <f ca="1">IF(AND('CALLER Portal'!$Y$1 = "False", OverallTable[[#This Row],[Active]] = FALSE), "",IF(C113 = 0,"",IFERROR(F113/D113,0)))</f>
        <v/>
      </c>
      <c r="N113" s="85" t="str">
        <f ca="1">IF(AND('CALLER Portal'!$Y$1 = "False", OverallTable[[#This Row],[Active]] = FALSE), "", IFERROR((H113+I113)/C113,""))</f>
        <v/>
      </c>
      <c r="O113" s="170" t="str">
        <f ca="1">IF(AND('CALLER Portal'!$Y$1 = "False", OverallTable[[#This Row],[Active]] = FALSE),"",IF(C113 = 0,"",IFERROR((E113+F113)/C113,0)))</f>
        <v/>
      </c>
      <c r="P113" s="170" t="str">
        <f ca="1">IF(AND('CALLER Portal'!$Y$1 = "False", OverallTable[[#This Row],[Active]] = FALSE), "", IF(C113 = 0,"",IFERROR((F113)/C113,0)))</f>
        <v/>
      </c>
      <c r="Q113" s="86" t="str">
        <f t="shared" ca="1" si="53"/>
        <v/>
      </c>
      <c r="R113" s="86" t="str">
        <f ca="1">IFERROR(_xlfn.PERCENTRANK.INC(OverallTable[F-Score], OverallTable[[#This Row],[F-Score]]),"")</f>
        <v/>
      </c>
      <c r="S113"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113" s="116" t="str">
        <f t="shared" ca="1" si="54"/>
        <v/>
      </c>
      <c r="U113" s="117" t="str">
        <f t="shared" ca="1" si="55"/>
        <v/>
      </c>
      <c r="V113" s="117" t="str">
        <f t="shared" ca="1" si="56"/>
        <v/>
      </c>
      <c r="W113" s="117" t="str">
        <f t="shared" ca="1" si="57"/>
        <v/>
      </c>
      <c r="X113" s="117" t="str">
        <f t="shared" ca="1" si="58"/>
        <v/>
      </c>
      <c r="Y113" s="117" t="str">
        <f t="shared" ca="1" si="59"/>
        <v/>
      </c>
      <c r="Z113" s="141" t="str">
        <f>IFERROR(IF('CALLER Portal'!$Y$1 = "TRUE", OverallTable[[#This Row],[Name]],IF(AND('CALLER Portal'!$Y$1 = "FALSE", OverallTable[[#This Row],[Active]] = TRUE),OverallTable[[#This Row],[Name]],"(Blank)")),"")</f>
        <v xml:space="preserve">Martyna England </v>
      </c>
      <c r="AB113" s="73" t="s">
        <v>285</v>
      </c>
    </row>
    <row r="114" spans="1:28" x14ac:dyDescent="0.25">
      <c r="A114" s="82" t="s">
        <v>285</v>
      </c>
      <c r="B114" s="134" t="b">
        <v>1</v>
      </c>
      <c r="C114" s="83">
        <f t="shared" ca="1" si="45"/>
        <v>0</v>
      </c>
      <c r="D114" s="83">
        <f t="shared" ca="1" si="46"/>
        <v>0</v>
      </c>
      <c r="E114" s="83">
        <f t="shared" ca="1" si="47"/>
        <v>0</v>
      </c>
      <c r="F114" s="83">
        <f t="shared" ca="1" si="48"/>
        <v>0</v>
      </c>
      <c r="G114" s="107">
        <f t="shared" ca="1" si="49"/>
        <v>0</v>
      </c>
      <c r="H114" s="84">
        <f t="shared" ca="1" si="50"/>
        <v>0</v>
      </c>
      <c r="I114" s="84">
        <f t="shared" ca="1" si="51"/>
        <v>0</v>
      </c>
      <c r="J114" s="84">
        <f t="shared" ca="1" si="52"/>
        <v>0</v>
      </c>
      <c r="K114" s="92" t="str">
        <f ca="1">IFERROR(IF(AND('CALLER Portal'!$Y$1 = "False", OverallTable[[#This Row],[Active]] = FALSE), "",OverallTable[[#This Row],[Total Gifts]]/OverallTable[[#This Row],[Contacts]]),"")</f>
        <v/>
      </c>
      <c r="L114" s="92" t="str">
        <f ca="1">IF(AND('CALLER Portal'!$Y$1 = "False", OverallTable[[#This Row],[Active]] = FALSE), "", IF(C114 = 0,"",IFERROR((E114+F114)/D114,0)))</f>
        <v/>
      </c>
      <c r="M114" s="92" t="str">
        <f ca="1">IF(AND('CALLER Portal'!$Y$1 = "False", OverallTable[[#This Row],[Active]] = FALSE), "",IF(C114 = 0,"",IFERROR(F114/D114,0)))</f>
        <v/>
      </c>
      <c r="N114" s="85" t="str">
        <f ca="1">IF(AND('CALLER Portal'!$Y$1 = "False", OverallTable[[#This Row],[Active]] = FALSE), "", IFERROR((H114+I114)/C114,""))</f>
        <v/>
      </c>
      <c r="O114" s="170" t="str">
        <f ca="1">IF(AND('CALLER Portal'!$Y$1 = "False", OverallTable[[#This Row],[Active]] = FALSE),"",IF(C114 = 0,"",IFERROR((E114+F114)/C114,0)))</f>
        <v/>
      </c>
      <c r="P114" s="170" t="str">
        <f ca="1">IF(AND('CALLER Portal'!$Y$1 = "False", OverallTable[[#This Row],[Active]] = FALSE), "", IF(C114 = 0,"",IFERROR((F114)/C114,0)))</f>
        <v/>
      </c>
      <c r="Q114" s="86" t="str">
        <f t="shared" ca="1" si="53"/>
        <v/>
      </c>
      <c r="R114" s="86" t="str">
        <f ca="1">IFERROR(_xlfn.PERCENTRANK.INC(OverallTable[F-Score], OverallTable[[#This Row],[F-Score]]),"")</f>
        <v/>
      </c>
      <c r="S114"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114" s="116" t="str">
        <f t="shared" ca="1" si="54"/>
        <v/>
      </c>
      <c r="U114" s="117" t="str">
        <f t="shared" ca="1" si="55"/>
        <v/>
      </c>
      <c r="V114" s="117" t="str">
        <f t="shared" ca="1" si="56"/>
        <v/>
      </c>
      <c r="W114" s="117" t="str">
        <f t="shared" ca="1" si="57"/>
        <v/>
      </c>
      <c r="X114" s="117" t="str">
        <f t="shared" ca="1" si="58"/>
        <v/>
      </c>
      <c r="Y114" s="117" t="str">
        <f t="shared" ca="1" si="59"/>
        <v/>
      </c>
      <c r="Z114" s="141" t="str">
        <f>IFERROR(IF('CALLER Portal'!$Y$1 = "TRUE", OverallTable[[#This Row],[Name]],IF(AND('CALLER Portal'!$Y$1 = "FALSE", OverallTable[[#This Row],[Active]] = TRUE),OverallTable[[#This Row],[Name]],"(Blank)")),"")</f>
        <v xml:space="preserve">Mary Brown </v>
      </c>
      <c r="AB114" s="73" t="s">
        <v>298</v>
      </c>
    </row>
    <row r="115" spans="1:28" x14ac:dyDescent="0.25">
      <c r="A115" s="158" t="s">
        <v>298</v>
      </c>
      <c r="B115" s="134" t="b">
        <v>1</v>
      </c>
      <c r="C115" s="239">
        <f t="shared" ca="1" si="45"/>
        <v>41.087000000000003</v>
      </c>
      <c r="D115" s="239">
        <f t="shared" ca="1" si="46"/>
        <v>80</v>
      </c>
      <c r="E115" s="239">
        <f t="shared" ca="1" si="47"/>
        <v>40</v>
      </c>
      <c r="F115" s="239">
        <f t="shared" ca="1" si="48"/>
        <v>19</v>
      </c>
      <c r="G115" s="240">
        <f t="shared" ca="1" si="49"/>
        <v>198</v>
      </c>
      <c r="H115" s="241">
        <f t="shared" ca="1" si="50"/>
        <v>1950</v>
      </c>
      <c r="I115" s="241">
        <f t="shared" ca="1" si="51"/>
        <v>2040</v>
      </c>
      <c r="J115" s="241">
        <f t="shared" ca="1" si="52"/>
        <v>5030</v>
      </c>
      <c r="K115" s="242">
        <f ca="1">IFERROR(IF(AND('CALLER Portal'!$Y$1 = "False", OverallTable[[#This Row],[Active]] = FALSE), "",OverallTable[[#This Row],[Total Gifts]]/OverallTable[[#This Row],[Contacts]]),"")</f>
        <v>0.40404040404040403</v>
      </c>
      <c r="L115" s="242">
        <f ca="1">IF(AND('CALLER Portal'!$Y$1 = "False", OverallTable[[#This Row],[Active]] = FALSE), "", IF(C115 = 0,"",IFERROR((E115+F115)/D115,0)))</f>
        <v>0.73750000000000004</v>
      </c>
      <c r="M115" s="242">
        <f ca="1">IF(AND('CALLER Portal'!$Y$1 = "False", OverallTable[[#This Row],[Active]] = FALSE), "",IF(C115 = 0,"",IFERROR(F115/D115,0)))</f>
        <v>0.23749999999999999</v>
      </c>
      <c r="N115" s="243">
        <f ca="1">IF(AND('CALLER Portal'!$Y$1 = "False", OverallTable[[#This Row],[Active]] = FALSE), "", IFERROR((H115+I115)/C115,""))</f>
        <v>97.111008348139308</v>
      </c>
      <c r="O115" s="244">
        <f ca="1">IF(AND('CALLER Portal'!$Y$1 = "False", OverallTable[[#This Row],[Active]] = FALSE),"",IF(C115 = 0,"",IFERROR((E115+F115)/C115,0)))</f>
        <v>1.43597731642612</v>
      </c>
      <c r="P115" s="244">
        <f ca="1">IF(AND('CALLER Portal'!$Y$1 = "False", OverallTable[[#This Row],[Active]] = FALSE), "", IF(C115 = 0,"",IFERROR((F115)/C115,0)))</f>
        <v>0.46243337308637766</v>
      </c>
      <c r="Q115" s="245">
        <f t="shared" ca="1" si="53"/>
        <v>4.8190425195317248</v>
      </c>
      <c r="R115" s="245">
        <f ca="1">IFERROR(_xlfn.PERCENTRANK.INC(OverallTable[F-Score], OverallTable[[#This Row],[F-Score]]),"")</f>
        <v>1</v>
      </c>
      <c r="S115" s="245">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0.94270000000000009</v>
      </c>
      <c r="T115" s="159">
        <f t="shared" ca="1" si="54"/>
        <v>0.96599999999999997</v>
      </c>
      <c r="U115" s="141">
        <f t="shared" ca="1" si="55"/>
        <v>0.877</v>
      </c>
      <c r="V115" s="141">
        <f t="shared" ca="1" si="56"/>
        <v>0.97699999999999998</v>
      </c>
      <c r="W115" s="141">
        <f t="shared" ca="1" si="57"/>
        <v>0.96599999999999997</v>
      </c>
      <c r="X115" s="141">
        <f t="shared" ca="1" si="58"/>
        <v>0.92200000000000004</v>
      </c>
      <c r="Y115" s="141">
        <f t="shared" ca="1" si="59"/>
        <v>0.98799999999999999</v>
      </c>
      <c r="Z115" s="141" t="str">
        <f>IFERROR(IF('CALLER Portal'!$Y$1 = "TRUE", OverallTable[[#This Row],[Name]],IF(AND('CALLER Portal'!$Y$1 = "FALSE", OverallTable[[#This Row],[Active]] = TRUE),OverallTable[[#This Row],[Name]],"(Blank)")),"")</f>
        <v xml:space="preserve">Mason Mueller </v>
      </c>
      <c r="AB115" s="73" t="s">
        <v>280</v>
      </c>
    </row>
    <row r="116" spans="1:28" x14ac:dyDescent="0.25">
      <c r="A116" s="82" t="s">
        <v>280</v>
      </c>
      <c r="B116" s="134" t="b">
        <v>1</v>
      </c>
      <c r="C116" s="83">
        <f t="shared" ca="1" si="45"/>
        <v>71.441000000000003</v>
      </c>
      <c r="D116" s="83">
        <f t="shared" ca="1" si="46"/>
        <v>111</v>
      </c>
      <c r="E116" s="83">
        <f t="shared" ca="1" si="47"/>
        <v>53</v>
      </c>
      <c r="F116" s="83">
        <f t="shared" ca="1" si="48"/>
        <v>7</v>
      </c>
      <c r="G116" s="107">
        <f t="shared" ca="1" si="49"/>
        <v>346</v>
      </c>
      <c r="H116" s="84">
        <f t="shared" ca="1" si="50"/>
        <v>3095</v>
      </c>
      <c r="I116" s="84">
        <f t="shared" ca="1" si="51"/>
        <v>1620</v>
      </c>
      <c r="J116" s="84">
        <f t="shared" ca="1" si="52"/>
        <v>8280</v>
      </c>
      <c r="K116" s="92">
        <f ca="1">IFERROR(IF(AND('CALLER Portal'!$Y$1 = "False", OverallTable[[#This Row],[Active]] = FALSE), "",OverallTable[[#This Row],[Total Gifts]]/OverallTable[[#This Row],[Contacts]]),"")</f>
        <v>0.32080924855491327</v>
      </c>
      <c r="L116" s="92">
        <f ca="1">IF(AND('CALLER Portal'!$Y$1 = "False", OverallTable[[#This Row],[Active]] = FALSE), "", IF(C116 = 0,"",IFERROR((E116+F116)/D116,0)))</f>
        <v>0.54054054054054057</v>
      </c>
      <c r="M116" s="92">
        <f ca="1">IF(AND('CALLER Portal'!$Y$1 = "False", OverallTable[[#This Row],[Active]] = FALSE), "",IF(C116 = 0,"",IFERROR(F116/D116,0)))</f>
        <v>6.3063063063063057E-2</v>
      </c>
      <c r="N116" s="85">
        <f ca="1">IF(AND('CALLER Portal'!$Y$1 = "False", OverallTable[[#This Row],[Active]] = FALSE), "", IFERROR((H116+I116)/C116,""))</f>
        <v>65.99851625817108</v>
      </c>
      <c r="O116" s="170">
        <f ca="1">IF(AND('CALLER Portal'!$Y$1 = "False", OverallTable[[#This Row],[Active]] = FALSE),"",IF(C116 = 0,"",IFERROR((E116+F116)/C116,0)))</f>
        <v>0.83985386542741558</v>
      </c>
      <c r="P116" s="170">
        <f ca="1">IF(AND('CALLER Portal'!$Y$1 = "False", OverallTable[[#This Row],[Active]] = FALSE), "", IF(C116 = 0,"",IFERROR((F116)/C116,0)))</f>
        <v>9.7982950966531826E-2</v>
      </c>
      <c r="Q116" s="86">
        <f t="shared" ca="1" si="53"/>
        <v>4.8431572906314297</v>
      </c>
      <c r="R116" s="86">
        <f ca="1">IFERROR(_xlfn.PERCENTRANK.INC(OverallTable[F-Score], OverallTable[[#This Row],[F-Score]]),"")</f>
        <v>0.48799999999999999</v>
      </c>
      <c r="S116" s="86">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0.52410000000000001</v>
      </c>
      <c r="T116" s="116">
        <f t="shared" ca="1" si="54"/>
        <v>0.7</v>
      </c>
      <c r="U116" s="117">
        <f t="shared" ca="1" si="55"/>
        <v>0.26600000000000001</v>
      </c>
      <c r="V116" s="117">
        <f t="shared" ca="1" si="56"/>
        <v>0.46600000000000003</v>
      </c>
      <c r="W116" s="117">
        <f t="shared" ca="1" si="57"/>
        <v>0.71099999999999997</v>
      </c>
      <c r="X116" s="117">
        <f t="shared" ca="1" si="58"/>
        <v>0.45500000000000002</v>
      </c>
      <c r="Y116" s="117">
        <f t="shared" ca="1" si="59"/>
        <v>0.51100000000000001</v>
      </c>
      <c r="Z116" s="141" t="str">
        <f>IFERROR(IF('CALLER Portal'!$Y$1 = "TRUE", OverallTable[[#This Row],[Name]],IF(AND('CALLER Portal'!$Y$1 = "FALSE", OverallTable[[#This Row],[Active]] = TRUE),OverallTable[[#This Row],[Name]],"(Blank)")),"")</f>
        <v xml:space="preserve">Maud Diaz </v>
      </c>
      <c r="AB116" s="73" t="s">
        <v>420</v>
      </c>
    </row>
    <row r="117" spans="1:28" x14ac:dyDescent="0.25">
      <c r="A117" s="82" t="s">
        <v>420</v>
      </c>
      <c r="B117" s="134" t="b">
        <v>1</v>
      </c>
      <c r="C117" s="91">
        <f t="shared" ca="1" si="45"/>
        <v>13.04</v>
      </c>
      <c r="D117" s="91">
        <f t="shared" ca="1" si="46"/>
        <v>1</v>
      </c>
      <c r="E117" s="91">
        <f t="shared" ca="1" si="47"/>
        <v>1</v>
      </c>
      <c r="F117" s="91">
        <f t="shared" ca="1" si="48"/>
        <v>0</v>
      </c>
      <c r="G117" s="107">
        <f t="shared" ca="1" si="49"/>
        <v>60</v>
      </c>
      <c r="H117" s="84">
        <f t="shared" ca="1" si="50"/>
        <v>15</v>
      </c>
      <c r="I117" s="84">
        <f t="shared" ca="1" si="51"/>
        <v>0</v>
      </c>
      <c r="J117" s="84">
        <f t="shared" ca="1" si="52"/>
        <v>15</v>
      </c>
      <c r="K117" s="92">
        <f ca="1">IFERROR(IF(AND('CALLER Portal'!$Y$1 = "False", OverallTable[[#This Row],[Active]] = FALSE), "",OverallTable[[#This Row],[Total Gifts]]/OverallTable[[#This Row],[Contacts]]),"")</f>
        <v>1.6666666666666666E-2</v>
      </c>
      <c r="L117" s="92">
        <f ca="1">IF(AND('CALLER Portal'!$Y$1 = "False", OverallTable[[#This Row],[Active]] = FALSE), "", IF(C117 = 0,"",IFERROR((E117+F117)/D117,0)))</f>
        <v>1</v>
      </c>
      <c r="M117" s="92">
        <f ca="1">IF(AND('CALLER Portal'!$Y$1 = "False", OverallTable[[#This Row],[Active]] = FALSE), "",IF(C117 = 0,"",IFERROR(F117/D117,0)))</f>
        <v>0</v>
      </c>
      <c r="N117" s="85">
        <f ca="1">IF(AND('CALLER Portal'!$Y$1 = "False", OverallTable[[#This Row],[Active]] = FALSE), "", IFERROR((H117+I117)/C117,""))</f>
        <v>1.1503067484662577</v>
      </c>
      <c r="O117" s="173">
        <f ca="1">IF(AND('CALLER Portal'!$Y$1 = "False", OverallTable[[#This Row],[Active]] = FALSE),"",IF(C117 = 0,"",IFERROR((E117+F117)/C117,0)))</f>
        <v>7.6687116564417179E-2</v>
      </c>
      <c r="P117" s="173">
        <f ca="1">IF(AND('CALLER Portal'!$Y$1 = "False", OverallTable[[#This Row],[Active]] = FALSE), "", IF(C117 = 0,"",IFERROR((F117)/C117,0)))</f>
        <v>0</v>
      </c>
      <c r="Q117" s="86">
        <f t="shared" ca="1" si="53"/>
        <v>4.6012269938650308</v>
      </c>
      <c r="R117" s="86">
        <f ca="1">IFERROR(_xlfn.PERCENTRANK.INC(OverallTable[F-Score], OverallTable[[#This Row],[F-Score]]),"")</f>
        <v>0.10199999999999999</v>
      </c>
      <c r="S117" s="86">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0.20200000000000001</v>
      </c>
      <c r="T117" s="116">
        <f t="shared" ca="1" si="54"/>
        <v>1.0999999999999999E-2</v>
      </c>
      <c r="U117" s="117">
        <f t="shared" ca="1" si="55"/>
        <v>0.96599999999999997</v>
      </c>
      <c r="V117" s="117">
        <f t="shared" ca="1" si="56"/>
        <v>1.0999999999999999E-2</v>
      </c>
      <c r="W117" s="117">
        <f t="shared" ca="1" si="57"/>
        <v>1.0999999999999999E-2</v>
      </c>
      <c r="X117" s="117">
        <f t="shared" ca="1" si="58"/>
        <v>1.0999999999999999E-2</v>
      </c>
      <c r="Y117" s="117">
        <f t="shared" ca="1" si="59"/>
        <v>1.0999999999999999E-2</v>
      </c>
      <c r="Z117" s="141" t="str">
        <f>IFERROR(IF('CALLER Portal'!$Y$1 = "TRUE", OverallTable[[#This Row],[Name]],IF(AND('CALLER Portal'!$Y$1 = "FALSE", OverallTable[[#This Row],[Active]] = TRUE),OverallTable[[#This Row],[Name]],"(Blank)")),"")</f>
        <v xml:space="preserve">Maximus Arty </v>
      </c>
      <c r="AB117" s="73" t="s">
        <v>275</v>
      </c>
    </row>
    <row r="118" spans="1:28" x14ac:dyDescent="0.25">
      <c r="A118" s="82" t="s">
        <v>275</v>
      </c>
      <c r="B118" s="134" t="b">
        <v>1</v>
      </c>
      <c r="C118" s="83">
        <f t="shared" ca="1" si="45"/>
        <v>0</v>
      </c>
      <c r="D118" s="83">
        <f t="shared" ca="1" si="46"/>
        <v>0</v>
      </c>
      <c r="E118" s="83">
        <f t="shared" ca="1" si="47"/>
        <v>0</v>
      </c>
      <c r="F118" s="83">
        <f t="shared" ca="1" si="48"/>
        <v>0</v>
      </c>
      <c r="G118" s="107">
        <f t="shared" ca="1" si="49"/>
        <v>0</v>
      </c>
      <c r="H118" s="84">
        <f t="shared" ca="1" si="50"/>
        <v>0</v>
      </c>
      <c r="I118" s="84">
        <f t="shared" ca="1" si="51"/>
        <v>0</v>
      </c>
      <c r="J118" s="84">
        <f t="shared" ca="1" si="52"/>
        <v>0</v>
      </c>
      <c r="K118" s="92" t="str">
        <f ca="1">IFERROR(IF(AND('CALLER Portal'!$Y$1 = "False", OverallTable[[#This Row],[Active]] = FALSE), "",OverallTable[[#This Row],[Total Gifts]]/OverallTable[[#This Row],[Contacts]]),"")</f>
        <v/>
      </c>
      <c r="L118" s="92" t="str">
        <f ca="1">IF(AND('CALLER Portal'!$Y$1 = "False", OverallTable[[#This Row],[Active]] = FALSE), "", IF(C118 = 0,"",IFERROR((E118+F118)/D118,0)))</f>
        <v/>
      </c>
      <c r="M118" s="92" t="str">
        <f ca="1">IF(AND('CALLER Portal'!$Y$1 = "False", OverallTable[[#This Row],[Active]] = FALSE), "",IF(C118 = 0,"",IFERROR(F118/D118,0)))</f>
        <v/>
      </c>
      <c r="N118" s="85" t="str">
        <f ca="1">IF(AND('CALLER Portal'!$Y$1 = "False", OverallTable[[#This Row],[Active]] = FALSE), "", IFERROR((H118+I118)/C118,""))</f>
        <v/>
      </c>
      <c r="O118" s="170" t="str">
        <f ca="1">IF(AND('CALLER Portal'!$Y$1 = "False", OverallTable[[#This Row],[Active]] = FALSE),"",IF(C118 = 0,"",IFERROR((E118+F118)/C118,0)))</f>
        <v/>
      </c>
      <c r="P118" s="170" t="str">
        <f ca="1">IF(AND('CALLER Portal'!$Y$1 = "False", OverallTable[[#This Row],[Active]] = FALSE), "", IF(C118 = 0,"",IFERROR((F118)/C118,0)))</f>
        <v/>
      </c>
      <c r="Q118" s="86" t="str">
        <f t="shared" ca="1" si="53"/>
        <v/>
      </c>
      <c r="R118" s="86" t="str">
        <f ca="1">IFERROR(_xlfn.PERCENTRANK.INC(OverallTable[F-Score], OverallTable[[#This Row],[F-Score]]),"")</f>
        <v/>
      </c>
      <c r="S118"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118" s="116" t="str">
        <f t="shared" ca="1" si="54"/>
        <v/>
      </c>
      <c r="U118" s="117" t="str">
        <f t="shared" ca="1" si="55"/>
        <v/>
      </c>
      <c r="V118" s="117" t="str">
        <f t="shared" ca="1" si="56"/>
        <v/>
      </c>
      <c r="W118" s="117" t="str">
        <f t="shared" ca="1" si="57"/>
        <v/>
      </c>
      <c r="X118" s="117" t="str">
        <f t="shared" ca="1" si="58"/>
        <v/>
      </c>
      <c r="Y118" s="117" t="str">
        <f t="shared" ca="1" si="59"/>
        <v/>
      </c>
      <c r="Z118" s="141" t="str">
        <f>IFERROR(IF('CALLER Portal'!$Y$1 = "TRUE", OverallTable[[#This Row],[Name]],IF(AND('CALLER Portal'!$Y$1 = "FALSE", OverallTable[[#This Row],[Active]] = TRUE),OverallTable[[#This Row],[Name]],"(Blank)")),"")</f>
        <v xml:space="preserve">Mehmet Brus </v>
      </c>
      <c r="AB118" s="73" t="s">
        <v>302</v>
      </c>
    </row>
    <row r="119" spans="1:28" x14ac:dyDescent="0.25">
      <c r="A119" s="158" t="s">
        <v>302</v>
      </c>
      <c r="B119" s="134" t="b">
        <v>1</v>
      </c>
      <c r="C119" s="239">
        <f t="shared" ca="1" si="45"/>
        <v>60.914999999999999</v>
      </c>
      <c r="D119" s="239">
        <f t="shared" ca="1" si="46"/>
        <v>149</v>
      </c>
      <c r="E119" s="239">
        <f t="shared" ca="1" si="47"/>
        <v>78</v>
      </c>
      <c r="F119" s="239">
        <f t="shared" ca="1" si="48"/>
        <v>5</v>
      </c>
      <c r="G119" s="240">
        <f t="shared" ca="1" si="49"/>
        <v>359</v>
      </c>
      <c r="H119" s="241">
        <f t="shared" ca="1" si="50"/>
        <v>3419</v>
      </c>
      <c r="I119" s="241">
        <f t="shared" ca="1" si="51"/>
        <v>470</v>
      </c>
      <c r="J119" s="241">
        <f t="shared" ca="1" si="52"/>
        <v>7689</v>
      </c>
      <c r="K119" s="242">
        <f ca="1">IFERROR(IF(AND('CALLER Portal'!$Y$1 = "False", OverallTable[[#This Row],[Active]] = FALSE), "",OverallTable[[#This Row],[Total Gifts]]/OverallTable[[#This Row],[Contacts]]),"")</f>
        <v>0.41504178272980502</v>
      </c>
      <c r="L119" s="242">
        <f ca="1">IF(AND('CALLER Portal'!$Y$1 = "False", OverallTable[[#This Row],[Active]] = FALSE), "", IF(C119 = 0,"",IFERROR((E119+F119)/D119,0)))</f>
        <v>0.55704697986577179</v>
      </c>
      <c r="M119" s="242">
        <f ca="1">IF(AND('CALLER Portal'!$Y$1 = "False", OverallTable[[#This Row],[Active]] = FALSE), "",IF(C119 = 0,"",IFERROR(F119/D119,0)))</f>
        <v>3.3557046979865772E-2</v>
      </c>
      <c r="N119" s="243">
        <f ca="1">IF(AND('CALLER Portal'!$Y$1 = "False", OverallTable[[#This Row],[Active]] = FALSE), "", IFERROR((H119+I119)/C119,""))</f>
        <v>63.843060001641632</v>
      </c>
      <c r="O119" s="244">
        <f ca="1">IF(AND('CALLER Portal'!$Y$1 = "False", OverallTable[[#This Row],[Active]] = FALSE),"",IF(C119 = 0,"",IFERROR((E119+F119)/C119,0)))</f>
        <v>1.3625543790527785</v>
      </c>
      <c r="P119" s="244">
        <f ca="1">IF(AND('CALLER Portal'!$Y$1 = "False", OverallTable[[#This Row],[Active]] = FALSE), "", IF(C119 = 0,"",IFERROR((F119)/C119,0)))</f>
        <v>8.2081589099564964E-2</v>
      </c>
      <c r="Q119" s="245">
        <f t="shared" ca="1" si="53"/>
        <v>5.8934580973487645</v>
      </c>
      <c r="R119" s="245">
        <f ca="1">IFERROR(_xlfn.PERCENTRANK.INC(OverallTable[F-Score], OverallTable[[#This Row],[F-Score]]),"")</f>
        <v>0.68100000000000005</v>
      </c>
      <c r="S119" s="245">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0.63719999999999999</v>
      </c>
      <c r="T119" s="159">
        <f t="shared" ca="1" si="54"/>
        <v>0.98799999999999999</v>
      </c>
      <c r="U119" s="141">
        <f t="shared" ca="1" si="55"/>
        <v>0.32200000000000001</v>
      </c>
      <c r="V119" s="141">
        <f t="shared" ca="1" si="56"/>
        <v>0.24399999999999999</v>
      </c>
      <c r="W119" s="141">
        <f t="shared" ca="1" si="57"/>
        <v>0.68799999999999994</v>
      </c>
      <c r="X119" s="141">
        <f t="shared" ca="1" si="58"/>
        <v>0.85499999999999998</v>
      </c>
      <c r="Y119" s="141">
        <f t="shared" ca="1" si="59"/>
        <v>0.42199999999999999</v>
      </c>
      <c r="Z119" s="141" t="str">
        <f>IFERROR(IF('CALLER Portal'!$Y$1 = "TRUE", OverallTable[[#This Row],[Name]],IF(AND('CALLER Portal'!$Y$1 = "FALSE", OverallTable[[#This Row],[Active]] = TRUE),OverallTable[[#This Row],[Name]],"(Blank)")),"")</f>
        <v xml:space="preserve">Melinda Ferguson </v>
      </c>
      <c r="AB119" s="73" t="s">
        <v>425</v>
      </c>
    </row>
    <row r="120" spans="1:28" x14ac:dyDescent="0.25">
      <c r="A120" s="82" t="s">
        <v>425</v>
      </c>
      <c r="B120" s="134" t="b">
        <v>1</v>
      </c>
      <c r="C120" s="91">
        <f t="shared" ca="1" si="45"/>
        <v>0</v>
      </c>
      <c r="D120" s="91">
        <f t="shared" ca="1" si="46"/>
        <v>0</v>
      </c>
      <c r="E120" s="91">
        <f t="shared" ca="1" si="47"/>
        <v>0</v>
      </c>
      <c r="F120" s="91">
        <f t="shared" ca="1" si="48"/>
        <v>0</v>
      </c>
      <c r="G120" s="107">
        <f t="shared" ca="1" si="49"/>
        <v>0</v>
      </c>
      <c r="H120" s="84">
        <f t="shared" ca="1" si="50"/>
        <v>0</v>
      </c>
      <c r="I120" s="84">
        <f t="shared" ca="1" si="51"/>
        <v>0</v>
      </c>
      <c r="J120" s="84">
        <f t="shared" ca="1" si="52"/>
        <v>0</v>
      </c>
      <c r="K120" s="92" t="str">
        <f ca="1">IFERROR(IF(AND('CALLER Portal'!$Y$1 = "False", OverallTable[[#This Row],[Active]] = FALSE), "",OverallTable[[#This Row],[Total Gifts]]/OverallTable[[#This Row],[Contacts]]),"")</f>
        <v/>
      </c>
      <c r="L120" s="92" t="str">
        <f ca="1">IF(AND('CALLER Portal'!$Y$1 = "False", OverallTable[[#This Row],[Active]] = FALSE), "", IF(C120 = 0,"",IFERROR((E120+F120)/D120,0)))</f>
        <v/>
      </c>
      <c r="M120" s="92" t="str">
        <f ca="1">IF(AND('CALLER Portal'!$Y$1 = "False", OverallTable[[#This Row],[Active]] = FALSE), "",IF(C120 = 0,"",IFERROR(F120/D120,0)))</f>
        <v/>
      </c>
      <c r="N120" s="85" t="str">
        <f ca="1">IF(AND('CALLER Portal'!$Y$1 = "False", OverallTable[[#This Row],[Active]] = FALSE), "", IFERROR((H120+I120)/C120,""))</f>
        <v/>
      </c>
      <c r="O120" s="173" t="str">
        <f ca="1">IF(AND('CALLER Portal'!$Y$1 = "False", OverallTable[[#This Row],[Active]] = FALSE),"",IF(C120 = 0,"",IFERROR((E120+F120)/C120,0)))</f>
        <v/>
      </c>
      <c r="P120" s="173" t="str">
        <f ca="1">IF(AND('CALLER Portal'!$Y$1 = "False", OverallTable[[#This Row],[Active]] = FALSE), "", IF(C120 = 0,"",IFERROR((F120)/C120,0)))</f>
        <v/>
      </c>
      <c r="Q120" s="86" t="str">
        <f t="shared" ca="1" si="53"/>
        <v/>
      </c>
      <c r="R120" s="86" t="str">
        <f ca="1">IFERROR(_xlfn.PERCENTRANK.INC(OverallTable[F-Score], OverallTable[[#This Row],[F-Score]]),"")</f>
        <v/>
      </c>
      <c r="S120"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120" s="201" t="str">
        <f t="shared" ca="1" si="54"/>
        <v/>
      </c>
      <c r="U120" s="117" t="str">
        <f t="shared" ca="1" si="55"/>
        <v/>
      </c>
      <c r="V120" s="117" t="str">
        <f t="shared" ca="1" si="56"/>
        <v/>
      </c>
      <c r="W120" s="117" t="str">
        <f t="shared" ca="1" si="57"/>
        <v/>
      </c>
      <c r="X120" s="117" t="str">
        <f t="shared" ca="1" si="58"/>
        <v/>
      </c>
      <c r="Y120" s="117" t="str">
        <f t="shared" ca="1" si="59"/>
        <v/>
      </c>
      <c r="Z120" s="141" t="str">
        <f>IFERROR(IF('CALLER Portal'!$Y$1 = "TRUE", OverallTable[[#This Row],[Name]],IF(AND('CALLER Portal'!$Y$1 = "FALSE", OverallTable[[#This Row],[Active]] = TRUE),OverallTable[[#This Row],[Name]],"(Blank)")),"")</f>
        <v xml:space="preserve">Milo Buan </v>
      </c>
      <c r="AB120" s="73" t="s">
        <v>401</v>
      </c>
    </row>
    <row r="121" spans="1:28" x14ac:dyDescent="0.25">
      <c r="A121" s="82" t="s">
        <v>401</v>
      </c>
      <c r="B121" s="134" t="b">
        <v>1</v>
      </c>
      <c r="C121" s="83">
        <f t="shared" ca="1" si="45"/>
        <v>52.792000000000002</v>
      </c>
      <c r="D121" s="83">
        <f t="shared" ca="1" si="46"/>
        <v>59</v>
      </c>
      <c r="E121" s="83">
        <f t="shared" ca="1" si="47"/>
        <v>29</v>
      </c>
      <c r="F121" s="83">
        <f t="shared" ca="1" si="48"/>
        <v>9</v>
      </c>
      <c r="G121" s="107">
        <f t="shared" ca="1" si="49"/>
        <v>282</v>
      </c>
      <c r="H121" s="84">
        <f t="shared" ca="1" si="50"/>
        <v>1085</v>
      </c>
      <c r="I121" s="84">
        <f t="shared" ca="1" si="51"/>
        <v>2220</v>
      </c>
      <c r="J121" s="84">
        <f t="shared" ca="1" si="52"/>
        <v>4075</v>
      </c>
      <c r="K121" s="92">
        <f ca="1">IFERROR(IF(AND('CALLER Portal'!$Y$1 = "False", OverallTable[[#This Row],[Active]] = FALSE), "",OverallTable[[#This Row],[Total Gifts]]/OverallTable[[#This Row],[Contacts]]),"")</f>
        <v>0.20921985815602837</v>
      </c>
      <c r="L121" s="92">
        <f ca="1">IF(AND('CALLER Portal'!$Y$1 = "False", OverallTable[[#This Row],[Active]] = FALSE), "", IF(C121 = 0,"",IFERROR((E121+F121)/D121,0)))</f>
        <v>0.64406779661016944</v>
      </c>
      <c r="M121" s="92">
        <f ca="1">IF(AND('CALLER Portal'!$Y$1 = "False", OverallTable[[#This Row],[Active]] = FALSE), "",IF(C121 = 0,"",IFERROR(F121/D121,0)))</f>
        <v>0.15254237288135594</v>
      </c>
      <c r="N121" s="85">
        <f ca="1">IF(AND('CALLER Portal'!$Y$1 = "False", OverallTable[[#This Row],[Active]] = FALSE), "", IFERROR((H121+I121)/C121,""))</f>
        <v>62.604182451886651</v>
      </c>
      <c r="O121" s="170">
        <f ca="1">IF(AND('CALLER Portal'!$Y$1 = "False", OverallTable[[#This Row],[Active]] = FALSE),"",IF(C121 = 0,"",IFERROR((E121+F121)/C121,0)))</f>
        <v>0.71980603121685105</v>
      </c>
      <c r="P121" s="170">
        <f ca="1">IF(AND('CALLER Portal'!$Y$1 = "False", OverallTable[[#This Row],[Active]] = FALSE), "", IF(C121 = 0,"",IFERROR((F121)/C121,0)))</f>
        <v>0.17048037581451736</v>
      </c>
      <c r="Q121" s="86">
        <f t="shared" ca="1" si="53"/>
        <v>5.3417184421882098</v>
      </c>
      <c r="R121" s="86">
        <f ca="1">IFERROR(_xlfn.PERCENTRANK.INC(OverallTable[F-Score], OverallTable[[#This Row],[F-Score]]),"")</f>
        <v>0.5</v>
      </c>
      <c r="S121" s="86">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0.52950000000000008</v>
      </c>
      <c r="T121" s="116">
        <f t="shared" ca="1" si="54"/>
        <v>0.16600000000000001</v>
      </c>
      <c r="U121" s="117">
        <f t="shared" ca="1" si="55"/>
        <v>0.65500000000000003</v>
      </c>
      <c r="V121" s="117">
        <f t="shared" ca="1" si="56"/>
        <v>0.9</v>
      </c>
      <c r="W121" s="117">
        <f t="shared" ca="1" si="57"/>
        <v>0.65500000000000003</v>
      </c>
      <c r="X121" s="117">
        <f t="shared" ca="1" si="58"/>
        <v>0.33300000000000002</v>
      </c>
      <c r="Y121" s="117">
        <f t="shared" ca="1" si="59"/>
        <v>0.77700000000000002</v>
      </c>
      <c r="Z121" s="141" t="str">
        <f>IFERROR(IF('CALLER Portal'!$Y$1 = "TRUE", OverallTable[[#This Row],[Name]],IF(AND('CALLER Portal'!$Y$1 = "FALSE", OverallTable[[#This Row],[Active]] = TRUE),OverallTable[[#This Row],[Name]],"(Blank)")),"")</f>
        <v xml:space="preserve">Misty Olson </v>
      </c>
      <c r="AB121" s="73" t="s">
        <v>345</v>
      </c>
    </row>
    <row r="122" spans="1:28" x14ac:dyDescent="0.25">
      <c r="A122" s="82" t="s">
        <v>345</v>
      </c>
      <c r="B122" s="134" t="b">
        <v>1</v>
      </c>
      <c r="C122" s="83">
        <f t="shared" ca="1" si="45"/>
        <v>0</v>
      </c>
      <c r="D122" s="83">
        <f t="shared" ca="1" si="46"/>
        <v>0</v>
      </c>
      <c r="E122" s="83">
        <f t="shared" ca="1" si="47"/>
        <v>0</v>
      </c>
      <c r="F122" s="83">
        <f t="shared" ca="1" si="48"/>
        <v>0</v>
      </c>
      <c r="G122" s="107">
        <f t="shared" ca="1" si="49"/>
        <v>0</v>
      </c>
      <c r="H122" s="84">
        <f t="shared" ca="1" si="50"/>
        <v>0</v>
      </c>
      <c r="I122" s="84">
        <f t="shared" ca="1" si="51"/>
        <v>0</v>
      </c>
      <c r="J122" s="84">
        <f t="shared" ca="1" si="52"/>
        <v>0</v>
      </c>
      <c r="K122" s="92" t="str">
        <f ca="1">IFERROR(IF(AND('CALLER Portal'!$Y$1 = "False", OverallTable[[#This Row],[Active]] = FALSE), "",OverallTable[[#This Row],[Total Gifts]]/OverallTable[[#This Row],[Contacts]]),"")</f>
        <v/>
      </c>
      <c r="L122" s="92" t="str">
        <f ca="1">IF(AND('CALLER Portal'!$Y$1 = "False", OverallTable[[#This Row],[Active]] = FALSE), "", IF(C122 = 0,"",IFERROR((E122+F122)/D122,0)))</f>
        <v/>
      </c>
      <c r="M122" s="92" t="str">
        <f ca="1">IF(AND('CALLER Portal'!$Y$1 = "False", OverallTable[[#This Row],[Active]] = FALSE), "",IF(C122 = 0,"",IFERROR(F122/D122,0)))</f>
        <v/>
      </c>
      <c r="N122" s="85" t="str">
        <f ca="1">IF(AND('CALLER Portal'!$Y$1 = "False", OverallTable[[#This Row],[Active]] = FALSE), "", IFERROR((H122+I122)/C122,""))</f>
        <v/>
      </c>
      <c r="O122" s="170" t="str">
        <f ca="1">IF(AND('CALLER Portal'!$Y$1 = "False", OverallTable[[#This Row],[Active]] = FALSE),"",IF(C122 = 0,"",IFERROR((E122+F122)/C122,0)))</f>
        <v/>
      </c>
      <c r="P122" s="170" t="str">
        <f ca="1">IF(AND('CALLER Portal'!$Y$1 = "False", OverallTable[[#This Row],[Active]] = FALSE), "", IF(C122 = 0,"",IFERROR((F122)/C122,0)))</f>
        <v/>
      </c>
      <c r="Q122" s="86" t="str">
        <f t="shared" ca="1" si="53"/>
        <v/>
      </c>
      <c r="R122" s="86" t="str">
        <f ca="1">IFERROR(_xlfn.PERCENTRANK.INC(OverallTable[F-Score], OverallTable[[#This Row],[F-Score]]),"")</f>
        <v/>
      </c>
      <c r="S122"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122" s="116" t="str">
        <f t="shared" ca="1" si="54"/>
        <v/>
      </c>
      <c r="U122" s="117" t="str">
        <f t="shared" ca="1" si="55"/>
        <v/>
      </c>
      <c r="V122" s="117" t="str">
        <f t="shared" ca="1" si="56"/>
        <v/>
      </c>
      <c r="W122" s="117" t="str">
        <f t="shared" ca="1" si="57"/>
        <v/>
      </c>
      <c r="X122" s="117" t="str">
        <f t="shared" ca="1" si="58"/>
        <v/>
      </c>
      <c r="Y122" s="117" t="str">
        <f t="shared" ca="1" si="59"/>
        <v/>
      </c>
      <c r="Z122" s="141" t="str">
        <f>IFERROR(IF('CALLER Portal'!$Y$1 = "TRUE", OverallTable[[#This Row],[Name]],IF(AND('CALLER Portal'!$Y$1 = "FALSE", OverallTable[[#This Row],[Active]] = TRUE),OverallTable[[#This Row],[Name]],"(Blank)")),"")</f>
        <v xml:space="preserve">Moesha Herbert </v>
      </c>
      <c r="AB122" s="73" t="s">
        <v>305</v>
      </c>
    </row>
    <row r="123" spans="1:28" x14ac:dyDescent="0.25">
      <c r="A123" s="160" t="s">
        <v>305</v>
      </c>
      <c r="B123" s="134" t="b">
        <v>1</v>
      </c>
      <c r="C123" s="161">
        <f t="shared" ca="1" si="45"/>
        <v>74.962000000000003</v>
      </c>
      <c r="D123" s="161">
        <f t="shared" ca="1" si="46"/>
        <v>68</v>
      </c>
      <c r="E123" s="161">
        <f t="shared" ca="1" si="47"/>
        <v>25</v>
      </c>
      <c r="F123" s="161">
        <f t="shared" ca="1" si="48"/>
        <v>0</v>
      </c>
      <c r="G123" s="162">
        <f t="shared" ca="1" si="49"/>
        <v>294</v>
      </c>
      <c r="H123" s="163">
        <f t="shared" ca="1" si="50"/>
        <v>1512</v>
      </c>
      <c r="I123" s="163">
        <f t="shared" ca="1" si="51"/>
        <v>0</v>
      </c>
      <c r="J123" s="163">
        <f t="shared" ca="1" si="52"/>
        <v>3912</v>
      </c>
      <c r="K123" s="165">
        <f ca="1">IFERROR(IF(AND('CALLER Portal'!$Y$1 = "False", OverallTable[[#This Row],[Active]] = FALSE), "",OverallTable[[#This Row],[Total Gifts]]/OverallTable[[#This Row],[Contacts]]),"")</f>
        <v>0.23129251700680273</v>
      </c>
      <c r="L123" s="165">
        <f ca="1">IF(AND('CALLER Portal'!$Y$1 = "False", OverallTable[[#This Row],[Active]] = FALSE), "", IF(C123 = 0,"",IFERROR((E123+F123)/D123,0)))</f>
        <v>0.36764705882352944</v>
      </c>
      <c r="M123" s="165">
        <f ca="1">IF(AND('CALLER Portal'!$Y$1 = "False", OverallTable[[#This Row],[Active]] = FALSE), "",IF(C123 = 0,"",IFERROR(F123/D123,0)))</f>
        <v>0</v>
      </c>
      <c r="N123" s="166">
        <f ca="1">IF(AND('CALLER Portal'!$Y$1 = "False", OverallTable[[#This Row],[Active]] = FALSE), "", IFERROR((H123+I123)/C123,""))</f>
        <v>20.170219577919479</v>
      </c>
      <c r="O123" s="172">
        <f ca="1">IF(AND('CALLER Portal'!$Y$1 = "False", OverallTable[[#This Row],[Active]] = FALSE),"",IF(C123 = 0,"",IFERROR((E123+F123)/C123,0)))</f>
        <v>0.33350230783597024</v>
      </c>
      <c r="P123" s="172">
        <f ca="1">IF(AND('CALLER Portal'!$Y$1 = "False", OverallTable[[#This Row],[Active]] = FALSE), "", IF(C123 = 0,"",IFERROR((F123)/C123,0)))</f>
        <v>0</v>
      </c>
      <c r="Q123" s="164">
        <f t="shared" ca="1" si="53"/>
        <v>3.9219871401510096</v>
      </c>
      <c r="R123" s="164">
        <f ca="1">IFERROR(_xlfn.PERCENTRANK.INC(OverallTable[F-Score], OverallTable[[#This Row],[F-Score]]),"")</f>
        <v>4.4999999999999998E-2</v>
      </c>
      <c r="S123" s="164">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9.9600000000000008E-2</v>
      </c>
      <c r="T123" s="159">
        <f t="shared" ca="1" si="54"/>
        <v>0.311</v>
      </c>
      <c r="U123" s="141">
        <f t="shared" ca="1" si="55"/>
        <v>1.0999999999999999E-2</v>
      </c>
      <c r="V123" s="141">
        <f t="shared" ca="1" si="56"/>
        <v>1.0999999999999999E-2</v>
      </c>
      <c r="W123" s="141">
        <f t="shared" ca="1" si="57"/>
        <v>7.6999999999999999E-2</v>
      </c>
      <c r="X123" s="141">
        <f t="shared" ca="1" si="58"/>
        <v>8.7999999999999995E-2</v>
      </c>
      <c r="Y123" s="141">
        <f t="shared" ca="1" si="59"/>
        <v>1.0999999999999999E-2</v>
      </c>
      <c r="Z123" s="141" t="str">
        <f>IFERROR(IF('CALLER Portal'!$Y$1 = "TRUE", OverallTable[[#This Row],[Name]],IF(AND('CALLER Portal'!$Y$1 = "FALSE", OverallTable[[#This Row],[Active]] = TRUE),OverallTable[[#This Row],[Name]],"(Blank)")),"")</f>
        <v xml:space="preserve">Nancy Tervino </v>
      </c>
      <c r="AB123" s="73" t="s">
        <v>373</v>
      </c>
    </row>
    <row r="124" spans="1:28" x14ac:dyDescent="0.25">
      <c r="A124" s="160" t="s">
        <v>373</v>
      </c>
      <c r="B124" s="134" t="b">
        <v>1</v>
      </c>
      <c r="C124" s="161">
        <f t="shared" ca="1" si="45"/>
        <v>77.06</v>
      </c>
      <c r="D124" s="161">
        <f t="shared" ca="1" si="46"/>
        <v>114</v>
      </c>
      <c r="E124" s="161">
        <f t="shared" ca="1" si="47"/>
        <v>56</v>
      </c>
      <c r="F124" s="161">
        <f t="shared" ca="1" si="48"/>
        <v>4</v>
      </c>
      <c r="G124" s="162">
        <f t="shared" ca="1" si="49"/>
        <v>458</v>
      </c>
      <c r="H124" s="163">
        <f t="shared" ca="1" si="50"/>
        <v>3400</v>
      </c>
      <c r="I124" s="163">
        <f t="shared" ca="1" si="51"/>
        <v>420</v>
      </c>
      <c r="J124" s="163">
        <f t="shared" ca="1" si="52"/>
        <v>7670</v>
      </c>
      <c r="K124" s="165">
        <f ca="1">IFERROR(IF(AND('CALLER Portal'!$Y$1 = "False", OverallTable[[#This Row],[Active]] = FALSE), "",OverallTable[[#This Row],[Total Gifts]]/OverallTable[[#This Row],[Contacts]]),"")</f>
        <v>0.24890829694323144</v>
      </c>
      <c r="L124" s="165">
        <f ca="1">IF(AND('CALLER Portal'!$Y$1 = "False", OverallTable[[#This Row],[Active]] = FALSE), "", IF(C124 = 0,"",IFERROR((E124+F124)/D124,0)))</f>
        <v>0.52631578947368418</v>
      </c>
      <c r="M124" s="165">
        <f ca="1">IF(AND('CALLER Portal'!$Y$1 = "False", OverallTable[[#This Row],[Active]] = FALSE), "",IF(C124 = 0,"",IFERROR(F124/D124,0)))</f>
        <v>3.5087719298245612E-2</v>
      </c>
      <c r="N124" s="166">
        <f ca="1">IF(AND('CALLER Portal'!$Y$1 = "False", OverallTable[[#This Row],[Active]] = FALSE), "", IFERROR((H124+I124)/C124,""))</f>
        <v>49.57176226317155</v>
      </c>
      <c r="O124" s="172">
        <f ca="1">IF(AND('CALLER Portal'!$Y$1 = "False", OverallTable[[#This Row],[Active]] = FALSE),"",IF(C124 = 0,"",IFERROR((E124+F124)/C124,0)))</f>
        <v>0.7786140669608097</v>
      </c>
      <c r="P124" s="172">
        <f ca="1">IF(AND('CALLER Portal'!$Y$1 = "False", OverallTable[[#This Row],[Active]] = FALSE), "", IF(C124 = 0,"",IFERROR((F124)/C124,0)))</f>
        <v>5.1907604464053986E-2</v>
      </c>
      <c r="Q124" s="164">
        <f t="shared" ca="1" si="53"/>
        <v>5.9434207111341806</v>
      </c>
      <c r="R124" s="164">
        <f ca="1">IFERROR(_xlfn.PERCENTRANK.INC(OverallTable[F-Score], OverallTable[[#This Row],[F-Score]]),"")</f>
        <v>0.25</v>
      </c>
      <c r="S124" s="164">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0.35289999999999999</v>
      </c>
      <c r="T124" s="159">
        <f t="shared" ca="1" si="54"/>
        <v>0.433</v>
      </c>
      <c r="U124" s="141">
        <f t="shared" ca="1" si="55"/>
        <v>0.222</v>
      </c>
      <c r="V124" s="141">
        <f t="shared" ca="1" si="56"/>
        <v>0.28799999999999998</v>
      </c>
      <c r="W124" s="141">
        <f t="shared" ca="1" si="57"/>
        <v>0.44400000000000001</v>
      </c>
      <c r="X124" s="141">
        <f t="shared" ca="1" si="58"/>
        <v>0.36599999999999999</v>
      </c>
      <c r="Y124" s="141">
        <f t="shared" ca="1" si="59"/>
        <v>0.311</v>
      </c>
      <c r="Z124" s="141" t="str">
        <f>IFERROR(IF('CALLER Portal'!$Y$1 = "TRUE", OverallTable[[#This Row],[Name]],IF(AND('CALLER Portal'!$Y$1 = "FALSE", OverallTable[[#This Row],[Active]] = TRUE),OverallTable[[#This Row],[Name]],"(Blank)")),"")</f>
        <v xml:space="preserve">Nellie Allred </v>
      </c>
      <c r="AB124" s="73" t="s">
        <v>297</v>
      </c>
    </row>
    <row r="125" spans="1:28" x14ac:dyDescent="0.25">
      <c r="A125" s="82" t="s">
        <v>297</v>
      </c>
      <c r="B125" s="134" t="b">
        <v>1</v>
      </c>
      <c r="C125" s="91">
        <f t="shared" ca="1" si="45"/>
        <v>43.954000000000001</v>
      </c>
      <c r="D125" s="91">
        <f t="shared" ca="1" si="46"/>
        <v>86</v>
      </c>
      <c r="E125" s="91">
        <f t="shared" ca="1" si="47"/>
        <v>35</v>
      </c>
      <c r="F125" s="91">
        <f t="shared" ca="1" si="48"/>
        <v>13</v>
      </c>
      <c r="G125" s="107">
        <f t="shared" ca="1" si="49"/>
        <v>265</v>
      </c>
      <c r="H125" s="84">
        <f t="shared" ca="1" si="50"/>
        <v>1516</v>
      </c>
      <c r="I125" s="84">
        <f t="shared" ca="1" si="51"/>
        <v>1536</v>
      </c>
      <c r="J125" s="84">
        <f t="shared" ca="1" si="52"/>
        <v>5722</v>
      </c>
      <c r="K125" s="92">
        <f ca="1">IFERROR(IF(AND('CALLER Portal'!$Y$1 = "False", OverallTable[[#This Row],[Active]] = FALSE), "",OverallTable[[#This Row],[Total Gifts]]/OverallTable[[#This Row],[Contacts]]),"")</f>
        <v>0.32452830188679244</v>
      </c>
      <c r="L125" s="92">
        <f ca="1">IF(AND('CALLER Portal'!$Y$1 = "False", OverallTable[[#This Row],[Active]] = FALSE), "", IF(C125 = 0,"",IFERROR((E125+F125)/D125,0)))</f>
        <v>0.55813953488372092</v>
      </c>
      <c r="M125" s="92">
        <f ca="1">IF(AND('CALLER Portal'!$Y$1 = "False", OverallTable[[#This Row],[Active]] = FALSE), "",IF(C125 = 0,"",IFERROR(F125/D125,0)))</f>
        <v>0.15116279069767441</v>
      </c>
      <c r="N125" s="85">
        <f ca="1">IF(AND('CALLER Portal'!$Y$1 = "False", OverallTable[[#This Row],[Active]] = FALSE), "", IFERROR((H125+I125)/C125,""))</f>
        <v>69.436228784638487</v>
      </c>
      <c r="O125" s="173">
        <f ca="1">IF(AND('CALLER Portal'!$Y$1 = "False", OverallTable[[#This Row],[Active]] = FALSE),"",IF(C125 = 0,"",IFERROR((E125+F125)/C125,0)))</f>
        <v>1.0920507803612869</v>
      </c>
      <c r="P125" s="173">
        <f ca="1">IF(AND('CALLER Portal'!$Y$1 = "False", OverallTable[[#This Row],[Active]] = FALSE), "", IF(C125 = 0,"",IFERROR((F125)/C125,0)))</f>
        <v>0.29576375301451518</v>
      </c>
      <c r="Q125" s="86">
        <f t="shared" ca="1" si="53"/>
        <v>6.0290303499112712</v>
      </c>
      <c r="R125" s="86">
        <f ca="1">IFERROR(_xlfn.PERCENTRANK.INC(OverallTable[F-Score], OverallTable[[#This Row],[F-Score]]),"")</f>
        <v>0.78400000000000003</v>
      </c>
      <c r="S125" s="86">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0.69950000000000001</v>
      </c>
      <c r="T125" s="159">
        <f t="shared" ca="1" si="54"/>
        <v>0.755</v>
      </c>
      <c r="U125" s="141">
        <f t="shared" ca="1" si="55"/>
        <v>0.33300000000000002</v>
      </c>
      <c r="V125" s="141">
        <f t="shared" ca="1" si="56"/>
        <v>0.88800000000000001</v>
      </c>
      <c r="W125" s="141">
        <f t="shared" ca="1" si="57"/>
        <v>0.76600000000000001</v>
      </c>
      <c r="X125" s="141">
        <f t="shared" ca="1" si="58"/>
        <v>0.72199999999999998</v>
      </c>
      <c r="Y125" s="141">
        <f t="shared" ca="1" si="59"/>
        <v>0.95499999999999996</v>
      </c>
      <c r="Z125" s="141" t="str">
        <f>IFERROR(IF('CALLER Portal'!$Y$1 = "TRUE", OverallTable[[#This Row],[Name]],IF(AND('CALLER Portal'!$Y$1 = "FALSE", OverallTable[[#This Row],[Active]] = TRUE),OverallTable[[#This Row],[Name]],"(Blank)")),"")</f>
        <v xml:space="preserve">Neriah Mueller </v>
      </c>
      <c r="AB125" s="73" t="s">
        <v>426</v>
      </c>
    </row>
    <row r="126" spans="1:28" x14ac:dyDescent="0.25">
      <c r="A126" s="158" t="s">
        <v>426</v>
      </c>
      <c r="B126" s="134" t="b">
        <v>1</v>
      </c>
      <c r="C126" s="239">
        <f t="shared" ca="1" si="45"/>
        <v>30.798000000000002</v>
      </c>
      <c r="D126" s="239">
        <f t="shared" ca="1" si="46"/>
        <v>58</v>
      </c>
      <c r="E126" s="239">
        <f t="shared" ca="1" si="47"/>
        <v>40</v>
      </c>
      <c r="F126" s="239">
        <f t="shared" ca="1" si="48"/>
        <v>2</v>
      </c>
      <c r="G126" s="240">
        <f t="shared" ca="1" si="49"/>
        <v>180</v>
      </c>
      <c r="H126" s="241">
        <f t="shared" ca="1" si="50"/>
        <v>3176</v>
      </c>
      <c r="I126" s="241">
        <f t="shared" ca="1" si="51"/>
        <v>240</v>
      </c>
      <c r="J126" s="241">
        <f t="shared" ca="1" si="52"/>
        <v>4636</v>
      </c>
      <c r="K126" s="242">
        <f ca="1">IFERROR(IF(AND('CALLER Portal'!$Y$1 = "False", OverallTable[[#This Row],[Active]] = FALSE), "",OverallTable[[#This Row],[Total Gifts]]/OverallTable[[#This Row],[Contacts]]),"")</f>
        <v>0.32222222222222224</v>
      </c>
      <c r="L126" s="242">
        <f ca="1">IF(AND('CALLER Portal'!$Y$1 = "False", OverallTable[[#This Row],[Active]] = FALSE), "", IF(C126 = 0,"",IFERROR((E126+F126)/D126,0)))</f>
        <v>0.72413793103448276</v>
      </c>
      <c r="M126" s="242">
        <f ca="1">IF(AND('CALLER Portal'!$Y$1 = "False", OverallTable[[#This Row],[Active]] = FALSE), "",IF(C126 = 0,"",IFERROR(F126/D126,0)))</f>
        <v>3.4482758620689655E-2</v>
      </c>
      <c r="N126" s="243">
        <f ca="1">IF(AND('CALLER Portal'!$Y$1 = "False", OverallTable[[#This Row],[Active]] = FALSE), "", IFERROR((H126+I126)/C126,""))</f>
        <v>110.91629326579647</v>
      </c>
      <c r="O126" s="244">
        <f ca="1">IF(AND('CALLER Portal'!$Y$1 = "False", OverallTable[[#This Row],[Active]] = FALSE),"",IF(C126 = 0,"",IFERROR((E126+F126)/C126,0)))</f>
        <v>1.3637249172024157</v>
      </c>
      <c r="P126" s="244">
        <f ca="1">IF(AND('CALLER Portal'!$Y$1 = "False", OverallTable[[#This Row],[Active]] = FALSE), "", IF(C126 = 0,"",IFERROR((F126)/C126,0)))</f>
        <v>6.4939281771543608E-2</v>
      </c>
      <c r="Q126" s="245">
        <f t="shared" ca="1" si="53"/>
        <v>5.8445353594389244</v>
      </c>
      <c r="R126" s="245">
        <f ca="1">IFERROR(_xlfn.PERCENTRANK.INC(OverallTable[F-Score], OverallTable[[#This Row],[F-Score]]),"")</f>
        <v>0.875</v>
      </c>
      <c r="S126" s="245">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0.74609999999999999</v>
      </c>
      <c r="T126" s="159">
        <f t="shared" ca="1" si="54"/>
        <v>0.73299999999999998</v>
      </c>
      <c r="U126" s="141">
        <f t="shared" ca="1" si="55"/>
        <v>0.83299999999999996</v>
      </c>
      <c r="V126" s="141">
        <f t="shared" ca="1" si="56"/>
        <v>0.27700000000000002</v>
      </c>
      <c r="W126" s="141">
        <f t="shared" ca="1" si="57"/>
        <v>0.97699999999999998</v>
      </c>
      <c r="X126" s="141">
        <f t="shared" ca="1" si="58"/>
        <v>0.86599999999999999</v>
      </c>
      <c r="Y126" s="141">
        <f t="shared" ca="1" si="59"/>
        <v>0.36599999999999999</v>
      </c>
      <c r="Z126" s="141" t="str">
        <f>IFERROR(IF('CALLER Portal'!$Y$1 = "TRUE", OverallTable[[#This Row],[Name]],IF(AND('CALLER Portal'!$Y$1 = "FALSE", OverallTable[[#This Row],[Active]] = TRUE),OverallTable[[#This Row],[Name]],"(Blank)")),"")</f>
        <v xml:space="preserve">Nettie Higgins </v>
      </c>
      <c r="AB126" s="73" t="s">
        <v>431</v>
      </c>
    </row>
    <row r="127" spans="1:28" x14ac:dyDescent="0.25">
      <c r="A127" s="82" t="s">
        <v>431</v>
      </c>
      <c r="B127" s="134" t="b">
        <v>1</v>
      </c>
      <c r="C127" s="91">
        <f t="shared" ca="1" si="45"/>
        <v>0</v>
      </c>
      <c r="D127" s="91">
        <f t="shared" ca="1" si="46"/>
        <v>0</v>
      </c>
      <c r="E127" s="91">
        <f t="shared" ca="1" si="47"/>
        <v>0</v>
      </c>
      <c r="F127" s="91">
        <f t="shared" ca="1" si="48"/>
        <v>0</v>
      </c>
      <c r="G127" s="107">
        <f t="shared" ca="1" si="49"/>
        <v>0</v>
      </c>
      <c r="H127" s="84">
        <f t="shared" ca="1" si="50"/>
        <v>0</v>
      </c>
      <c r="I127" s="84">
        <f t="shared" ca="1" si="51"/>
        <v>0</v>
      </c>
      <c r="J127" s="84">
        <f t="shared" ca="1" si="52"/>
        <v>0</v>
      </c>
      <c r="K127" s="92" t="str">
        <f ca="1">IFERROR(IF(AND('CALLER Portal'!$Y$1 = "False", OverallTable[[#This Row],[Active]] = FALSE), "",OverallTable[[#This Row],[Total Gifts]]/OverallTable[[#This Row],[Contacts]]),"")</f>
        <v/>
      </c>
      <c r="L127" s="92" t="str">
        <f ca="1">IF(AND('CALLER Portal'!$Y$1 = "False", OverallTable[[#This Row],[Active]] = FALSE), "", IF(C127 = 0,"",IFERROR((E127+F127)/D127,0)))</f>
        <v/>
      </c>
      <c r="M127" s="92" t="str">
        <f ca="1">IF(AND('CALLER Portal'!$Y$1 = "False", OverallTable[[#This Row],[Active]] = FALSE), "",IF(C127 = 0,"",IFERROR(F127/D127,0)))</f>
        <v/>
      </c>
      <c r="N127" s="85" t="str">
        <f ca="1">IF(AND('CALLER Portal'!$Y$1 = "False", OverallTable[[#This Row],[Active]] = FALSE), "", IFERROR((H127+I127)/C127,""))</f>
        <v/>
      </c>
      <c r="O127" s="173" t="str">
        <f ca="1">IF(AND('CALLER Portal'!$Y$1 = "False", OverallTable[[#This Row],[Active]] = FALSE),"",IF(C127 = 0,"",IFERROR((E127+F127)/C127,0)))</f>
        <v/>
      </c>
      <c r="P127" s="173" t="str">
        <f ca="1">IF(AND('CALLER Portal'!$Y$1 = "False", OverallTable[[#This Row],[Active]] = FALSE), "", IF(C127 = 0,"",IFERROR((F127)/C127,0)))</f>
        <v/>
      </c>
      <c r="Q127" s="86" t="str">
        <f t="shared" ca="1" si="53"/>
        <v/>
      </c>
      <c r="R127" s="86" t="str">
        <f ca="1">IFERROR(_xlfn.PERCENTRANK.INC(OverallTable[F-Score], OverallTable[[#This Row],[F-Score]]),"")</f>
        <v/>
      </c>
      <c r="S127"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127" s="201" t="str">
        <f t="shared" ca="1" si="54"/>
        <v/>
      </c>
      <c r="U127" s="117" t="str">
        <f t="shared" ca="1" si="55"/>
        <v/>
      </c>
      <c r="V127" s="117" t="str">
        <f t="shared" ca="1" si="56"/>
        <v/>
      </c>
      <c r="W127" s="117" t="str">
        <f t="shared" ca="1" si="57"/>
        <v/>
      </c>
      <c r="X127" s="117" t="str">
        <f t="shared" ca="1" si="58"/>
        <v/>
      </c>
      <c r="Y127" s="117" t="str">
        <f t="shared" ca="1" si="59"/>
        <v/>
      </c>
      <c r="Z127" s="141" t="str">
        <f>IFERROR(IF('CALLER Portal'!$Y$1 = "TRUE", OverallTable[[#This Row],[Name]],IF(AND('CALLER Portal'!$Y$1 = "FALSE", OverallTable[[#This Row],[Active]] = TRUE),OverallTable[[#This Row],[Name]],"(Blank)")),"")</f>
        <v xml:space="preserve">Nettie Paut </v>
      </c>
      <c r="AB127" s="73" t="s">
        <v>314</v>
      </c>
    </row>
    <row r="128" spans="1:28" x14ac:dyDescent="0.25">
      <c r="A128" s="82" t="s">
        <v>314</v>
      </c>
      <c r="B128" s="134" t="b">
        <v>1</v>
      </c>
      <c r="C128" s="83">
        <f t="shared" ca="1" si="45"/>
        <v>18.544</v>
      </c>
      <c r="D128" s="83">
        <f t="shared" ca="1" si="46"/>
        <v>21</v>
      </c>
      <c r="E128" s="83">
        <f t="shared" ca="1" si="47"/>
        <v>7</v>
      </c>
      <c r="F128" s="83">
        <f t="shared" ca="1" si="48"/>
        <v>2</v>
      </c>
      <c r="G128" s="107">
        <f t="shared" ca="1" si="49"/>
        <v>108</v>
      </c>
      <c r="H128" s="84">
        <f t="shared" ca="1" si="50"/>
        <v>410</v>
      </c>
      <c r="I128" s="84">
        <f t="shared" ca="1" si="51"/>
        <v>420</v>
      </c>
      <c r="J128" s="84">
        <f t="shared" ca="1" si="52"/>
        <v>1325</v>
      </c>
      <c r="K128" s="92">
        <f ca="1">IFERROR(IF(AND('CALLER Portal'!$Y$1 = "False", OverallTable[[#This Row],[Active]] = FALSE), "",OverallTable[[#This Row],[Total Gifts]]/OverallTable[[#This Row],[Contacts]]),"")</f>
        <v>0.19444444444444445</v>
      </c>
      <c r="L128" s="92">
        <f ca="1">IF(AND('CALLER Portal'!$Y$1 = "False", OverallTable[[#This Row],[Active]] = FALSE), "", IF(C128 = 0,"",IFERROR((E128+F128)/D128,0)))</f>
        <v>0.42857142857142855</v>
      </c>
      <c r="M128" s="92">
        <f ca="1">IF(AND('CALLER Portal'!$Y$1 = "False", OverallTable[[#This Row],[Active]] = FALSE), "",IF(C128 = 0,"",IFERROR(F128/D128,0)))</f>
        <v>9.5238095238095233E-2</v>
      </c>
      <c r="N128" s="85">
        <f ca="1">IF(AND('CALLER Portal'!$Y$1 = "False", OverallTable[[#This Row],[Active]] = FALSE), "", IFERROR((H128+I128)/C128,""))</f>
        <v>44.758412424503881</v>
      </c>
      <c r="O128" s="170">
        <f ca="1">IF(AND('CALLER Portal'!$Y$1 = "False", OverallTable[[#This Row],[Active]] = FALSE),"",IF(C128 = 0,"",IFERROR((E128+F128)/C128,0)))</f>
        <v>0.48533218291630714</v>
      </c>
      <c r="P128" s="170">
        <f ca="1">IF(AND('CALLER Portal'!$Y$1 = "False", OverallTable[[#This Row],[Active]] = FALSE), "", IF(C128 = 0,"",IFERROR((F128)/C128,0)))</f>
        <v>0.10785159620362381</v>
      </c>
      <c r="Q128" s="86">
        <f t="shared" ca="1" si="53"/>
        <v>5.8239861949956859</v>
      </c>
      <c r="R128" s="86">
        <f ca="1">IFERROR(_xlfn.PERCENTRANK.INC(OverallTable[F-Score], OverallTable[[#This Row],[F-Score]]),"")</f>
        <v>0.17</v>
      </c>
      <c r="S128" s="86">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0.24630000000000002</v>
      </c>
      <c r="T128" s="116">
        <f t="shared" ca="1" si="54"/>
        <v>0.13300000000000001</v>
      </c>
      <c r="U128" s="117">
        <f t="shared" ca="1" si="55"/>
        <v>4.3999999999999997E-2</v>
      </c>
      <c r="V128" s="117">
        <f t="shared" ca="1" si="56"/>
        <v>0.67700000000000005</v>
      </c>
      <c r="W128" s="117">
        <f t="shared" ca="1" si="57"/>
        <v>0.34399999999999997</v>
      </c>
      <c r="X128" s="117">
        <f t="shared" ca="1" si="58"/>
        <v>0.1</v>
      </c>
      <c r="Y128" s="117">
        <f t="shared" ca="1" si="59"/>
        <v>0.54400000000000004</v>
      </c>
      <c r="Z128" s="141" t="str">
        <f>IFERROR(IF('CALLER Portal'!$Y$1 = "TRUE", OverallTable[[#This Row],[Name]],IF(AND('CALLER Portal'!$Y$1 = "FALSE", OverallTable[[#This Row],[Active]] = TRUE),OverallTable[[#This Row],[Name]],"(Blank)")),"")</f>
        <v xml:space="preserve">Nicholaa Ward </v>
      </c>
      <c r="AB128" s="73" t="s">
        <v>350</v>
      </c>
    </row>
    <row r="129" spans="1:28" x14ac:dyDescent="0.25">
      <c r="A129" s="82" t="s">
        <v>350</v>
      </c>
      <c r="B129" s="134" t="b">
        <v>1</v>
      </c>
      <c r="C129" s="83">
        <f t="shared" ca="1" si="45"/>
        <v>0</v>
      </c>
      <c r="D129" s="83">
        <f t="shared" ca="1" si="46"/>
        <v>0</v>
      </c>
      <c r="E129" s="83">
        <f t="shared" ca="1" si="47"/>
        <v>0</v>
      </c>
      <c r="F129" s="83">
        <f t="shared" ca="1" si="48"/>
        <v>0</v>
      </c>
      <c r="G129" s="107">
        <f t="shared" ca="1" si="49"/>
        <v>0</v>
      </c>
      <c r="H129" s="84">
        <f t="shared" ca="1" si="50"/>
        <v>0</v>
      </c>
      <c r="I129" s="84">
        <f t="shared" ca="1" si="51"/>
        <v>0</v>
      </c>
      <c r="J129" s="84">
        <f t="shared" ca="1" si="52"/>
        <v>0</v>
      </c>
      <c r="K129" s="92" t="str">
        <f ca="1">IFERROR(IF(AND('CALLER Portal'!$Y$1 = "False", OverallTable[[#This Row],[Active]] = FALSE), "",OverallTable[[#This Row],[Total Gifts]]/OverallTable[[#This Row],[Contacts]]),"")</f>
        <v/>
      </c>
      <c r="L129" s="92" t="str">
        <f ca="1">IF(AND('CALLER Portal'!$Y$1 = "False", OverallTable[[#This Row],[Active]] = FALSE), "", IF(C129 = 0,"",IFERROR((E129+F129)/D129,0)))</f>
        <v/>
      </c>
      <c r="M129" s="92" t="str">
        <f ca="1">IF(AND('CALLER Portal'!$Y$1 = "False", OverallTable[[#This Row],[Active]] = FALSE), "",IF(C129 = 0,"",IFERROR(F129/D129,0)))</f>
        <v/>
      </c>
      <c r="N129" s="85" t="str">
        <f ca="1">IF(AND('CALLER Portal'!$Y$1 = "False", OverallTable[[#This Row],[Active]] = FALSE), "", IFERROR((H129+I129)/C129,""))</f>
        <v/>
      </c>
      <c r="O129" s="170" t="str">
        <f ca="1">IF(AND('CALLER Portal'!$Y$1 = "False", OverallTable[[#This Row],[Active]] = FALSE),"",IF(C129 = 0,"",IFERROR((E129+F129)/C129,0)))</f>
        <v/>
      </c>
      <c r="P129" s="170" t="str">
        <f ca="1">IF(AND('CALLER Portal'!$Y$1 = "False", OverallTable[[#This Row],[Active]] = FALSE), "", IF(C129 = 0,"",IFERROR((F129)/C129,0)))</f>
        <v/>
      </c>
      <c r="Q129" s="86" t="str">
        <f t="shared" ca="1" si="53"/>
        <v/>
      </c>
      <c r="R129" s="86" t="str">
        <f ca="1">IFERROR(_xlfn.PERCENTRANK.INC(OverallTable[F-Score], OverallTable[[#This Row],[F-Score]]),"")</f>
        <v/>
      </c>
      <c r="S129"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129" s="116" t="str">
        <f t="shared" ca="1" si="54"/>
        <v/>
      </c>
      <c r="U129" s="117" t="str">
        <f t="shared" ca="1" si="55"/>
        <v/>
      </c>
      <c r="V129" s="117" t="str">
        <f t="shared" ca="1" si="56"/>
        <v/>
      </c>
      <c r="W129" s="117" t="str">
        <f t="shared" ca="1" si="57"/>
        <v/>
      </c>
      <c r="X129" s="117" t="str">
        <f t="shared" ca="1" si="58"/>
        <v/>
      </c>
      <c r="Y129" s="117" t="str">
        <f t="shared" ca="1" si="59"/>
        <v/>
      </c>
      <c r="Z129" s="141" t="str">
        <f>IFERROR(IF('CALLER Portal'!$Y$1 = "TRUE", OverallTable[[#This Row],[Name]],IF(AND('CALLER Portal'!$Y$1 = "FALSE", OverallTable[[#This Row],[Active]] = TRUE),OverallTable[[#This Row],[Name]],"(Blank)")),"")</f>
        <v xml:space="preserve">Nick Khel </v>
      </c>
      <c r="AB129" s="73" t="s">
        <v>322</v>
      </c>
    </row>
    <row r="130" spans="1:28" x14ac:dyDescent="0.25">
      <c r="A130" s="82" t="s">
        <v>322</v>
      </c>
      <c r="B130" s="134" t="b">
        <v>1</v>
      </c>
      <c r="C130" s="83">
        <f t="shared" ref="C130:C161" ca="1" si="60">SUMPRODUCT(SUMIF(INDIRECT("'"&amp;SheetList&amp;"'!B4:B150"),$A130,INDIRECT("'"&amp;SheetList&amp;"'!C4:C150")))</f>
        <v>0</v>
      </c>
      <c r="D130" s="83">
        <f t="shared" ref="D130:D161" ca="1" si="61">SUMPRODUCT(SUMIF(INDIRECT("'"&amp;SheetList&amp;"'!B4:B150"),$A130,INDIRECT("'"&amp;SheetList&amp;"'!D4:D150")))</f>
        <v>0</v>
      </c>
      <c r="E130" s="83">
        <f t="shared" ref="E130:E161" ca="1" si="62">SUMPRODUCT(SUMIF(INDIRECT("'"&amp;SheetList&amp;"'!B4:B150"),$A130,INDIRECT("'"&amp;SheetList&amp;"'!E4:E150")))</f>
        <v>0</v>
      </c>
      <c r="F130" s="83">
        <f t="shared" ref="F130:F161" ca="1" si="63">SUMPRODUCT(SUMIF(INDIRECT("'"&amp;SheetList&amp;"'!B4:B150"),$A130,INDIRECT("'"&amp;SheetList&amp;"'!F4:F150")))</f>
        <v>0</v>
      </c>
      <c r="G130" s="107">
        <f t="shared" ref="G130:G161" ca="1" si="64">SUMPRODUCT(SUMIF(INDIRECT("'"&amp;SheetList&amp;"'!B4:B150"),$A130,INDIRECT("'"&amp;SheetList&amp;"'!G4:G150")))</f>
        <v>0</v>
      </c>
      <c r="H130" s="84">
        <f t="shared" ref="H130:H161" ca="1" si="65">SUMPRODUCT(SUMIF(INDIRECT("'"&amp;SheetList&amp;"'!B4:B150"),$A130,INDIRECT("'"&amp;SheetList&amp;"'!h4:h150")))</f>
        <v>0</v>
      </c>
      <c r="I130" s="84">
        <f t="shared" ref="I130:I161" ca="1" si="66">SUMPRODUCT(SUMIF(INDIRECT("'"&amp;SheetList&amp;"'!B4:B150"),$A130,INDIRECT("'"&amp;SheetList&amp;"'!i4:i150")))</f>
        <v>0</v>
      </c>
      <c r="J130" s="84">
        <f t="shared" ref="J130:J161" ca="1" si="67">SUMPRODUCT(SUMIF(INDIRECT("'"&amp;SheetList&amp;"'!B4:B150"),$A130,INDIRECT("'"&amp;SheetList&amp;"'!j4:j150")))</f>
        <v>0</v>
      </c>
      <c r="K130" s="92" t="str">
        <f ca="1">IFERROR(IF(AND('CALLER Portal'!$Y$1 = "False", OverallTable[[#This Row],[Active]] = FALSE), "",OverallTable[[#This Row],[Total Gifts]]/OverallTable[[#This Row],[Contacts]]),"")</f>
        <v/>
      </c>
      <c r="L130" s="92" t="str">
        <f ca="1">IF(AND('CALLER Portal'!$Y$1 = "False", OverallTable[[#This Row],[Active]] = FALSE), "", IF(C130 = 0,"",IFERROR((E130+F130)/D130,0)))</f>
        <v/>
      </c>
      <c r="M130" s="92" t="str">
        <f ca="1">IF(AND('CALLER Portal'!$Y$1 = "False", OverallTable[[#This Row],[Active]] = FALSE), "",IF(C130 = 0,"",IFERROR(F130/D130,0)))</f>
        <v/>
      </c>
      <c r="N130" s="85" t="str">
        <f ca="1">IF(AND('CALLER Portal'!$Y$1 = "False", OverallTable[[#This Row],[Active]] = FALSE), "", IFERROR((H130+I130)/C130,""))</f>
        <v/>
      </c>
      <c r="O130" s="170" t="str">
        <f ca="1">IF(AND('CALLER Portal'!$Y$1 = "False", OverallTable[[#This Row],[Active]] = FALSE),"",IF(C130 = 0,"",IFERROR((E130+F130)/C130,0)))</f>
        <v/>
      </c>
      <c r="P130" s="170" t="str">
        <f ca="1">IF(AND('CALLER Portal'!$Y$1 = "False", OverallTable[[#This Row],[Active]] = FALSE), "", IF(C130 = 0,"",IFERROR((F130)/C130,0)))</f>
        <v/>
      </c>
      <c r="Q130" s="86" t="str">
        <f t="shared" ref="Q130:Q161" ca="1" si="68">IFERROR(G130/C130,"")</f>
        <v/>
      </c>
      <c r="R130" s="86" t="str">
        <f ca="1">IFERROR(_xlfn.PERCENTRANK.INC(OverallTable[F-Score], OverallTable[[#This Row],[F-Score]]),"")</f>
        <v/>
      </c>
      <c r="S130"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130" s="116" t="str">
        <f t="shared" ref="T130:T161" ca="1" si="69">IFERROR(_xlfn.PERCENTRANK.EXC(K:K, K130), "")</f>
        <v/>
      </c>
      <c r="U130" s="117" t="str">
        <f t="shared" ref="U130:U161" ca="1" si="70">IFERROR(_xlfn.PERCENTRANK.EXC(L:L, L130), "")</f>
        <v/>
      </c>
      <c r="V130" s="117" t="str">
        <f t="shared" ref="V130:V161" ca="1" si="71">IFERROR(_xlfn.PERCENTRANK.EXC(M:M, M130), "")</f>
        <v/>
      </c>
      <c r="W130" s="117" t="str">
        <f t="shared" ref="W130:W161" ca="1" si="72">IFERROR(_xlfn.PERCENTRANK.EXC(N:N, N130), "")</f>
        <v/>
      </c>
      <c r="X130" s="117" t="str">
        <f t="shared" ref="X130:X161" ca="1" si="73">IFERROR(_xlfn.PERCENTRANK.EXC(O:O, O130), "")</f>
        <v/>
      </c>
      <c r="Y130" s="117" t="str">
        <f t="shared" ref="Y130:Y161" ca="1" si="74">IFERROR(_xlfn.PERCENTRANK.EXC(P:P, P130), "")</f>
        <v/>
      </c>
      <c r="Z130" s="141" t="str">
        <f>IFERROR(IF('CALLER Portal'!$Y$1 = "TRUE", OverallTable[[#This Row],[Name]],IF(AND('CALLER Portal'!$Y$1 = "FALSE", OverallTable[[#This Row],[Active]] = TRUE),OverallTable[[#This Row],[Name]],"(Blank)")),"")</f>
        <v xml:space="preserve">Nisha Gibbons </v>
      </c>
      <c r="AB130" s="73" t="s">
        <v>405</v>
      </c>
    </row>
    <row r="131" spans="1:28" x14ac:dyDescent="0.25">
      <c r="A131" s="82" t="s">
        <v>405</v>
      </c>
      <c r="B131" s="134" t="b">
        <v>1</v>
      </c>
      <c r="C131" s="83">
        <f t="shared" ca="1" si="60"/>
        <v>52.628</v>
      </c>
      <c r="D131" s="83">
        <f t="shared" ca="1" si="61"/>
        <v>55</v>
      </c>
      <c r="E131" s="83">
        <f t="shared" ca="1" si="62"/>
        <v>28</v>
      </c>
      <c r="F131" s="83">
        <f t="shared" ca="1" si="63"/>
        <v>2</v>
      </c>
      <c r="G131" s="107">
        <f t="shared" ca="1" si="64"/>
        <v>292</v>
      </c>
      <c r="H131" s="84">
        <f t="shared" ca="1" si="65"/>
        <v>1495</v>
      </c>
      <c r="I131" s="84">
        <f t="shared" ca="1" si="66"/>
        <v>240</v>
      </c>
      <c r="J131" s="84">
        <f t="shared" ca="1" si="67"/>
        <v>3460</v>
      </c>
      <c r="K131" s="92">
        <f ca="1">IFERROR(IF(AND('CALLER Portal'!$Y$1 = "False", OverallTable[[#This Row],[Active]] = FALSE), "",OverallTable[[#This Row],[Total Gifts]]/OverallTable[[#This Row],[Contacts]]),"")</f>
        <v>0.18835616438356165</v>
      </c>
      <c r="L131" s="92">
        <f ca="1">IF(AND('CALLER Portal'!$Y$1 = "False", OverallTable[[#This Row],[Active]] = FALSE), "", IF(C131 = 0,"",IFERROR((E131+F131)/D131,0)))</f>
        <v>0.54545454545454541</v>
      </c>
      <c r="M131" s="92">
        <f ca="1">IF(AND('CALLER Portal'!$Y$1 = "False", OverallTable[[#This Row],[Active]] = FALSE), "",IF(C131 = 0,"",IFERROR(F131/D131,0)))</f>
        <v>3.6363636363636362E-2</v>
      </c>
      <c r="N131" s="85">
        <f ca="1">IF(AND('CALLER Portal'!$Y$1 = "False", OverallTable[[#This Row],[Active]] = FALSE), "", IFERROR((H131+I131)/C131,""))</f>
        <v>32.967241772440524</v>
      </c>
      <c r="O131" s="170">
        <f ca="1">IF(AND('CALLER Portal'!$Y$1 = "False", OverallTable[[#This Row],[Active]] = FALSE),"",IF(C131 = 0,"",IFERROR((E131+F131)/C131,0)))</f>
        <v>0.57003876263585929</v>
      </c>
      <c r="P131" s="170">
        <f ca="1">IF(AND('CALLER Portal'!$Y$1 = "False", OverallTable[[#This Row],[Active]] = FALSE), "", IF(C131 = 0,"",IFERROR((F131)/C131,0)))</f>
        <v>3.8002584175723948E-2</v>
      </c>
      <c r="Q131" s="86">
        <f t="shared" ca="1" si="68"/>
        <v>5.5483772896556962</v>
      </c>
      <c r="R131" s="86">
        <f ca="1">IFERROR(_xlfn.PERCENTRANK.INC(OverallTable[F-Score], OverallTable[[#This Row],[F-Score]]),"")</f>
        <v>0.13600000000000001</v>
      </c>
      <c r="S131" s="86">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0.21640000000000001</v>
      </c>
      <c r="T131" s="116">
        <f t="shared" ca="1" si="69"/>
        <v>0.111</v>
      </c>
      <c r="U131" s="117">
        <f t="shared" ca="1" si="70"/>
        <v>0.27700000000000002</v>
      </c>
      <c r="V131" s="117">
        <f t="shared" ca="1" si="71"/>
        <v>0.311</v>
      </c>
      <c r="W131" s="117">
        <f t="shared" ca="1" si="72"/>
        <v>0.21099999999999999</v>
      </c>
      <c r="X131" s="117">
        <f t="shared" ca="1" si="73"/>
        <v>0.2</v>
      </c>
      <c r="Y131" s="117">
        <f t="shared" ca="1" si="74"/>
        <v>0.255</v>
      </c>
      <c r="Z131" s="141" t="str">
        <f>IFERROR(IF('CALLER Portal'!$Y$1 = "TRUE", OverallTable[[#This Row],[Name]],IF(AND('CALLER Portal'!$Y$1 = "FALSE", OverallTable[[#This Row],[Active]] = TRUE),OverallTable[[#This Row],[Name]],"(Blank)")),"")</f>
        <v xml:space="preserve">Olga Kuat </v>
      </c>
      <c r="AB131" s="73" t="s">
        <v>391</v>
      </c>
    </row>
    <row r="132" spans="1:28" x14ac:dyDescent="0.25">
      <c r="A132" s="82" t="s">
        <v>391</v>
      </c>
      <c r="B132" s="134" t="b">
        <v>1</v>
      </c>
      <c r="C132" s="83">
        <f t="shared" ca="1" si="60"/>
        <v>0</v>
      </c>
      <c r="D132" s="83">
        <f t="shared" ca="1" si="61"/>
        <v>0</v>
      </c>
      <c r="E132" s="83">
        <f t="shared" ca="1" si="62"/>
        <v>0</v>
      </c>
      <c r="F132" s="83">
        <f t="shared" ca="1" si="63"/>
        <v>0</v>
      </c>
      <c r="G132" s="107">
        <f t="shared" ca="1" si="64"/>
        <v>0</v>
      </c>
      <c r="H132" s="84">
        <f t="shared" ca="1" si="65"/>
        <v>0</v>
      </c>
      <c r="I132" s="84">
        <f t="shared" ca="1" si="66"/>
        <v>0</v>
      </c>
      <c r="J132" s="84">
        <f t="shared" ca="1" si="67"/>
        <v>0</v>
      </c>
      <c r="K132" s="92" t="str">
        <f ca="1">IFERROR(IF(AND('CALLER Portal'!$Y$1 = "False", OverallTable[[#This Row],[Active]] = FALSE), "",OverallTable[[#This Row],[Total Gifts]]/OverallTable[[#This Row],[Contacts]]),"")</f>
        <v/>
      </c>
      <c r="L132" s="92" t="str">
        <f ca="1">IF(AND('CALLER Portal'!$Y$1 = "False", OverallTable[[#This Row],[Active]] = FALSE), "", IF(C132 = 0,"",IFERROR((E132+F132)/D132,0)))</f>
        <v/>
      </c>
      <c r="M132" s="92" t="str">
        <f ca="1">IF(AND('CALLER Portal'!$Y$1 = "False", OverallTable[[#This Row],[Active]] = FALSE), "",IF(C132 = 0,"",IFERROR(F132/D132,0)))</f>
        <v/>
      </c>
      <c r="N132" s="85" t="str">
        <f ca="1">IF(AND('CALLER Portal'!$Y$1 = "False", OverallTable[[#This Row],[Active]] = FALSE), "", IFERROR((H132+I132)/C132,""))</f>
        <v/>
      </c>
      <c r="O132" s="170" t="str">
        <f ca="1">IF(AND('CALLER Portal'!$Y$1 = "False", OverallTable[[#This Row],[Active]] = FALSE),"",IF(C132 = 0,"",IFERROR((E132+F132)/C132,0)))</f>
        <v/>
      </c>
      <c r="P132" s="170" t="str">
        <f ca="1">IF(AND('CALLER Portal'!$Y$1 = "False", OverallTable[[#This Row],[Active]] = FALSE), "", IF(C132 = 0,"",IFERROR((F132)/C132,0)))</f>
        <v/>
      </c>
      <c r="Q132" s="86" t="str">
        <f t="shared" ca="1" si="68"/>
        <v/>
      </c>
      <c r="R132" s="86" t="str">
        <f ca="1">IFERROR(_xlfn.PERCENTRANK.INC(OverallTable[F-Score], OverallTable[[#This Row],[F-Score]]),"")</f>
        <v/>
      </c>
      <c r="S132"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132" s="116" t="str">
        <f t="shared" ca="1" si="69"/>
        <v/>
      </c>
      <c r="U132" s="117" t="str">
        <f t="shared" ca="1" si="70"/>
        <v/>
      </c>
      <c r="V132" s="117" t="str">
        <f t="shared" ca="1" si="71"/>
        <v/>
      </c>
      <c r="W132" s="117" t="str">
        <f t="shared" ca="1" si="72"/>
        <v/>
      </c>
      <c r="X132" s="117" t="str">
        <f t="shared" ca="1" si="73"/>
        <v/>
      </c>
      <c r="Y132" s="117" t="str">
        <f t="shared" ca="1" si="74"/>
        <v/>
      </c>
      <c r="Z132" s="141" t="str">
        <f>IFERROR(IF('CALLER Portal'!$Y$1 = "TRUE", OverallTable[[#This Row],[Name]],IF(AND('CALLER Portal'!$Y$1 = "FALSE", OverallTable[[#This Row],[Active]] = TRUE),OverallTable[[#This Row],[Name]],"(Blank)")),"")</f>
        <v xml:space="preserve">Page Lindsay </v>
      </c>
      <c r="AB132" s="73" t="s">
        <v>379</v>
      </c>
    </row>
    <row r="133" spans="1:28" x14ac:dyDescent="0.25">
      <c r="A133" s="82" t="s">
        <v>379</v>
      </c>
      <c r="B133" s="134" t="b">
        <v>1</v>
      </c>
      <c r="C133" s="83">
        <f t="shared" ca="1" si="60"/>
        <v>67.953999999999994</v>
      </c>
      <c r="D133" s="83">
        <f t="shared" ca="1" si="61"/>
        <v>63</v>
      </c>
      <c r="E133" s="83">
        <f t="shared" ca="1" si="62"/>
        <v>41</v>
      </c>
      <c r="F133" s="83">
        <f t="shared" ca="1" si="63"/>
        <v>4</v>
      </c>
      <c r="G133" s="107">
        <f t="shared" ca="1" si="64"/>
        <v>299</v>
      </c>
      <c r="H133" s="84">
        <f t="shared" ca="1" si="65"/>
        <v>1854</v>
      </c>
      <c r="I133" s="84">
        <f t="shared" ca="1" si="66"/>
        <v>480</v>
      </c>
      <c r="J133" s="84">
        <f t="shared" ca="1" si="67"/>
        <v>3304</v>
      </c>
      <c r="K133" s="92">
        <f ca="1">IFERROR(IF(AND('CALLER Portal'!$Y$1 = "False", OverallTable[[#This Row],[Active]] = FALSE), "",OverallTable[[#This Row],[Total Gifts]]/OverallTable[[#This Row],[Contacts]]),"")</f>
        <v>0.21070234113712374</v>
      </c>
      <c r="L133" s="92">
        <f ca="1">IF(AND('CALLER Portal'!$Y$1 = "False", OverallTable[[#This Row],[Active]] = FALSE), "", IF(C133 = 0,"",IFERROR((E133+F133)/D133,0)))</f>
        <v>0.7142857142857143</v>
      </c>
      <c r="M133" s="92">
        <f ca="1">IF(AND('CALLER Portal'!$Y$1 = "False", OverallTable[[#This Row],[Active]] = FALSE), "",IF(C133 = 0,"",IFERROR(F133/D133,0)))</f>
        <v>6.3492063492063489E-2</v>
      </c>
      <c r="N133" s="85">
        <f ca="1">IF(AND('CALLER Portal'!$Y$1 = "False", OverallTable[[#This Row],[Active]] = FALSE), "", IFERROR((H133+I133)/C133,""))</f>
        <v>34.34676398740325</v>
      </c>
      <c r="O133" s="170">
        <f ca="1">IF(AND('CALLER Portal'!$Y$1 = "False", OverallTable[[#This Row],[Active]] = FALSE),"",IF(C133 = 0,"",IFERROR((E133+F133)/C133,0)))</f>
        <v>0.66221267327898292</v>
      </c>
      <c r="P133" s="170">
        <f ca="1">IF(AND('CALLER Portal'!$Y$1 = "False", OverallTable[[#This Row],[Active]] = FALSE), "", IF(C133 = 0,"",IFERROR((F133)/C133,0)))</f>
        <v>5.8863348735909593E-2</v>
      </c>
      <c r="Q133" s="86">
        <f t="shared" ca="1" si="68"/>
        <v>4.400035318009242</v>
      </c>
      <c r="R133" s="86">
        <f ca="1">IFERROR(_xlfn.PERCENTRANK.INC(OverallTable[F-Score], OverallTable[[#This Row],[F-Score]]),"")</f>
        <v>0.28399999999999997</v>
      </c>
      <c r="S133" s="86">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0.38300000000000006</v>
      </c>
      <c r="T133" s="116">
        <f t="shared" ca="1" si="69"/>
        <v>0.2</v>
      </c>
      <c r="U133" s="117">
        <f t="shared" ca="1" si="70"/>
        <v>0.8</v>
      </c>
      <c r="V133" s="117">
        <f t="shared" ca="1" si="71"/>
        <v>0.48799999999999999</v>
      </c>
      <c r="W133" s="117">
        <f t="shared" ca="1" si="72"/>
        <v>0.23300000000000001</v>
      </c>
      <c r="X133" s="117">
        <f t="shared" ca="1" si="73"/>
        <v>0.26600000000000001</v>
      </c>
      <c r="Y133" s="117">
        <f t="shared" ca="1" si="74"/>
        <v>0.34399999999999997</v>
      </c>
      <c r="Z133" s="141" t="str">
        <f>IFERROR(IF('CALLER Portal'!$Y$1 = "TRUE", OverallTable[[#This Row],[Name]],IF(AND('CALLER Portal'!$Y$1 = "FALSE", OverallTable[[#This Row],[Active]] = TRUE),OverallTable[[#This Row],[Name]],"(Blank)")),"")</f>
        <v xml:space="preserve">Paul Long </v>
      </c>
      <c r="AB133" s="73" t="s">
        <v>409</v>
      </c>
    </row>
    <row r="134" spans="1:28" x14ac:dyDescent="0.25">
      <c r="A134" s="82" t="s">
        <v>409</v>
      </c>
      <c r="B134" s="134" t="b">
        <v>1</v>
      </c>
      <c r="C134" s="91">
        <f t="shared" ca="1" si="60"/>
        <v>12.52</v>
      </c>
      <c r="D134" s="91">
        <f t="shared" ca="1" si="61"/>
        <v>5</v>
      </c>
      <c r="E134" s="91">
        <f t="shared" ca="1" si="62"/>
        <v>2</v>
      </c>
      <c r="F134" s="91">
        <f t="shared" ca="1" si="63"/>
        <v>0</v>
      </c>
      <c r="G134" s="107">
        <f t="shared" ca="1" si="64"/>
        <v>88</v>
      </c>
      <c r="H134" s="84">
        <f t="shared" ca="1" si="65"/>
        <v>30</v>
      </c>
      <c r="I134" s="84">
        <f t="shared" ca="1" si="66"/>
        <v>0</v>
      </c>
      <c r="J134" s="84">
        <f t="shared" ca="1" si="67"/>
        <v>150</v>
      </c>
      <c r="K134" s="92">
        <f ca="1">IFERROR(IF(AND('CALLER Portal'!$Y$1 = "False", OverallTable[[#This Row],[Active]] = FALSE), "",OverallTable[[#This Row],[Total Gifts]]/OverallTable[[#This Row],[Contacts]]),"")</f>
        <v>5.6818181818181816E-2</v>
      </c>
      <c r="L134" s="92">
        <f ca="1">IF(AND('CALLER Portal'!$Y$1 = "False", OverallTable[[#This Row],[Active]] = FALSE), "", IF(C134 = 0,"",IFERROR((E134+F134)/D134,0)))</f>
        <v>0.4</v>
      </c>
      <c r="M134" s="92">
        <f ca="1">IF(AND('CALLER Portal'!$Y$1 = "False", OverallTable[[#This Row],[Active]] = FALSE), "",IF(C134 = 0,"",IFERROR(F134/D134,0)))</f>
        <v>0</v>
      </c>
      <c r="N134" s="85">
        <f ca="1">IF(AND('CALLER Portal'!$Y$1 = "False", OverallTable[[#This Row],[Active]] = FALSE), "", IFERROR((H134+I134)/C134,""))</f>
        <v>2.3961661341853038</v>
      </c>
      <c r="O134" s="173">
        <f ca="1">IF(AND('CALLER Portal'!$Y$1 = "False", OverallTable[[#This Row],[Active]] = FALSE),"",IF(C134 = 0,"",IFERROR((E134+F134)/C134,0)))</f>
        <v>0.15974440894568689</v>
      </c>
      <c r="P134" s="173">
        <f ca="1">IF(AND('CALLER Portal'!$Y$1 = "False", OverallTable[[#This Row],[Active]] = FALSE), "", IF(C134 = 0,"",IFERROR((F134)/C134,0)))</f>
        <v>0</v>
      </c>
      <c r="Q134" s="86">
        <f t="shared" ca="1" si="68"/>
        <v>7.0287539936102235</v>
      </c>
      <c r="R134" s="86">
        <f ca="1">IFERROR(_xlfn.PERCENTRANK.INC(OverallTable[F-Score], OverallTable[[#This Row],[F-Score]]),"")</f>
        <v>0</v>
      </c>
      <c r="S134" s="86">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3.0800000000000004E-2</v>
      </c>
      <c r="T134" s="116">
        <f t="shared" ca="1" si="69"/>
        <v>3.3000000000000002E-2</v>
      </c>
      <c r="U134" s="117">
        <f t="shared" ca="1" si="70"/>
        <v>2.1999999999999999E-2</v>
      </c>
      <c r="V134" s="117">
        <f t="shared" ca="1" si="71"/>
        <v>1.0999999999999999E-2</v>
      </c>
      <c r="W134" s="117">
        <f t="shared" ca="1" si="72"/>
        <v>3.3000000000000002E-2</v>
      </c>
      <c r="X134" s="117">
        <f t="shared" ca="1" si="73"/>
        <v>5.5E-2</v>
      </c>
      <c r="Y134" s="117">
        <f t="shared" ca="1" si="74"/>
        <v>1.0999999999999999E-2</v>
      </c>
      <c r="Z134" s="141" t="str">
        <f>IFERROR(IF('CALLER Portal'!$Y$1 = "TRUE", OverallTable[[#This Row],[Name]],IF(AND('CALLER Portal'!$Y$1 = "FALSE", OverallTable[[#This Row],[Active]] = TRUE),OverallTable[[#This Row],[Name]],"(Blank)")),"")</f>
        <v xml:space="preserve">Paullette Tolsto </v>
      </c>
      <c r="AB134" s="73" t="s">
        <v>340</v>
      </c>
    </row>
    <row r="135" spans="1:28" x14ac:dyDescent="0.25">
      <c r="A135" s="82" t="s">
        <v>340</v>
      </c>
      <c r="B135" s="134" t="b">
        <v>1</v>
      </c>
      <c r="C135" s="83">
        <f t="shared" ca="1" si="60"/>
        <v>0</v>
      </c>
      <c r="D135" s="83">
        <f t="shared" ca="1" si="61"/>
        <v>0</v>
      </c>
      <c r="E135" s="83">
        <f t="shared" ca="1" si="62"/>
        <v>0</v>
      </c>
      <c r="F135" s="83">
        <f t="shared" ca="1" si="63"/>
        <v>0</v>
      </c>
      <c r="G135" s="107">
        <f t="shared" ca="1" si="64"/>
        <v>0</v>
      </c>
      <c r="H135" s="84">
        <f t="shared" ca="1" si="65"/>
        <v>0</v>
      </c>
      <c r="I135" s="84">
        <f t="shared" ca="1" si="66"/>
        <v>0</v>
      </c>
      <c r="J135" s="84">
        <f t="shared" ca="1" si="67"/>
        <v>0</v>
      </c>
      <c r="K135" s="92" t="str">
        <f ca="1">IFERROR(IF(AND('CALLER Portal'!$Y$1 = "False", OverallTable[[#This Row],[Active]] = FALSE), "",OverallTable[[#This Row],[Total Gifts]]/OverallTable[[#This Row],[Contacts]]),"")</f>
        <v/>
      </c>
      <c r="L135" s="92" t="str">
        <f ca="1">IF(AND('CALLER Portal'!$Y$1 = "False", OverallTable[[#This Row],[Active]] = FALSE), "", IF(C135 = 0,"",IFERROR((E135+F135)/D135,0)))</f>
        <v/>
      </c>
      <c r="M135" s="92" t="str">
        <f ca="1">IF(AND('CALLER Portal'!$Y$1 = "False", OverallTable[[#This Row],[Active]] = FALSE), "",IF(C135 = 0,"",IFERROR(F135/D135,0)))</f>
        <v/>
      </c>
      <c r="N135" s="85" t="str">
        <f ca="1">IF(AND('CALLER Portal'!$Y$1 = "False", OverallTable[[#This Row],[Active]] = FALSE), "", IFERROR((H135+I135)/C135,""))</f>
        <v/>
      </c>
      <c r="O135" s="170" t="str">
        <f ca="1">IF(AND('CALLER Portal'!$Y$1 = "False", OverallTable[[#This Row],[Active]] = FALSE),"",IF(C135 = 0,"",IFERROR((E135+F135)/C135,0)))</f>
        <v/>
      </c>
      <c r="P135" s="170" t="str">
        <f ca="1">IF(AND('CALLER Portal'!$Y$1 = "False", OverallTable[[#This Row],[Active]] = FALSE), "", IF(C135 = 0,"",IFERROR((F135)/C135,0)))</f>
        <v/>
      </c>
      <c r="Q135" s="86" t="str">
        <f t="shared" ca="1" si="68"/>
        <v/>
      </c>
      <c r="R135" s="86" t="str">
        <f ca="1">IFERROR(_xlfn.PERCENTRANK.INC(OverallTable[F-Score], OverallTable[[#This Row],[F-Score]]),"")</f>
        <v/>
      </c>
      <c r="S135"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135" s="116" t="str">
        <f t="shared" ca="1" si="69"/>
        <v/>
      </c>
      <c r="U135" s="117" t="str">
        <f t="shared" ca="1" si="70"/>
        <v/>
      </c>
      <c r="V135" s="117" t="str">
        <f t="shared" ca="1" si="71"/>
        <v/>
      </c>
      <c r="W135" s="117" t="str">
        <f t="shared" ca="1" si="72"/>
        <v/>
      </c>
      <c r="X135" s="117" t="str">
        <f t="shared" ca="1" si="73"/>
        <v/>
      </c>
      <c r="Y135" s="117" t="str">
        <f t="shared" ca="1" si="74"/>
        <v/>
      </c>
      <c r="Z135" s="141" t="str">
        <f>IFERROR(IF('CALLER Portal'!$Y$1 = "TRUE", OverallTable[[#This Row],[Name]],IF(AND('CALLER Portal'!$Y$1 = "FALSE", OverallTable[[#This Row],[Active]] = TRUE),OverallTable[[#This Row],[Name]],"(Blank)")),"")</f>
        <v xml:space="preserve">Penelope Grese </v>
      </c>
      <c r="AB135" s="73" t="s">
        <v>370</v>
      </c>
    </row>
    <row r="136" spans="1:28" x14ac:dyDescent="0.25">
      <c r="A136" s="82" t="s">
        <v>370</v>
      </c>
      <c r="B136" s="134" t="b">
        <v>1</v>
      </c>
      <c r="C136" s="91">
        <f t="shared" ca="1" si="60"/>
        <v>0</v>
      </c>
      <c r="D136" s="91">
        <f t="shared" ca="1" si="61"/>
        <v>0</v>
      </c>
      <c r="E136" s="91">
        <f t="shared" ca="1" si="62"/>
        <v>0</v>
      </c>
      <c r="F136" s="91">
        <f t="shared" ca="1" si="63"/>
        <v>0</v>
      </c>
      <c r="G136" s="107">
        <f t="shared" ca="1" si="64"/>
        <v>0</v>
      </c>
      <c r="H136" s="84">
        <f t="shared" ca="1" si="65"/>
        <v>0</v>
      </c>
      <c r="I136" s="84">
        <f t="shared" ca="1" si="66"/>
        <v>0</v>
      </c>
      <c r="J136" s="84">
        <f t="shared" ca="1" si="67"/>
        <v>0</v>
      </c>
      <c r="K136" s="92" t="str">
        <f ca="1">IFERROR(IF(AND('CALLER Portal'!$Y$1 = "False", OverallTable[[#This Row],[Active]] = FALSE), "",OverallTable[[#This Row],[Total Gifts]]/OverallTable[[#This Row],[Contacts]]),"")</f>
        <v/>
      </c>
      <c r="L136" s="92" t="str">
        <f ca="1">IF(AND('CALLER Portal'!$Y$1 = "False", OverallTable[[#This Row],[Active]] = FALSE), "", IF(C136 = 0,"",IFERROR((E136+F136)/D136,0)))</f>
        <v/>
      </c>
      <c r="M136" s="92" t="str">
        <f ca="1">IF(AND('CALLER Portal'!$Y$1 = "False", OverallTable[[#This Row],[Active]] = FALSE), "",IF(C136 = 0,"",IFERROR(F136/D136,0)))</f>
        <v/>
      </c>
      <c r="N136" s="85" t="str">
        <f ca="1">IF(AND('CALLER Portal'!$Y$1 = "False", OverallTable[[#This Row],[Active]] = FALSE), "", IFERROR((H136+I136)/C136,""))</f>
        <v/>
      </c>
      <c r="O136" s="173" t="str">
        <f ca="1">IF(AND('CALLER Portal'!$Y$1 = "False", OverallTable[[#This Row],[Active]] = FALSE),"",IF(C136 = 0,"",IFERROR((E136+F136)/C136,0)))</f>
        <v/>
      </c>
      <c r="P136" s="173" t="str">
        <f ca="1">IF(AND('CALLER Portal'!$Y$1 = "False", OverallTable[[#This Row],[Active]] = FALSE), "", IF(C136 = 0,"",IFERROR((F136)/C136,0)))</f>
        <v/>
      </c>
      <c r="Q136" s="86" t="str">
        <f t="shared" ca="1" si="68"/>
        <v/>
      </c>
      <c r="R136" s="86" t="str">
        <f ca="1">IFERROR(_xlfn.PERCENTRANK.INC(OverallTable[F-Score], OverallTable[[#This Row],[F-Score]]),"")</f>
        <v/>
      </c>
      <c r="S136"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136" s="201" t="str">
        <f t="shared" ca="1" si="69"/>
        <v/>
      </c>
      <c r="U136" s="117" t="str">
        <f t="shared" ca="1" si="70"/>
        <v/>
      </c>
      <c r="V136" s="117" t="str">
        <f t="shared" ca="1" si="71"/>
        <v/>
      </c>
      <c r="W136" s="117" t="str">
        <f t="shared" ca="1" si="72"/>
        <v/>
      </c>
      <c r="X136" s="117" t="str">
        <f t="shared" ca="1" si="73"/>
        <v/>
      </c>
      <c r="Y136" s="117" t="str">
        <f t="shared" ca="1" si="74"/>
        <v/>
      </c>
      <c r="Z136" s="141" t="str">
        <f>IFERROR(IF('CALLER Portal'!$Y$1 = "TRUE", OverallTable[[#This Row],[Name]],IF(AND('CALLER Portal'!$Y$1 = "FALSE", OverallTable[[#This Row],[Active]] = TRUE),OverallTable[[#This Row],[Name]],"(Blank)")),"")</f>
        <v xml:space="preserve">Penny Moore </v>
      </c>
      <c r="AB136" s="73" t="s">
        <v>369</v>
      </c>
    </row>
    <row r="137" spans="1:28" x14ac:dyDescent="0.25">
      <c r="A137" s="82" t="s">
        <v>369</v>
      </c>
      <c r="B137" s="134" t="b">
        <v>1</v>
      </c>
      <c r="C137" s="83">
        <f t="shared" ca="1" si="60"/>
        <v>0</v>
      </c>
      <c r="D137" s="83">
        <f t="shared" ca="1" si="61"/>
        <v>0</v>
      </c>
      <c r="E137" s="83">
        <f t="shared" ca="1" si="62"/>
        <v>0</v>
      </c>
      <c r="F137" s="83">
        <f t="shared" ca="1" si="63"/>
        <v>0</v>
      </c>
      <c r="G137" s="107">
        <f t="shared" ca="1" si="64"/>
        <v>0</v>
      </c>
      <c r="H137" s="84">
        <f t="shared" ca="1" si="65"/>
        <v>0</v>
      </c>
      <c r="I137" s="84">
        <f t="shared" ca="1" si="66"/>
        <v>0</v>
      </c>
      <c r="J137" s="84">
        <f t="shared" ca="1" si="67"/>
        <v>0</v>
      </c>
      <c r="K137" s="92" t="str">
        <f ca="1">IFERROR(IF(AND('CALLER Portal'!$Y$1 = "False", OverallTable[[#This Row],[Active]] = FALSE), "",OverallTable[[#This Row],[Total Gifts]]/OverallTable[[#This Row],[Contacts]]),"")</f>
        <v/>
      </c>
      <c r="L137" s="92" t="str">
        <f ca="1">IF(AND('CALLER Portal'!$Y$1 = "False", OverallTable[[#This Row],[Active]] = FALSE), "", IF(C137 = 0,"",IFERROR((E137+F137)/D137,0)))</f>
        <v/>
      </c>
      <c r="M137" s="92" t="str">
        <f ca="1">IF(AND('CALLER Portal'!$Y$1 = "False", OverallTable[[#This Row],[Active]] = FALSE), "",IF(C137 = 0,"",IFERROR(F137/D137,0)))</f>
        <v/>
      </c>
      <c r="N137" s="85" t="str">
        <f ca="1">IF(AND('CALLER Portal'!$Y$1 = "False", OverallTable[[#This Row],[Active]] = FALSE), "", IFERROR((H137+I137)/C137,""))</f>
        <v/>
      </c>
      <c r="O137" s="170" t="str">
        <f ca="1">IF(AND('CALLER Portal'!$Y$1 = "False", OverallTable[[#This Row],[Active]] = FALSE),"",IF(C137 = 0,"",IFERROR((E137+F137)/C137,0)))</f>
        <v/>
      </c>
      <c r="P137" s="170" t="str">
        <f ca="1">IF(AND('CALLER Portal'!$Y$1 = "False", OverallTable[[#This Row],[Active]] = FALSE), "", IF(C137 = 0,"",IFERROR((F137)/C137,0)))</f>
        <v/>
      </c>
      <c r="Q137" s="86" t="str">
        <f t="shared" ca="1" si="68"/>
        <v/>
      </c>
      <c r="R137" s="86" t="str">
        <f ca="1">IFERROR(_xlfn.PERCENTRANK.INC(OverallTable[F-Score], OverallTable[[#This Row],[F-Score]]),"")</f>
        <v/>
      </c>
      <c r="S137"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137" s="116" t="str">
        <f t="shared" ca="1" si="69"/>
        <v/>
      </c>
      <c r="U137" s="117" t="str">
        <f t="shared" ca="1" si="70"/>
        <v/>
      </c>
      <c r="V137" s="117" t="str">
        <f t="shared" ca="1" si="71"/>
        <v/>
      </c>
      <c r="W137" s="117" t="str">
        <f t="shared" ca="1" si="72"/>
        <v/>
      </c>
      <c r="X137" s="117" t="str">
        <f t="shared" ca="1" si="73"/>
        <v/>
      </c>
      <c r="Y137" s="117" t="str">
        <f t="shared" ca="1" si="74"/>
        <v/>
      </c>
      <c r="Z137" s="141" t="str">
        <f>IFERROR(IF('CALLER Portal'!$Y$1 = "TRUE", OverallTable[[#This Row],[Name]],IF(AND('CALLER Portal'!$Y$1 = "FALSE", OverallTable[[#This Row],[Active]] = TRUE),OverallTable[[#This Row],[Name]],"(Blank)")),"")</f>
        <v xml:space="preserve">Peter Lopis </v>
      </c>
      <c r="AB137" s="73" t="s">
        <v>424</v>
      </c>
    </row>
    <row r="138" spans="1:28" x14ac:dyDescent="0.25">
      <c r="A138" s="82" t="s">
        <v>424</v>
      </c>
      <c r="B138" s="134" t="b">
        <v>1</v>
      </c>
      <c r="C138" s="91">
        <f t="shared" ca="1" si="60"/>
        <v>0</v>
      </c>
      <c r="D138" s="91">
        <f t="shared" ca="1" si="61"/>
        <v>0</v>
      </c>
      <c r="E138" s="91">
        <f t="shared" ca="1" si="62"/>
        <v>0</v>
      </c>
      <c r="F138" s="91">
        <f t="shared" ca="1" si="63"/>
        <v>0</v>
      </c>
      <c r="G138" s="107">
        <f t="shared" ca="1" si="64"/>
        <v>0</v>
      </c>
      <c r="H138" s="84">
        <f t="shared" ca="1" si="65"/>
        <v>0</v>
      </c>
      <c r="I138" s="84">
        <f t="shared" ca="1" si="66"/>
        <v>0</v>
      </c>
      <c r="J138" s="84">
        <f t="shared" ca="1" si="67"/>
        <v>0</v>
      </c>
      <c r="K138" s="92" t="str">
        <f ca="1">IFERROR(IF(AND('CALLER Portal'!$Y$1 = "False", OverallTable[[#This Row],[Active]] = FALSE), "",OverallTable[[#This Row],[Total Gifts]]/OverallTable[[#This Row],[Contacts]]),"")</f>
        <v/>
      </c>
      <c r="L138" s="92" t="str">
        <f ca="1">IF(AND('CALLER Portal'!$Y$1 = "False", OverallTable[[#This Row],[Active]] = FALSE), "", IF(C138 = 0,"",IFERROR((E138+F138)/D138,0)))</f>
        <v/>
      </c>
      <c r="M138" s="92" t="str">
        <f ca="1">IF(AND('CALLER Portal'!$Y$1 = "False", OverallTable[[#This Row],[Active]] = FALSE), "",IF(C138 = 0,"",IFERROR(F138/D138,0)))</f>
        <v/>
      </c>
      <c r="N138" s="85" t="str">
        <f ca="1">IF(AND('CALLER Portal'!$Y$1 = "False", OverallTable[[#This Row],[Active]] = FALSE), "", IFERROR((H138+I138)/C138,""))</f>
        <v/>
      </c>
      <c r="O138" s="173" t="str">
        <f ca="1">IF(AND('CALLER Portal'!$Y$1 = "False", OverallTable[[#This Row],[Active]] = FALSE),"",IF(C138 = 0,"",IFERROR((E138+F138)/C138,0)))</f>
        <v/>
      </c>
      <c r="P138" s="173" t="str">
        <f ca="1">IF(AND('CALLER Portal'!$Y$1 = "False", OverallTable[[#This Row],[Active]] = FALSE), "", IF(C138 = 0,"",IFERROR((F138)/C138,0)))</f>
        <v/>
      </c>
      <c r="Q138" s="86" t="str">
        <f t="shared" ca="1" si="68"/>
        <v/>
      </c>
      <c r="R138" s="86" t="str">
        <f ca="1">IFERROR(_xlfn.PERCENTRANK.INC(OverallTable[F-Score], OverallTable[[#This Row],[F-Score]]),"")</f>
        <v/>
      </c>
      <c r="S138"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138" s="116" t="str">
        <f t="shared" ca="1" si="69"/>
        <v/>
      </c>
      <c r="U138" s="117" t="str">
        <f t="shared" ca="1" si="70"/>
        <v/>
      </c>
      <c r="V138" s="117" t="str">
        <f t="shared" ca="1" si="71"/>
        <v/>
      </c>
      <c r="W138" s="117" t="str">
        <f t="shared" ca="1" si="72"/>
        <v/>
      </c>
      <c r="X138" s="117" t="str">
        <f t="shared" ca="1" si="73"/>
        <v/>
      </c>
      <c r="Y138" s="117" t="str">
        <f t="shared" ca="1" si="74"/>
        <v/>
      </c>
      <c r="Z138" s="141" t="str">
        <f>IFERROR(IF('CALLER Portal'!$Y$1 = "TRUE", OverallTable[[#This Row],[Name]],IF(AND('CALLER Portal'!$Y$1 = "FALSE", OverallTable[[#This Row],[Active]] = TRUE),OverallTable[[#This Row],[Name]],"(Blank)")),"")</f>
        <v xml:space="preserve">Petra Bonner </v>
      </c>
      <c r="AB138" s="73" t="s">
        <v>301</v>
      </c>
    </row>
    <row r="139" spans="1:28" x14ac:dyDescent="0.25">
      <c r="A139" s="160" t="s">
        <v>301</v>
      </c>
      <c r="B139" s="134" t="b">
        <v>1</v>
      </c>
      <c r="C139" s="161">
        <f t="shared" ca="1" si="60"/>
        <v>52.550000000000004</v>
      </c>
      <c r="D139" s="161">
        <f t="shared" ca="1" si="61"/>
        <v>90</v>
      </c>
      <c r="E139" s="161">
        <f t="shared" ca="1" si="62"/>
        <v>47</v>
      </c>
      <c r="F139" s="161">
        <f t="shared" ca="1" si="63"/>
        <v>6</v>
      </c>
      <c r="G139" s="162">
        <f t="shared" ca="1" si="64"/>
        <v>325</v>
      </c>
      <c r="H139" s="163">
        <f t="shared" ca="1" si="65"/>
        <v>3085</v>
      </c>
      <c r="I139" s="163">
        <f t="shared" ca="1" si="66"/>
        <v>1660</v>
      </c>
      <c r="J139" s="163">
        <f t="shared" ca="1" si="67"/>
        <v>6530</v>
      </c>
      <c r="K139" s="165">
        <f ca="1">IFERROR(IF(AND('CALLER Portal'!$Y$1 = "False", OverallTable[[#This Row],[Active]] = FALSE), "",OverallTable[[#This Row],[Total Gifts]]/OverallTable[[#This Row],[Contacts]]),"")</f>
        <v>0.27692307692307694</v>
      </c>
      <c r="L139" s="165">
        <f ca="1">IF(AND('CALLER Portal'!$Y$1 = "False", OverallTable[[#This Row],[Active]] = FALSE), "", IF(C139 = 0,"",IFERROR((E139+F139)/D139,0)))</f>
        <v>0.58888888888888891</v>
      </c>
      <c r="M139" s="165">
        <f ca="1">IF(AND('CALLER Portal'!$Y$1 = "False", OverallTable[[#This Row],[Active]] = FALSE), "",IF(C139 = 0,"",IFERROR(F139/D139,0)))</f>
        <v>6.6666666666666666E-2</v>
      </c>
      <c r="N139" s="166">
        <f ca="1">IF(AND('CALLER Portal'!$Y$1 = "False", OverallTable[[#This Row],[Active]] = FALSE), "", IFERROR((H139+I139)/C139,""))</f>
        <v>90.294957183634622</v>
      </c>
      <c r="O139" s="172">
        <f ca="1">IF(AND('CALLER Portal'!$Y$1 = "False", OverallTable[[#This Row],[Active]] = FALSE),"",IF(C139 = 0,"",IFERROR((E139+F139)/C139,0)))</f>
        <v>1.0085632730732634</v>
      </c>
      <c r="P139" s="172">
        <f ca="1">IF(AND('CALLER Portal'!$Y$1 = "False", OverallTable[[#This Row],[Active]] = FALSE), "", IF(C139 = 0,"",IFERROR((F139)/C139,0)))</f>
        <v>0.11417697431018077</v>
      </c>
      <c r="Q139" s="164">
        <f t="shared" ca="1" si="68"/>
        <v>6.1845861084681255</v>
      </c>
      <c r="R139" s="164">
        <f ca="1">IFERROR(_xlfn.PERCENTRANK.INC(OverallTable[F-Score], OverallTable[[#This Row],[F-Score]]),"")</f>
        <v>0.65900000000000003</v>
      </c>
      <c r="S139" s="164">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0.62850000000000006</v>
      </c>
      <c r="T139" s="159">
        <f t="shared" ca="1" si="69"/>
        <v>0.55500000000000005</v>
      </c>
      <c r="U139" s="141">
        <f t="shared" ca="1" si="70"/>
        <v>0.46600000000000003</v>
      </c>
      <c r="V139" s="141">
        <f t="shared" ca="1" si="71"/>
        <v>0.53300000000000003</v>
      </c>
      <c r="W139" s="141">
        <f t="shared" ca="1" si="72"/>
        <v>0.93300000000000005</v>
      </c>
      <c r="X139" s="141">
        <f t="shared" ca="1" si="73"/>
        <v>0.622</v>
      </c>
      <c r="Y139" s="141">
        <f t="shared" ca="1" si="74"/>
        <v>0.6</v>
      </c>
      <c r="Z139" s="141" t="str">
        <f>IFERROR(IF('CALLER Portal'!$Y$1 = "TRUE", OverallTable[[#This Row],[Name]],IF(AND('CALLER Portal'!$Y$1 = "FALSE", OverallTable[[#This Row],[Active]] = TRUE),OverallTable[[#This Row],[Name]],"(Blank)")),"")</f>
        <v xml:space="preserve">Peyton Rangel </v>
      </c>
      <c r="AB139" s="73" t="s">
        <v>434</v>
      </c>
    </row>
    <row r="140" spans="1:28" x14ac:dyDescent="0.25">
      <c r="A140" s="82" t="s">
        <v>434</v>
      </c>
      <c r="B140" s="134" t="b">
        <v>1</v>
      </c>
      <c r="C140" s="91">
        <f t="shared" ca="1" si="60"/>
        <v>0</v>
      </c>
      <c r="D140" s="91">
        <f t="shared" ca="1" si="61"/>
        <v>0</v>
      </c>
      <c r="E140" s="91">
        <f t="shared" ca="1" si="62"/>
        <v>0</v>
      </c>
      <c r="F140" s="91">
        <f t="shared" ca="1" si="63"/>
        <v>0</v>
      </c>
      <c r="G140" s="107">
        <f t="shared" ca="1" si="64"/>
        <v>0</v>
      </c>
      <c r="H140" s="84">
        <f t="shared" ca="1" si="65"/>
        <v>0</v>
      </c>
      <c r="I140" s="84">
        <f t="shared" ca="1" si="66"/>
        <v>0</v>
      </c>
      <c r="J140" s="84">
        <f t="shared" ca="1" si="67"/>
        <v>0</v>
      </c>
      <c r="K140" s="92" t="str">
        <f ca="1">IFERROR(IF(AND('CALLER Portal'!$Y$1 = "False", OverallTable[[#This Row],[Active]] = FALSE), "",OverallTable[[#This Row],[Total Gifts]]/OverallTable[[#This Row],[Contacts]]),"")</f>
        <v/>
      </c>
      <c r="L140" s="92" t="str">
        <f ca="1">IF(AND('CALLER Portal'!$Y$1 = "False", OverallTable[[#This Row],[Active]] = FALSE), "", IF(C140 = 0,"",IFERROR((E140+F140)/D140,0)))</f>
        <v/>
      </c>
      <c r="M140" s="92" t="str">
        <f ca="1">IF(AND('CALLER Portal'!$Y$1 = "False", OverallTable[[#This Row],[Active]] = FALSE), "",IF(C140 = 0,"",IFERROR(F140/D140,0)))</f>
        <v/>
      </c>
      <c r="N140" s="85" t="str">
        <f ca="1">IF(AND('CALLER Portal'!$Y$1 = "False", OverallTable[[#This Row],[Active]] = FALSE), "", IFERROR((H140+I140)/C140,""))</f>
        <v/>
      </c>
      <c r="O140" s="173" t="str">
        <f ca="1">IF(AND('CALLER Portal'!$Y$1 = "False", OverallTable[[#This Row],[Active]] = FALSE),"",IF(C140 = 0,"",IFERROR((E140+F140)/C140,0)))</f>
        <v/>
      </c>
      <c r="P140" s="173" t="str">
        <f ca="1">IF(AND('CALLER Portal'!$Y$1 = "False", OverallTable[[#This Row],[Active]] = FALSE), "", IF(C140 = 0,"",IFERROR((F140)/C140,0)))</f>
        <v/>
      </c>
      <c r="Q140" s="86" t="str">
        <f t="shared" ca="1" si="68"/>
        <v/>
      </c>
      <c r="R140" s="86" t="str">
        <f ca="1">IFERROR(_xlfn.PERCENTRANK.INC(OverallTable[F-Score], OverallTable[[#This Row],[F-Score]]),"")</f>
        <v/>
      </c>
      <c r="S140"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140" s="201" t="str">
        <f t="shared" ca="1" si="69"/>
        <v/>
      </c>
      <c r="U140" s="117" t="str">
        <f t="shared" ca="1" si="70"/>
        <v/>
      </c>
      <c r="V140" s="117" t="str">
        <f t="shared" ca="1" si="71"/>
        <v/>
      </c>
      <c r="W140" s="117" t="str">
        <f t="shared" ca="1" si="72"/>
        <v/>
      </c>
      <c r="X140" s="117" t="str">
        <f t="shared" ca="1" si="73"/>
        <v/>
      </c>
      <c r="Y140" s="117" t="str">
        <f t="shared" ca="1" si="74"/>
        <v/>
      </c>
      <c r="Z140" s="141" t="str">
        <f>IFERROR(IF('CALLER Portal'!$Y$1 = "TRUE", OverallTable[[#This Row],[Name]],IF(AND('CALLER Portal'!$Y$1 = "FALSE", OverallTable[[#This Row],[Active]] = TRUE),OverallTable[[#This Row],[Name]],"(Blank)")),"")</f>
        <v xml:space="preserve">Phil Golup </v>
      </c>
      <c r="AB140" s="73" t="s">
        <v>371</v>
      </c>
    </row>
    <row r="141" spans="1:28" ht="15.75" thickBot="1" x14ac:dyDescent="0.3">
      <c r="A141" s="82" t="s">
        <v>371</v>
      </c>
      <c r="B141" s="134" t="b">
        <v>1</v>
      </c>
      <c r="C141" s="83">
        <f t="shared" ca="1" si="60"/>
        <v>90.518000000000015</v>
      </c>
      <c r="D141" s="83">
        <f t="shared" ca="1" si="61"/>
        <v>135</v>
      </c>
      <c r="E141" s="83">
        <f t="shared" ca="1" si="62"/>
        <v>70</v>
      </c>
      <c r="F141" s="83">
        <f t="shared" ca="1" si="63"/>
        <v>1</v>
      </c>
      <c r="G141" s="107">
        <f t="shared" ca="1" si="64"/>
        <v>571</v>
      </c>
      <c r="H141" s="84">
        <f t="shared" ca="1" si="65"/>
        <v>3659</v>
      </c>
      <c r="I141" s="84">
        <f t="shared" ca="1" si="66"/>
        <v>60</v>
      </c>
      <c r="J141" s="84">
        <f t="shared" ca="1" si="67"/>
        <v>8184</v>
      </c>
      <c r="K141" s="92">
        <f ca="1">IFERROR(IF(AND('CALLER Portal'!$Y$1 = "False", OverallTable[[#This Row],[Active]] = FALSE), "",OverallTable[[#This Row],[Total Gifts]]/OverallTable[[#This Row],[Contacts]]),"")</f>
        <v>0.23642732049036777</v>
      </c>
      <c r="L141" s="92">
        <f ca="1">IF(AND('CALLER Portal'!$Y$1 = "False", OverallTable[[#This Row],[Active]] = FALSE), "", IF(C141 = 0,"",IFERROR((E141+F141)/D141,0)))</f>
        <v>0.52592592592592591</v>
      </c>
      <c r="M141" s="92">
        <f ca="1">IF(AND('CALLER Portal'!$Y$1 = "False", OverallTable[[#This Row],[Active]] = FALSE), "",IF(C141 = 0,"",IFERROR(F141/D141,0)))</f>
        <v>7.4074074074074077E-3</v>
      </c>
      <c r="N141" s="85">
        <f ca="1">IF(AND('CALLER Portal'!$Y$1 = "False", OverallTable[[#This Row],[Active]] = FALSE), "", IFERROR((H141+I141)/C141,""))</f>
        <v>41.085750900373398</v>
      </c>
      <c r="O141" s="170">
        <f ca="1">IF(AND('CALLER Portal'!$Y$1 = "False", OverallTable[[#This Row],[Active]] = FALSE),"",IF(C141 = 0,"",IFERROR((E141+F141)/C141,0)))</f>
        <v>0.78437437857663661</v>
      </c>
      <c r="P141" s="170">
        <f ca="1">IF(AND('CALLER Portal'!$Y$1 = "False", OverallTable[[#This Row],[Active]] = FALSE), "", IF(C141 = 0,"",IFERROR((F141)/C141,0)))</f>
        <v>1.1047526458825866E-2</v>
      </c>
      <c r="Q141" s="86">
        <f t="shared" ca="1" si="68"/>
        <v>6.3081376079895701</v>
      </c>
      <c r="R141" s="86">
        <f ca="1">IFERROR(_xlfn.PERCENTRANK.INC(OverallTable[F-Score], OverallTable[[#This Row],[F-Score]]),"")</f>
        <v>0.18099999999999999</v>
      </c>
      <c r="S141" s="86">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0.27190000000000003</v>
      </c>
      <c r="T141" s="116">
        <f t="shared" ca="1" si="69"/>
        <v>0.34399999999999997</v>
      </c>
      <c r="U141" s="117">
        <f t="shared" ca="1" si="70"/>
        <v>0.2</v>
      </c>
      <c r="V141" s="117">
        <f t="shared" ca="1" si="71"/>
        <v>0.13300000000000001</v>
      </c>
      <c r="W141" s="117">
        <f t="shared" ca="1" si="72"/>
        <v>0.3</v>
      </c>
      <c r="X141" s="117">
        <f t="shared" ca="1" si="73"/>
        <v>0.377</v>
      </c>
      <c r="Y141" s="117">
        <f t="shared" ca="1" si="74"/>
        <v>0.14399999999999999</v>
      </c>
      <c r="Z141" s="141" t="str">
        <f>IFERROR(IF('CALLER Portal'!$Y$1 = "TRUE", OverallTable[[#This Row],[Name]],IF(AND('CALLER Portal'!$Y$1 = "FALSE", OverallTable[[#This Row],[Active]] = TRUE),OverallTable[[#This Row],[Name]],"(Blank)")),"")</f>
        <v xml:space="preserve">Rachelle Kuat </v>
      </c>
      <c r="AB141" s="73" t="s">
        <v>276</v>
      </c>
    </row>
    <row r="142" spans="1:28" ht="15.75" thickBot="1" x14ac:dyDescent="0.3">
      <c r="A142" s="158" t="s">
        <v>276</v>
      </c>
      <c r="B142" s="134" t="b">
        <v>1</v>
      </c>
      <c r="C142" s="239">
        <f t="shared" ca="1" si="60"/>
        <v>41.646999999999998</v>
      </c>
      <c r="D142" s="239">
        <f t="shared" ca="1" si="61"/>
        <v>82</v>
      </c>
      <c r="E142" s="239">
        <f t="shared" ca="1" si="62"/>
        <v>40</v>
      </c>
      <c r="F142" s="239">
        <f t="shared" ca="1" si="63"/>
        <v>5</v>
      </c>
      <c r="G142" s="240">
        <f t="shared" ca="1" si="64"/>
        <v>234</v>
      </c>
      <c r="H142" s="241">
        <f t="shared" ca="1" si="65"/>
        <v>2380</v>
      </c>
      <c r="I142" s="241">
        <f t="shared" ca="1" si="66"/>
        <v>600</v>
      </c>
      <c r="J142" s="241">
        <f t="shared" ca="1" si="67"/>
        <v>4625</v>
      </c>
      <c r="K142" s="242">
        <f ca="1">IFERROR(IF(AND('CALLER Portal'!$Y$1 = "False", OverallTable[[#This Row],[Active]] = FALSE), "",OverallTable[[#This Row],[Total Gifts]]/OverallTable[[#This Row],[Contacts]]),"")</f>
        <v>0.3504273504273504</v>
      </c>
      <c r="L142" s="242">
        <f ca="1">IF(AND('CALLER Portal'!$Y$1 = "False", OverallTable[[#This Row],[Active]] = FALSE), "", IF(C142 = 0,"",IFERROR((E142+F142)/D142,0)))</f>
        <v>0.54878048780487809</v>
      </c>
      <c r="M142" s="242">
        <f ca="1">IF(AND('CALLER Portal'!$Y$1 = "False", OverallTable[[#This Row],[Active]] = FALSE), "",IF(C142 = 0,"",IFERROR(F142/D142,0)))</f>
        <v>6.097560975609756E-2</v>
      </c>
      <c r="N142" s="243">
        <f ca="1">IF(AND('CALLER Portal'!$Y$1 = "False", OverallTable[[#This Row],[Active]] = FALSE), "", IFERROR((H142+I142)/C142,""))</f>
        <v>71.553773381035853</v>
      </c>
      <c r="O142" s="244">
        <f ca="1">IF(AND('CALLER Portal'!$Y$1 = "False", OverallTable[[#This Row],[Active]] = FALSE),"",IF(C142 = 0,"",IFERROR((E142+F142)/C142,0)))</f>
        <v>1.0805100007203401</v>
      </c>
      <c r="P142" s="244">
        <f ca="1">IF(AND('CALLER Portal'!$Y$1 = "False", OverallTable[[#This Row],[Active]] = FALSE), "", IF(C142 = 0,"",IFERROR((F142)/C142,0)))</f>
        <v>0.12005666674670445</v>
      </c>
      <c r="Q142" s="245">
        <f t="shared" ca="1" si="68"/>
        <v>5.6186520037457681</v>
      </c>
      <c r="R142" s="245">
        <f ca="1">IFERROR(_xlfn.PERCENTRANK.INC(OverallTable[F-Score], OverallTable[[#This Row],[F-Score]]),"")</f>
        <v>0.67</v>
      </c>
      <c r="S142" s="245">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0.63190000000000013</v>
      </c>
      <c r="T142" s="535">
        <f t="shared" ca="1" si="69"/>
        <v>0.83299999999999996</v>
      </c>
      <c r="U142" s="141">
        <f t="shared" ca="1" si="70"/>
        <v>0.28799999999999998</v>
      </c>
      <c r="V142" s="141">
        <f t="shared" ca="1" si="71"/>
        <v>0.433</v>
      </c>
      <c r="W142" s="141">
        <f t="shared" ca="1" si="72"/>
        <v>0.8</v>
      </c>
      <c r="X142" s="141">
        <f t="shared" ca="1" si="73"/>
        <v>0.71099999999999997</v>
      </c>
      <c r="Y142" s="141">
        <f t="shared" ca="1" si="74"/>
        <v>0.622</v>
      </c>
      <c r="Z142" s="141" t="str">
        <f>IFERROR(IF('CALLER Portal'!$Y$1 = "TRUE", OverallTable[[#This Row],[Name]],IF(AND('CALLER Portal'!$Y$1 = "FALSE", OverallTable[[#This Row],[Active]] = TRUE),OverallTable[[#This Row],[Name]],"(Blank)")),"")</f>
        <v xml:space="preserve">Rea French </v>
      </c>
      <c r="AB142" s="73" t="s">
        <v>383</v>
      </c>
    </row>
    <row r="143" spans="1:28" ht="15.75" thickBot="1" x14ac:dyDescent="0.3">
      <c r="A143" s="158" t="s">
        <v>383</v>
      </c>
      <c r="B143" s="134" t="b">
        <v>1</v>
      </c>
      <c r="C143" s="239">
        <f t="shared" ca="1" si="60"/>
        <v>69.965999999999994</v>
      </c>
      <c r="D143" s="239">
        <f t="shared" ca="1" si="61"/>
        <v>140</v>
      </c>
      <c r="E143" s="239">
        <f t="shared" ca="1" si="62"/>
        <v>82</v>
      </c>
      <c r="F143" s="239">
        <f t="shared" ca="1" si="63"/>
        <v>20</v>
      </c>
      <c r="G143" s="240">
        <f t="shared" ca="1" si="64"/>
        <v>359</v>
      </c>
      <c r="H143" s="241">
        <f t="shared" ca="1" si="65"/>
        <v>4417</v>
      </c>
      <c r="I143" s="241">
        <f t="shared" ca="1" si="66"/>
        <v>2305</v>
      </c>
      <c r="J143" s="241">
        <f t="shared" ca="1" si="67"/>
        <v>8987</v>
      </c>
      <c r="K143" s="242">
        <f ca="1">IFERROR(IF(AND('CALLER Portal'!$Y$1 = "False", OverallTable[[#This Row],[Active]] = FALSE), "",OverallTable[[#This Row],[Total Gifts]]/OverallTable[[#This Row],[Contacts]]),"")</f>
        <v>0.38997214484679665</v>
      </c>
      <c r="L143" s="242">
        <f ca="1">IF(AND('CALLER Portal'!$Y$1 = "False", OverallTable[[#This Row],[Active]] = FALSE), "", IF(C143 = 0,"",IFERROR((E143+F143)/D143,0)))</f>
        <v>0.72857142857142854</v>
      </c>
      <c r="M143" s="242">
        <f ca="1">IF(AND('CALLER Portal'!$Y$1 = "False", OverallTable[[#This Row],[Active]] = FALSE), "",IF(C143 = 0,"",IFERROR(F143/D143,0)))</f>
        <v>0.14285714285714285</v>
      </c>
      <c r="N143" s="243">
        <f ca="1">IF(AND('CALLER Portal'!$Y$1 = "False", OverallTable[[#This Row],[Active]] = FALSE), "", IFERROR((H143+I143)/C143,""))</f>
        <v>96.075236543463973</v>
      </c>
      <c r="O143" s="244">
        <f ca="1">IF(AND('CALLER Portal'!$Y$1 = "False", OverallTable[[#This Row],[Active]] = FALSE),"",IF(C143 = 0,"",IFERROR((E143+F143)/C143,0)))</f>
        <v>1.4578509561787154</v>
      </c>
      <c r="P143" s="244">
        <f ca="1">IF(AND('CALLER Portal'!$Y$1 = "False", OverallTable[[#This Row],[Active]] = FALSE), "", IF(C143 = 0,"",IFERROR((F143)/C143,0)))</f>
        <v>0.28585312866249324</v>
      </c>
      <c r="Q143" s="245">
        <f t="shared" ca="1" si="68"/>
        <v>5.1310636594917538</v>
      </c>
      <c r="R143" s="245">
        <f ca="1">IFERROR(_xlfn.PERCENTRANK.INC(OverallTable[F-Score], OverallTable[[#This Row],[F-Score]]),"")</f>
        <v>0.98799999999999999</v>
      </c>
      <c r="S143" s="245">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0.91620000000000001</v>
      </c>
      <c r="T143" s="535">
        <f t="shared" ca="1" si="69"/>
        <v>0.93300000000000005</v>
      </c>
      <c r="U143" s="141">
        <f t="shared" ca="1" si="70"/>
        <v>0.86599999999999999</v>
      </c>
      <c r="V143" s="141">
        <f t="shared" ca="1" si="71"/>
        <v>0.83299999999999996</v>
      </c>
      <c r="W143" s="141">
        <f t="shared" ca="1" si="72"/>
        <v>0.95499999999999996</v>
      </c>
      <c r="X143" s="141">
        <f t="shared" ca="1" si="73"/>
        <v>0.94399999999999995</v>
      </c>
      <c r="Y143" s="141">
        <f t="shared" ca="1" si="74"/>
        <v>0.93300000000000005</v>
      </c>
      <c r="Z143" s="141" t="str">
        <f>IFERROR(IF('CALLER Portal'!$Y$1 = "TRUE", OverallTable[[#This Row],[Name]],IF(AND('CALLER Portal'!$Y$1 = "FALSE", OverallTable[[#This Row],[Active]] = TRUE),OverallTable[[#This Row],[Name]],"(Blank)")),"")</f>
        <v xml:space="preserve">Rhodri Andrews </v>
      </c>
      <c r="AB143" s="73" t="s">
        <v>402</v>
      </c>
    </row>
    <row r="144" spans="1:28" ht="15.75" thickBot="1" x14ac:dyDescent="0.3">
      <c r="A144" s="158" t="s">
        <v>402</v>
      </c>
      <c r="B144" s="134" t="b">
        <v>1</v>
      </c>
      <c r="C144" s="239">
        <f t="shared" ca="1" si="60"/>
        <v>38.241</v>
      </c>
      <c r="D144" s="239">
        <f t="shared" ca="1" si="61"/>
        <v>100</v>
      </c>
      <c r="E144" s="239">
        <f t="shared" ca="1" si="62"/>
        <v>58</v>
      </c>
      <c r="F144" s="239">
        <f t="shared" ca="1" si="63"/>
        <v>6</v>
      </c>
      <c r="G144" s="240">
        <f t="shared" ca="1" si="64"/>
        <v>272</v>
      </c>
      <c r="H144" s="241">
        <f t="shared" ca="1" si="65"/>
        <v>2339</v>
      </c>
      <c r="I144" s="241">
        <f t="shared" ca="1" si="66"/>
        <v>660</v>
      </c>
      <c r="J144" s="241">
        <f t="shared" ca="1" si="67"/>
        <v>5044</v>
      </c>
      <c r="K144" s="242">
        <f ca="1">IFERROR(IF(AND('CALLER Portal'!$Y$1 = "False", OverallTable[[#This Row],[Active]] = FALSE), "",OverallTable[[#This Row],[Total Gifts]]/OverallTable[[#This Row],[Contacts]]),"")</f>
        <v>0.36764705882352944</v>
      </c>
      <c r="L144" s="242">
        <f ca="1">IF(AND('CALLER Portal'!$Y$1 = "False", OverallTable[[#This Row],[Active]] = FALSE), "", IF(C144 = 0,"",IFERROR((E144+F144)/D144,0)))</f>
        <v>0.64</v>
      </c>
      <c r="M144" s="242">
        <f ca="1">IF(AND('CALLER Portal'!$Y$1 = "False", OverallTable[[#This Row],[Active]] = FALSE), "",IF(C144 = 0,"",IFERROR(F144/D144,0)))</f>
        <v>0.06</v>
      </c>
      <c r="N144" s="243">
        <f ca="1">IF(AND('CALLER Portal'!$Y$1 = "False", OverallTable[[#This Row],[Active]] = FALSE), "", IFERROR((H144+I144)/C144,""))</f>
        <v>78.423681389085019</v>
      </c>
      <c r="O144" s="244">
        <f ca="1">IF(AND('CALLER Portal'!$Y$1 = "False", OverallTable[[#This Row],[Active]] = FALSE),"",IF(C144 = 0,"",IFERROR((E144+F144)/C144,0)))</f>
        <v>1.6735964017677363</v>
      </c>
      <c r="P144" s="244">
        <f ca="1">IF(AND('CALLER Portal'!$Y$1 = "False", OverallTable[[#This Row],[Active]] = FALSE), "", IF(C144 = 0,"",IFERROR((F144)/C144,0)))</f>
        <v>0.15689966266572528</v>
      </c>
      <c r="Q144" s="245">
        <f t="shared" ca="1" si="68"/>
        <v>7.1127847075128789</v>
      </c>
      <c r="R144" s="245">
        <f ca="1">IFERROR(_xlfn.PERCENTRANK.INC(OverallTable[F-Score], OverallTable[[#This Row],[F-Score]]),"")</f>
        <v>0.93100000000000005</v>
      </c>
      <c r="S144" s="245">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0.78410000000000002</v>
      </c>
      <c r="T144" s="535">
        <f t="shared" ca="1" si="69"/>
        <v>0.91100000000000003</v>
      </c>
      <c r="U144" s="141">
        <f t="shared" ca="1" si="70"/>
        <v>0.622</v>
      </c>
      <c r="V144" s="141">
        <f t="shared" ca="1" si="71"/>
        <v>0.42199999999999999</v>
      </c>
      <c r="W144" s="141">
        <f t="shared" ca="1" si="72"/>
        <v>0.83299999999999996</v>
      </c>
      <c r="X144" s="141">
        <f t="shared" ca="1" si="73"/>
        <v>0.98799999999999999</v>
      </c>
      <c r="Y144" s="141">
        <f t="shared" ca="1" si="74"/>
        <v>0.71099999999999997</v>
      </c>
      <c r="Z144" s="141" t="str">
        <f>IFERROR(IF('CALLER Portal'!$Y$1 = "TRUE", OverallTable[[#This Row],[Name]],IF(AND('CALLER Portal'!$Y$1 = "FALSE", OverallTable[[#This Row],[Active]] = TRUE),OverallTable[[#This Row],[Name]],"(Blank)")),"")</f>
        <v xml:space="preserve">Ricardo Fitz </v>
      </c>
      <c r="AB144" s="73" t="s">
        <v>290</v>
      </c>
    </row>
    <row r="145" spans="1:28" ht="15.75" thickBot="1" x14ac:dyDescent="0.3">
      <c r="A145" s="82" t="s">
        <v>290</v>
      </c>
      <c r="B145" s="134" t="b">
        <v>1</v>
      </c>
      <c r="C145" s="83">
        <f t="shared" ca="1" si="60"/>
        <v>23.824999999999999</v>
      </c>
      <c r="D145" s="83">
        <f t="shared" ca="1" si="61"/>
        <v>41</v>
      </c>
      <c r="E145" s="83">
        <f t="shared" ca="1" si="62"/>
        <v>28</v>
      </c>
      <c r="F145" s="83">
        <f t="shared" ca="1" si="63"/>
        <v>3</v>
      </c>
      <c r="G145" s="107">
        <f t="shared" ca="1" si="64"/>
        <v>156</v>
      </c>
      <c r="H145" s="84">
        <f t="shared" ca="1" si="65"/>
        <v>895</v>
      </c>
      <c r="I145" s="84">
        <f t="shared" ca="1" si="66"/>
        <v>276</v>
      </c>
      <c r="J145" s="84">
        <f t="shared" ca="1" si="67"/>
        <v>1781</v>
      </c>
      <c r="K145" s="92">
        <f ca="1">IFERROR(IF(AND('CALLER Portal'!$Y$1 = "False", OverallTable[[#This Row],[Active]] = FALSE), "",OverallTable[[#This Row],[Total Gifts]]/OverallTable[[#This Row],[Contacts]]),"")</f>
        <v>0.26282051282051283</v>
      </c>
      <c r="L145" s="92">
        <f ca="1">IF(AND('CALLER Portal'!$Y$1 = "False", OverallTable[[#This Row],[Active]] = FALSE), "", IF(C145 = 0,"",IFERROR((E145+F145)/D145,0)))</f>
        <v>0.75609756097560976</v>
      </c>
      <c r="M145" s="92">
        <f ca="1">IF(AND('CALLER Portal'!$Y$1 = "False", OverallTable[[#This Row],[Active]] = FALSE), "",IF(C145 = 0,"",IFERROR(F145/D145,0)))</f>
        <v>7.3170731707317069E-2</v>
      </c>
      <c r="N145" s="85">
        <f ca="1">IF(AND('CALLER Portal'!$Y$1 = "False", OverallTable[[#This Row],[Active]] = FALSE), "", IFERROR((H145+I145)/C145,""))</f>
        <v>49.150052465897168</v>
      </c>
      <c r="O145" s="170">
        <f ca="1">IF(AND('CALLER Portal'!$Y$1 = "False", OverallTable[[#This Row],[Active]] = FALSE),"",IF(C145 = 0,"",IFERROR((E145+F145)/C145,0)))</f>
        <v>1.3011542497376705</v>
      </c>
      <c r="P145" s="170">
        <f ca="1">IF(AND('CALLER Portal'!$Y$1 = "False", OverallTable[[#This Row],[Active]] = FALSE), "", IF(C145 = 0,"",IFERROR((F145)/C145,0)))</f>
        <v>0.12591815320041974</v>
      </c>
      <c r="Q145" s="86">
        <f t="shared" ca="1" si="68"/>
        <v>6.5477439664218258</v>
      </c>
      <c r="R145" s="86">
        <f ca="1">IFERROR(_xlfn.PERCENTRANK.INC(OverallTable[F-Score], OverallTable[[#This Row],[F-Score]]),"")</f>
        <v>0.69299999999999995</v>
      </c>
      <c r="S145" s="86">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0.64410000000000001</v>
      </c>
      <c r="T145" s="274">
        <f t="shared" ca="1" si="69"/>
        <v>0.46600000000000003</v>
      </c>
      <c r="U145" s="117">
        <f t="shared" ca="1" si="70"/>
        <v>0.91100000000000003</v>
      </c>
      <c r="V145" s="117">
        <f t="shared" ca="1" si="71"/>
        <v>0.56599999999999995</v>
      </c>
      <c r="W145" s="117">
        <f t="shared" ca="1" si="72"/>
        <v>0.433</v>
      </c>
      <c r="X145" s="117">
        <f t="shared" ca="1" si="73"/>
        <v>0.81100000000000005</v>
      </c>
      <c r="Y145" s="117">
        <f t="shared" ca="1" si="74"/>
        <v>0.63300000000000001</v>
      </c>
      <c r="Z145" s="141" t="str">
        <f>IFERROR(IF('CALLER Portal'!$Y$1 = "TRUE", OverallTable[[#This Row],[Name]],IF(AND('CALLER Portal'!$Y$1 = "FALSE", OverallTable[[#This Row],[Active]] = TRUE),OverallTable[[#This Row],[Name]],"(Blank)")),"")</f>
        <v xml:space="preserve">Riley McNeil </v>
      </c>
      <c r="AB145" s="73" t="s">
        <v>277</v>
      </c>
    </row>
    <row r="146" spans="1:28" ht="15.75" thickBot="1" x14ac:dyDescent="0.3">
      <c r="A146" s="151" t="s">
        <v>277</v>
      </c>
      <c r="B146" s="134" t="b">
        <v>1</v>
      </c>
      <c r="C146" s="152">
        <f t="shared" ca="1" si="60"/>
        <v>101.922</v>
      </c>
      <c r="D146" s="152">
        <f t="shared" ca="1" si="61"/>
        <v>223</v>
      </c>
      <c r="E146" s="152">
        <f t="shared" ca="1" si="62"/>
        <v>121</v>
      </c>
      <c r="F146" s="152">
        <f t="shared" ca="1" si="63"/>
        <v>18</v>
      </c>
      <c r="G146" s="153">
        <f t="shared" ca="1" si="64"/>
        <v>539</v>
      </c>
      <c r="H146" s="154">
        <f t="shared" ca="1" si="65"/>
        <v>5891.5</v>
      </c>
      <c r="I146" s="154">
        <f t="shared" ca="1" si="66"/>
        <v>2580</v>
      </c>
      <c r="J146" s="154">
        <f t="shared" ca="1" si="67"/>
        <v>12206.5</v>
      </c>
      <c r="K146" s="155">
        <f ca="1">IFERROR(IF(AND('CALLER Portal'!$Y$1 = "False", OverallTable[[#This Row],[Active]] = FALSE), "",OverallTable[[#This Row],[Total Gifts]]/OverallTable[[#This Row],[Contacts]]),"")</f>
        <v>0.4137291280148423</v>
      </c>
      <c r="L146" s="155">
        <f ca="1">IF(AND('CALLER Portal'!$Y$1 = "False", OverallTable[[#This Row],[Active]] = FALSE), "", IF(C146 = 0,"",IFERROR((E146+F146)/D146,0)))</f>
        <v>0.62331838565022424</v>
      </c>
      <c r="M146" s="155">
        <f ca="1">IF(AND('CALLER Portal'!$Y$1 = "False", OverallTable[[#This Row],[Active]] = FALSE), "",IF(C146 = 0,"",IFERROR(F146/D146,0)))</f>
        <v>8.0717488789237665E-2</v>
      </c>
      <c r="N146" s="156">
        <f ca="1">IF(AND('CALLER Portal'!$Y$1 = "False", OverallTable[[#This Row],[Active]] = FALSE), "", IFERROR((H146+I146)/C146,""))</f>
        <v>83.11748199603619</v>
      </c>
      <c r="O146" s="171">
        <f ca="1">IF(AND('CALLER Portal'!$Y$1 = "False", OverallTable[[#This Row],[Active]] = FALSE),"",IF(C146 = 0,"",IFERROR((E146+F146)/C146,0)))</f>
        <v>1.3637879947410765</v>
      </c>
      <c r="P146" s="171">
        <f ca="1">IF(AND('CALLER Portal'!$Y$1 = "False", OverallTable[[#This Row],[Active]] = FALSE), "", IF(C146 = 0,"",IFERROR((F146)/C146,0)))</f>
        <v>0.17660563960675812</v>
      </c>
      <c r="Q146" s="157">
        <f t="shared" ca="1" si="68"/>
        <v>5.2883577637801453</v>
      </c>
      <c r="R146" s="157">
        <f ca="1">IFERROR(_xlfn.PERCENTRANK.INC(OverallTable[F-Score], OverallTable[[#This Row],[F-Score]]),"")</f>
        <v>0.95399999999999996</v>
      </c>
      <c r="S146" s="157">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0.80810000000000004</v>
      </c>
      <c r="T146" s="246">
        <f t="shared" ca="1" si="69"/>
        <v>0.97699999999999998</v>
      </c>
      <c r="U146" s="141">
        <f t="shared" ca="1" si="70"/>
        <v>0.58799999999999997</v>
      </c>
      <c r="V146" s="141">
        <f t="shared" ca="1" si="71"/>
        <v>0.63300000000000001</v>
      </c>
      <c r="W146" s="141">
        <f t="shared" ca="1" si="72"/>
        <v>0.88800000000000001</v>
      </c>
      <c r="X146" s="141">
        <f t="shared" ca="1" si="73"/>
        <v>0.877</v>
      </c>
      <c r="Y146" s="141">
        <f t="shared" ca="1" si="74"/>
        <v>0.78800000000000003</v>
      </c>
      <c r="Z146" s="141" t="str">
        <f>IFERROR(IF('CALLER Portal'!$Y$1 = "TRUE", OverallTable[[#This Row],[Name]],IF(AND('CALLER Portal'!$Y$1 = "FALSE", OverallTable[[#This Row],[Active]] = TRUE),OverallTable[[#This Row],[Name]],"(Blank)")),"")</f>
        <v xml:space="preserve">Rogan Brooks </v>
      </c>
      <c r="AB146" s="73" t="s">
        <v>416</v>
      </c>
    </row>
    <row r="147" spans="1:28" ht="15.75" thickBot="1" x14ac:dyDescent="0.3">
      <c r="A147" s="82" t="s">
        <v>416</v>
      </c>
      <c r="B147" s="134" t="b">
        <v>1</v>
      </c>
      <c r="C147" s="91">
        <f t="shared" ca="1" si="60"/>
        <v>0</v>
      </c>
      <c r="D147" s="91">
        <f t="shared" ca="1" si="61"/>
        <v>0</v>
      </c>
      <c r="E147" s="91">
        <f t="shared" ca="1" si="62"/>
        <v>0</v>
      </c>
      <c r="F147" s="91">
        <f t="shared" ca="1" si="63"/>
        <v>0</v>
      </c>
      <c r="G147" s="107">
        <f t="shared" ca="1" si="64"/>
        <v>0</v>
      </c>
      <c r="H147" s="84">
        <f t="shared" ca="1" si="65"/>
        <v>0</v>
      </c>
      <c r="I147" s="84">
        <f t="shared" ca="1" si="66"/>
        <v>0</v>
      </c>
      <c r="J147" s="84">
        <f t="shared" ca="1" si="67"/>
        <v>0</v>
      </c>
      <c r="K147" s="92" t="str">
        <f ca="1">IFERROR(IF(AND('CALLER Portal'!$Y$1 = "False", OverallTable[[#This Row],[Active]] = FALSE), "",OverallTable[[#This Row],[Total Gifts]]/OverallTable[[#This Row],[Contacts]]),"")</f>
        <v/>
      </c>
      <c r="L147" s="92" t="str">
        <f ca="1">IF(AND('CALLER Portal'!$Y$1 = "False", OverallTable[[#This Row],[Active]] = FALSE), "", IF(C147 = 0,"",IFERROR((E147+F147)/D147,0)))</f>
        <v/>
      </c>
      <c r="M147" s="92" t="str">
        <f ca="1">IF(AND('CALLER Portal'!$Y$1 = "False", OverallTable[[#This Row],[Active]] = FALSE), "",IF(C147 = 0,"",IFERROR(F147/D147,0)))</f>
        <v/>
      </c>
      <c r="N147" s="85" t="str">
        <f ca="1">IF(AND('CALLER Portal'!$Y$1 = "False", OverallTable[[#This Row],[Active]] = FALSE), "", IFERROR((H147+I147)/C147,""))</f>
        <v/>
      </c>
      <c r="O147" s="173" t="str">
        <f ca="1">IF(AND('CALLER Portal'!$Y$1 = "False", OverallTable[[#This Row],[Active]] = FALSE),"",IF(C147 = 0,"",IFERROR((E147+F147)/C147,0)))</f>
        <v/>
      </c>
      <c r="P147" s="173" t="str">
        <f ca="1">IF(AND('CALLER Portal'!$Y$1 = "False", OverallTable[[#This Row],[Active]] = FALSE), "", IF(C147 = 0,"",IFERROR((F147)/C147,0)))</f>
        <v/>
      </c>
      <c r="Q147" s="86" t="str">
        <f t="shared" ca="1" si="68"/>
        <v/>
      </c>
      <c r="R147" s="86" t="str">
        <f ca="1">IFERROR(_xlfn.PERCENTRANK.INC(OverallTable[F-Score], OverallTable[[#This Row],[F-Score]]),"")</f>
        <v/>
      </c>
      <c r="S147"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147" s="273" t="str">
        <f t="shared" ca="1" si="69"/>
        <v/>
      </c>
      <c r="U147" s="117" t="str">
        <f t="shared" ca="1" si="70"/>
        <v/>
      </c>
      <c r="V147" s="117" t="str">
        <f t="shared" ca="1" si="71"/>
        <v/>
      </c>
      <c r="W147" s="117" t="str">
        <f t="shared" ca="1" si="72"/>
        <v/>
      </c>
      <c r="X147" s="117" t="str">
        <f t="shared" ca="1" si="73"/>
        <v/>
      </c>
      <c r="Y147" s="117" t="str">
        <f t="shared" ca="1" si="74"/>
        <v/>
      </c>
      <c r="Z147" s="141" t="str">
        <f>IFERROR(IF('CALLER Portal'!$Y$1 = "TRUE", OverallTable[[#This Row],[Name]],IF(AND('CALLER Portal'!$Y$1 = "FALSE", OverallTable[[#This Row],[Active]] = TRUE),OverallTable[[#This Row],[Name]],"(Blank)")),"")</f>
        <v xml:space="preserve">Roger Kolson </v>
      </c>
      <c r="AB147" s="73" t="s">
        <v>342</v>
      </c>
    </row>
    <row r="148" spans="1:28" ht="15.75" thickBot="1" x14ac:dyDescent="0.3">
      <c r="A148" s="158" t="s">
        <v>342</v>
      </c>
      <c r="B148" s="134" t="b">
        <v>1</v>
      </c>
      <c r="C148" s="239">
        <f t="shared" ca="1" si="60"/>
        <v>54.613</v>
      </c>
      <c r="D148" s="239">
        <f t="shared" ca="1" si="61"/>
        <v>137</v>
      </c>
      <c r="E148" s="239">
        <f t="shared" ca="1" si="62"/>
        <v>77</v>
      </c>
      <c r="F148" s="239">
        <f t="shared" ca="1" si="63"/>
        <v>5</v>
      </c>
      <c r="G148" s="240">
        <f t="shared" ca="1" si="64"/>
        <v>345</v>
      </c>
      <c r="H148" s="241">
        <f t="shared" ca="1" si="65"/>
        <v>10920</v>
      </c>
      <c r="I148" s="241">
        <f t="shared" ca="1" si="66"/>
        <v>540</v>
      </c>
      <c r="J148" s="241">
        <f t="shared" ca="1" si="67"/>
        <v>15195</v>
      </c>
      <c r="K148" s="242">
        <f ca="1">IFERROR(IF(AND('CALLER Portal'!$Y$1 = "False", OverallTable[[#This Row],[Active]] = FALSE), "",OverallTable[[#This Row],[Total Gifts]]/OverallTable[[#This Row],[Contacts]]),"")</f>
        <v>0.39710144927536234</v>
      </c>
      <c r="L148" s="242">
        <f ca="1">IF(AND('CALLER Portal'!$Y$1 = "False", OverallTable[[#This Row],[Active]] = FALSE), "", IF(C148 = 0,"",IFERROR((E148+F148)/D148,0)))</f>
        <v>0.59854014598540151</v>
      </c>
      <c r="M148" s="242">
        <f ca="1">IF(AND('CALLER Portal'!$Y$1 = "False", OverallTable[[#This Row],[Active]] = FALSE), "",IF(C148 = 0,"",IFERROR(F148/D148,0)))</f>
        <v>3.6496350364963501E-2</v>
      </c>
      <c r="N148" s="243">
        <f ca="1">IF(AND('CALLER Portal'!$Y$1 = "False", OverallTable[[#This Row],[Active]] = FALSE), "", IFERROR((H148+I148)/C148,""))</f>
        <v>209.84014795012178</v>
      </c>
      <c r="O148" s="244">
        <f ca="1">IF(AND('CALLER Portal'!$Y$1 = "False", OverallTable[[#This Row],[Active]] = FALSE),"",IF(C148 = 0,"",IFERROR((E148+F148)/C148,0)))</f>
        <v>1.5014740080200686</v>
      </c>
      <c r="P148" s="244">
        <f ca="1">IF(AND('CALLER Portal'!$Y$1 = "False", OverallTable[[#This Row],[Active]] = FALSE), "", IF(C148 = 0,"",IFERROR((F148)/C148,0)))</f>
        <v>9.1553293171955402E-2</v>
      </c>
      <c r="Q148" s="245">
        <f t="shared" ca="1" si="68"/>
        <v>6.3171772288649226</v>
      </c>
      <c r="R148" s="245">
        <f ca="1">IFERROR(_xlfn.PERCENTRANK.INC(OverallTable[F-Score], OverallTable[[#This Row],[F-Score]]),"")</f>
        <v>0.90900000000000003</v>
      </c>
      <c r="S148" s="245">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0.76400000000000001</v>
      </c>
      <c r="T148" s="246">
        <f t="shared" ca="1" si="69"/>
        <v>0.94399999999999995</v>
      </c>
      <c r="U148" s="141">
        <f t="shared" ca="1" si="70"/>
        <v>0.5</v>
      </c>
      <c r="V148" s="141">
        <f t="shared" ca="1" si="71"/>
        <v>0.32200000000000001</v>
      </c>
      <c r="W148" s="141">
        <f t="shared" ca="1" si="72"/>
        <v>0.98799999999999999</v>
      </c>
      <c r="X148" s="141">
        <f t="shared" ca="1" si="73"/>
        <v>0.97699999999999998</v>
      </c>
      <c r="Y148" s="141">
        <f t="shared" ca="1" si="74"/>
        <v>0.5</v>
      </c>
      <c r="Z148" s="141" t="str">
        <f>IFERROR(IF('CALLER Portal'!$Y$1 = "TRUE", OverallTable[[#This Row],[Name]],IF(AND('CALLER Portal'!$Y$1 = "FALSE", OverallTable[[#This Row],[Active]] = TRUE),OverallTable[[#This Row],[Name]],"(Blank)")),"")</f>
        <v xml:space="preserve">Roland Berg </v>
      </c>
      <c r="AB148" s="73" t="s">
        <v>341</v>
      </c>
    </row>
    <row r="149" spans="1:28" ht="15.75" thickBot="1" x14ac:dyDescent="0.3">
      <c r="A149" s="82" t="s">
        <v>341</v>
      </c>
      <c r="B149" s="134" t="b">
        <v>1</v>
      </c>
      <c r="C149" s="83">
        <f t="shared" ca="1" si="60"/>
        <v>47.762000000000008</v>
      </c>
      <c r="D149" s="83">
        <f t="shared" ca="1" si="61"/>
        <v>73</v>
      </c>
      <c r="E149" s="83">
        <f t="shared" ca="1" si="62"/>
        <v>31</v>
      </c>
      <c r="F149" s="83">
        <f t="shared" ca="1" si="63"/>
        <v>8</v>
      </c>
      <c r="G149" s="107">
        <f t="shared" ca="1" si="64"/>
        <v>226</v>
      </c>
      <c r="H149" s="84">
        <f t="shared" ca="1" si="65"/>
        <v>1888</v>
      </c>
      <c r="I149" s="84">
        <f t="shared" ca="1" si="66"/>
        <v>960</v>
      </c>
      <c r="J149" s="84">
        <f t="shared" ca="1" si="67"/>
        <v>4868</v>
      </c>
      <c r="K149" s="92">
        <f ca="1">IFERROR(IF(AND('CALLER Portal'!$Y$1 = "False", OverallTable[[#This Row],[Active]] = FALSE), "",OverallTable[[#This Row],[Total Gifts]]/OverallTable[[#This Row],[Contacts]]),"")</f>
        <v>0.32300884955752213</v>
      </c>
      <c r="L149" s="92">
        <f ca="1">IF(AND('CALLER Portal'!$Y$1 = "False", OverallTable[[#This Row],[Active]] = FALSE), "", IF(C149 = 0,"",IFERROR((E149+F149)/D149,0)))</f>
        <v>0.53424657534246578</v>
      </c>
      <c r="M149" s="92">
        <f ca="1">IF(AND('CALLER Portal'!$Y$1 = "False", OverallTable[[#This Row],[Active]] = FALSE), "",IF(C149 = 0,"",IFERROR(F149/D149,0)))</f>
        <v>0.1095890410958904</v>
      </c>
      <c r="N149" s="85">
        <f ca="1">IF(AND('CALLER Portal'!$Y$1 = "False", OverallTable[[#This Row],[Active]] = FALSE), "", IFERROR((H149+I149)/C149,""))</f>
        <v>59.628993760730275</v>
      </c>
      <c r="O149" s="170">
        <f ca="1">IF(AND('CALLER Portal'!$Y$1 = "False", OverallTable[[#This Row],[Active]] = FALSE),"",IF(C149 = 0,"",IFERROR((E149+F149)/C149,0)))</f>
        <v>0.81654872074033735</v>
      </c>
      <c r="P149" s="170">
        <f ca="1">IF(AND('CALLER Portal'!$Y$1 = "False", OverallTable[[#This Row],[Active]] = FALSE), "", IF(C149 = 0,"",IFERROR((F149)/C149,0)))</f>
        <v>0.16749717348519741</v>
      </c>
      <c r="Q149" s="86">
        <f t="shared" ca="1" si="68"/>
        <v>4.7317951509568266</v>
      </c>
      <c r="R149" s="86">
        <f ca="1">IFERROR(_xlfn.PERCENTRANK.INC(OverallTable[F-Score], OverallTable[[#This Row],[F-Score]]),"")</f>
        <v>0.55600000000000005</v>
      </c>
      <c r="S149" s="86">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0.55630000000000002</v>
      </c>
      <c r="T149" s="273">
        <f t="shared" ca="1" si="69"/>
        <v>0.74399999999999999</v>
      </c>
      <c r="U149" s="117">
        <f t="shared" ca="1" si="70"/>
        <v>0.24399999999999999</v>
      </c>
      <c r="V149" s="117">
        <f t="shared" ca="1" si="71"/>
        <v>0.72199999999999998</v>
      </c>
      <c r="W149" s="117">
        <f t="shared" ca="1" si="72"/>
        <v>0.622</v>
      </c>
      <c r="X149" s="117">
        <f t="shared" ca="1" si="73"/>
        <v>0.433</v>
      </c>
      <c r="Y149" s="117">
        <f t="shared" ca="1" si="74"/>
        <v>0.755</v>
      </c>
      <c r="Z149" s="141" t="str">
        <f>IFERROR(IF('CALLER Portal'!$Y$1 = "TRUE", OverallTable[[#This Row],[Name]],IF(AND('CALLER Portal'!$Y$1 = "FALSE", OverallTable[[#This Row],[Active]] = TRUE),OverallTable[[#This Row],[Name]],"(Blank)")),"")</f>
        <v xml:space="preserve">Sam Pong </v>
      </c>
      <c r="AB149" s="73" t="s">
        <v>396</v>
      </c>
    </row>
    <row r="150" spans="1:28" ht="15.75" thickBot="1" x14ac:dyDescent="0.3">
      <c r="A150" s="82" t="s">
        <v>396</v>
      </c>
      <c r="B150" s="134" t="b">
        <v>1</v>
      </c>
      <c r="C150" s="83">
        <f t="shared" ca="1" si="60"/>
        <v>0</v>
      </c>
      <c r="D150" s="83">
        <f t="shared" ca="1" si="61"/>
        <v>0</v>
      </c>
      <c r="E150" s="83">
        <f t="shared" ca="1" si="62"/>
        <v>0</v>
      </c>
      <c r="F150" s="83">
        <f t="shared" ca="1" si="63"/>
        <v>0</v>
      </c>
      <c r="G150" s="107">
        <f t="shared" ca="1" si="64"/>
        <v>0</v>
      </c>
      <c r="H150" s="84">
        <f t="shared" ca="1" si="65"/>
        <v>0</v>
      </c>
      <c r="I150" s="84">
        <f t="shared" ca="1" si="66"/>
        <v>0</v>
      </c>
      <c r="J150" s="84">
        <f t="shared" ca="1" si="67"/>
        <v>0</v>
      </c>
      <c r="K150" s="92" t="str">
        <f ca="1">IFERROR(IF(AND('CALLER Portal'!$Y$1 = "False", OverallTable[[#This Row],[Active]] = FALSE), "",OverallTable[[#This Row],[Total Gifts]]/OverallTable[[#This Row],[Contacts]]),"")</f>
        <v/>
      </c>
      <c r="L150" s="92" t="str">
        <f ca="1">IF(AND('CALLER Portal'!$Y$1 = "False", OverallTable[[#This Row],[Active]] = FALSE), "", IF(C150 = 0,"",IFERROR((E150+F150)/D150,0)))</f>
        <v/>
      </c>
      <c r="M150" s="92" t="str">
        <f ca="1">IF(AND('CALLER Portal'!$Y$1 = "False", OverallTable[[#This Row],[Active]] = FALSE), "",IF(C150 = 0,"",IFERROR(F150/D150,0)))</f>
        <v/>
      </c>
      <c r="N150" s="85" t="str">
        <f ca="1">IF(AND('CALLER Portal'!$Y$1 = "False", OverallTable[[#This Row],[Active]] = FALSE), "", IFERROR((H150+I150)/C150,""))</f>
        <v/>
      </c>
      <c r="O150" s="170" t="str">
        <f ca="1">IF(AND('CALLER Portal'!$Y$1 = "False", OverallTable[[#This Row],[Active]] = FALSE),"",IF(C150 = 0,"",IFERROR((E150+F150)/C150,0)))</f>
        <v/>
      </c>
      <c r="P150" s="170" t="str">
        <f ca="1">IF(AND('CALLER Portal'!$Y$1 = "False", OverallTable[[#This Row],[Active]] = FALSE), "", IF(C150 = 0,"",IFERROR((F150)/C150,0)))</f>
        <v/>
      </c>
      <c r="Q150" s="86" t="str">
        <f t="shared" ca="1" si="68"/>
        <v/>
      </c>
      <c r="R150" s="86" t="str">
        <f ca="1">IFERROR(_xlfn.PERCENTRANK.INC(OverallTable[F-Score], OverallTable[[#This Row],[F-Score]]),"")</f>
        <v/>
      </c>
      <c r="S150"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150" s="273" t="str">
        <f t="shared" ca="1" si="69"/>
        <v/>
      </c>
      <c r="U150" s="117" t="str">
        <f t="shared" ca="1" si="70"/>
        <v/>
      </c>
      <c r="V150" s="117" t="str">
        <f t="shared" ca="1" si="71"/>
        <v/>
      </c>
      <c r="W150" s="117" t="str">
        <f t="shared" ca="1" si="72"/>
        <v/>
      </c>
      <c r="X150" s="117" t="str">
        <f t="shared" ca="1" si="73"/>
        <v/>
      </c>
      <c r="Y150" s="117" t="str">
        <f t="shared" ca="1" si="74"/>
        <v/>
      </c>
      <c r="Z150" s="141" t="str">
        <f>IFERROR(IF('CALLER Portal'!$Y$1 = "TRUE", OverallTable[[#This Row],[Name]],IF(AND('CALLER Portal'!$Y$1 = "FALSE", OverallTable[[#This Row],[Active]] = TRUE),OverallTable[[#This Row],[Name]],"(Blank)")),"")</f>
        <v xml:space="preserve">Samantha Hamiliton </v>
      </c>
      <c r="AB150" s="73" t="s">
        <v>324</v>
      </c>
    </row>
    <row r="151" spans="1:28" ht="15.75" thickBot="1" x14ac:dyDescent="0.3">
      <c r="A151" s="82" t="s">
        <v>324</v>
      </c>
      <c r="B151" s="134" t="b">
        <v>1</v>
      </c>
      <c r="C151" s="83">
        <f t="shared" ca="1" si="60"/>
        <v>33.74</v>
      </c>
      <c r="D151" s="83">
        <f t="shared" ca="1" si="61"/>
        <v>50</v>
      </c>
      <c r="E151" s="83">
        <f t="shared" ca="1" si="62"/>
        <v>25</v>
      </c>
      <c r="F151" s="83">
        <f t="shared" ca="1" si="63"/>
        <v>7</v>
      </c>
      <c r="G151" s="107">
        <f t="shared" ca="1" si="64"/>
        <v>160</v>
      </c>
      <c r="H151" s="84">
        <f t="shared" ca="1" si="65"/>
        <v>1255</v>
      </c>
      <c r="I151" s="84">
        <f t="shared" ca="1" si="66"/>
        <v>685</v>
      </c>
      <c r="J151" s="84">
        <f t="shared" ca="1" si="67"/>
        <v>2880</v>
      </c>
      <c r="K151" s="92">
        <f ca="1">IFERROR(IF(AND('CALLER Portal'!$Y$1 = "False", OverallTable[[#This Row],[Active]] = FALSE), "",OverallTable[[#This Row],[Total Gifts]]/OverallTable[[#This Row],[Contacts]]),"")</f>
        <v>0.3125</v>
      </c>
      <c r="L151" s="92">
        <f ca="1">IF(AND('CALLER Portal'!$Y$1 = "False", OverallTable[[#This Row],[Active]] = FALSE), "", IF(C151 = 0,"",IFERROR((E151+F151)/D151,0)))</f>
        <v>0.64</v>
      </c>
      <c r="M151" s="92">
        <f ca="1">IF(AND('CALLER Portal'!$Y$1 = "False", OverallTable[[#This Row],[Active]] = FALSE), "",IF(C151 = 0,"",IFERROR(F151/D151,0)))</f>
        <v>0.14000000000000001</v>
      </c>
      <c r="N151" s="85">
        <f ca="1">IF(AND('CALLER Portal'!$Y$1 = "False", OverallTable[[#This Row],[Active]] = FALSE), "", IFERROR((H151+I151)/C151,""))</f>
        <v>57.498518079430937</v>
      </c>
      <c r="O151" s="170">
        <f ca="1">IF(AND('CALLER Portal'!$Y$1 = "False", OverallTable[[#This Row],[Active]] = FALSE),"",IF(C151 = 0,"",IFERROR((E151+F151)/C151,0)))</f>
        <v>0.94842916419679901</v>
      </c>
      <c r="P151" s="170">
        <f ca="1">IF(AND('CALLER Portal'!$Y$1 = "False", OverallTable[[#This Row],[Active]] = FALSE), "", IF(C151 = 0,"",IFERROR((F151)/C151,0)))</f>
        <v>0.20746887966804978</v>
      </c>
      <c r="Q151" s="86">
        <f t="shared" ca="1" si="68"/>
        <v>4.7421458209839953</v>
      </c>
      <c r="R151" s="86">
        <f ca="1">IFERROR(_xlfn.PERCENTRANK.INC(OverallTable[F-Score], OverallTable[[#This Row],[F-Score]]),"")</f>
        <v>0.70399999999999996</v>
      </c>
      <c r="S151" s="86">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0.65169999999999995</v>
      </c>
      <c r="T151" s="273">
        <f t="shared" ca="1" si="69"/>
        <v>0.67700000000000005</v>
      </c>
      <c r="U151" s="117">
        <f t="shared" ca="1" si="70"/>
        <v>0.622</v>
      </c>
      <c r="V151" s="117">
        <f t="shared" ca="1" si="71"/>
        <v>0.82199999999999995</v>
      </c>
      <c r="W151" s="117">
        <f t="shared" ca="1" si="72"/>
        <v>0.57699999999999996</v>
      </c>
      <c r="X151" s="117">
        <f t="shared" ca="1" si="73"/>
        <v>0.56599999999999995</v>
      </c>
      <c r="Y151" s="117">
        <f t="shared" ca="1" si="74"/>
        <v>0.81100000000000005</v>
      </c>
      <c r="Z151" s="141" t="str">
        <f>IFERROR(IF('CALLER Portal'!$Y$1 = "TRUE", OverallTable[[#This Row],[Name]],IF(AND('CALLER Portal'!$Y$1 = "FALSE", OverallTable[[#This Row],[Active]] = TRUE),OverallTable[[#This Row],[Name]],"(Blank)")),"")</f>
        <v xml:space="preserve">Samuel Dayo </v>
      </c>
      <c r="AB151" s="73" t="s">
        <v>323</v>
      </c>
    </row>
    <row r="152" spans="1:28" ht="15.75" thickBot="1" x14ac:dyDescent="0.3">
      <c r="A152" s="158" t="s">
        <v>323</v>
      </c>
      <c r="B152" s="134" t="b">
        <v>1</v>
      </c>
      <c r="C152" s="239">
        <f t="shared" ca="1" si="60"/>
        <v>17.190000000000001</v>
      </c>
      <c r="D152" s="239">
        <f t="shared" ca="1" si="61"/>
        <v>30</v>
      </c>
      <c r="E152" s="239">
        <f t="shared" ca="1" si="62"/>
        <v>18</v>
      </c>
      <c r="F152" s="239">
        <f t="shared" ca="1" si="63"/>
        <v>0</v>
      </c>
      <c r="G152" s="240">
        <f t="shared" ca="1" si="64"/>
        <v>92</v>
      </c>
      <c r="H152" s="241">
        <f t="shared" ca="1" si="65"/>
        <v>467</v>
      </c>
      <c r="I152" s="241">
        <f t="shared" ca="1" si="66"/>
        <v>0</v>
      </c>
      <c r="J152" s="241">
        <f t="shared" ca="1" si="67"/>
        <v>967</v>
      </c>
      <c r="K152" s="242">
        <f ca="1">IFERROR(IF(AND('CALLER Portal'!$Y$1 = "False", OverallTable[[#This Row],[Active]] = FALSE), "",OverallTable[[#This Row],[Total Gifts]]/OverallTable[[#This Row],[Contacts]]),"")</f>
        <v>0.32608695652173914</v>
      </c>
      <c r="L152" s="242">
        <f ca="1">IF(AND('CALLER Portal'!$Y$1 = "False", OverallTable[[#This Row],[Active]] = FALSE), "", IF(C152 = 0,"",IFERROR((E152+F152)/D152,0)))</f>
        <v>0.6</v>
      </c>
      <c r="M152" s="242">
        <f ca="1">IF(AND('CALLER Portal'!$Y$1 = "False", OverallTable[[#This Row],[Active]] = FALSE), "",IF(C152 = 0,"",IFERROR(F152/D152,0)))</f>
        <v>0</v>
      </c>
      <c r="N152" s="243">
        <f ca="1">IF(AND('CALLER Portal'!$Y$1 = "False", OverallTable[[#This Row],[Active]] = FALSE), "", IFERROR((H152+I152)/C152,""))</f>
        <v>27.166957533449679</v>
      </c>
      <c r="O152" s="244">
        <f ca="1">IF(AND('CALLER Portal'!$Y$1 = "False", OverallTable[[#This Row],[Active]] = FALSE),"",IF(C152 = 0,"",IFERROR((E152+F152)/C152,0)))</f>
        <v>1.0471204188481675</v>
      </c>
      <c r="P152" s="244">
        <f ca="1">IF(AND('CALLER Portal'!$Y$1 = "False", OverallTable[[#This Row],[Active]] = FALSE), "", IF(C152 = 0,"",IFERROR((F152)/C152,0)))</f>
        <v>0</v>
      </c>
      <c r="Q152" s="245">
        <f t="shared" ca="1" si="68"/>
        <v>5.3519488074461892</v>
      </c>
      <c r="R152" s="245">
        <f ca="1">IFERROR(_xlfn.PERCENTRANK.INC(OverallTable[F-Score], OverallTable[[#This Row],[F-Score]]),"")</f>
        <v>0.35199999999999998</v>
      </c>
      <c r="S152" s="245">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0.4108</v>
      </c>
      <c r="T152" s="246">
        <f t="shared" ca="1" si="69"/>
        <v>0.76600000000000001</v>
      </c>
      <c r="U152" s="141">
        <f t="shared" ca="1" si="70"/>
        <v>0.51100000000000001</v>
      </c>
      <c r="V152" s="141">
        <f t="shared" ca="1" si="71"/>
        <v>1.0999999999999999E-2</v>
      </c>
      <c r="W152" s="141">
        <f t="shared" ca="1" si="72"/>
        <v>0.111</v>
      </c>
      <c r="X152" s="141">
        <f t="shared" ca="1" si="73"/>
        <v>0.65500000000000003</v>
      </c>
      <c r="Y152" s="141">
        <f t="shared" ca="1" si="74"/>
        <v>1.0999999999999999E-2</v>
      </c>
      <c r="Z152" s="141" t="str">
        <f>IFERROR(IF('CALLER Portal'!$Y$1 = "TRUE", OverallTable[[#This Row],[Name]],IF(AND('CALLER Portal'!$Y$1 = "FALSE", OverallTable[[#This Row],[Active]] = TRUE),OverallTable[[#This Row],[Name]],"(Blank)")),"")</f>
        <v xml:space="preserve">Shyam Boyd </v>
      </c>
      <c r="AB152" s="73" t="s">
        <v>287</v>
      </c>
    </row>
    <row r="153" spans="1:28" ht="15.75" thickBot="1" x14ac:dyDescent="0.3">
      <c r="A153" s="238" t="s">
        <v>287</v>
      </c>
      <c r="B153" s="134" t="b">
        <v>1</v>
      </c>
      <c r="C153" s="239">
        <f t="shared" ca="1" si="60"/>
        <v>44.111000000000004</v>
      </c>
      <c r="D153" s="239">
        <f t="shared" ca="1" si="61"/>
        <v>81</v>
      </c>
      <c r="E153" s="239">
        <f t="shared" ca="1" si="62"/>
        <v>36</v>
      </c>
      <c r="F153" s="239">
        <f t="shared" ca="1" si="63"/>
        <v>4</v>
      </c>
      <c r="G153" s="240">
        <f t="shared" ca="1" si="64"/>
        <v>229</v>
      </c>
      <c r="H153" s="241">
        <f t="shared" ca="1" si="65"/>
        <v>1801</v>
      </c>
      <c r="I153" s="241">
        <f t="shared" ca="1" si="66"/>
        <v>340</v>
      </c>
      <c r="J153" s="241">
        <f t="shared" ca="1" si="67"/>
        <v>4036</v>
      </c>
      <c r="K153" s="242">
        <f ca="1">IFERROR(IF(AND('CALLER Portal'!$Y$1 = "False", OverallTable[[#This Row],[Active]] = FALSE), "",OverallTable[[#This Row],[Total Gifts]]/OverallTable[[#This Row],[Contacts]]),"")</f>
        <v>0.35371179039301309</v>
      </c>
      <c r="L153" s="242">
        <f ca="1">IF(AND('CALLER Portal'!$Y$1 = "False", OverallTable[[#This Row],[Active]] = FALSE), "", IF(C153 = 0,"",IFERROR((E153+F153)/D153,0)))</f>
        <v>0.49382716049382713</v>
      </c>
      <c r="M153" s="242">
        <f ca="1">IF(AND('CALLER Portal'!$Y$1 = "False", OverallTable[[#This Row],[Active]] = FALSE), "",IF(C153 = 0,"",IFERROR(F153/D153,0)))</f>
        <v>4.9382716049382713E-2</v>
      </c>
      <c r="N153" s="243">
        <f ca="1">IF(AND('CALLER Portal'!$Y$1 = "False", OverallTable[[#This Row],[Active]] = FALSE), "", IFERROR((H153+I153)/C153,""))</f>
        <v>48.536646188025657</v>
      </c>
      <c r="O153" s="244">
        <f ca="1">IF(AND('CALLER Portal'!$Y$1 = "False", OverallTable[[#This Row],[Active]] = FALSE),"",IF(C153 = 0,"",IFERROR((E153+F153)/C153,0)))</f>
        <v>0.90680329169594875</v>
      </c>
      <c r="P153" s="244">
        <f ca="1">IF(AND('CALLER Portal'!$Y$1 = "False", OverallTable[[#This Row],[Active]] = FALSE), "", IF(C153 = 0,"",IFERROR((F153)/C153,0)))</f>
        <v>9.0680329169594884E-2</v>
      </c>
      <c r="Q153" s="245">
        <f t="shared" ca="1" si="68"/>
        <v>5.1914488449593064</v>
      </c>
      <c r="R153" s="245">
        <f ca="1">IFERROR(_xlfn.PERCENTRANK.INC(OverallTable[F-Score], OverallTable[[#This Row],[F-Score]]),"")</f>
        <v>0.443</v>
      </c>
      <c r="S153" s="245">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0.47289999999999999</v>
      </c>
      <c r="T153" s="246">
        <f t="shared" ca="1" si="69"/>
        <v>0.85499999999999998</v>
      </c>
      <c r="U153" s="141">
        <f t="shared" ca="1" si="70"/>
        <v>0.14399999999999999</v>
      </c>
      <c r="V153" s="141">
        <f t="shared" ca="1" si="71"/>
        <v>0.377</v>
      </c>
      <c r="W153" s="141">
        <f t="shared" ca="1" si="72"/>
        <v>0.41099999999999998</v>
      </c>
      <c r="X153" s="141">
        <f t="shared" ca="1" si="73"/>
        <v>0.52200000000000002</v>
      </c>
      <c r="Y153" s="141">
        <f t="shared" ca="1" si="74"/>
        <v>0.48799999999999999</v>
      </c>
      <c r="Z153" s="141" t="str">
        <f>IFERROR(IF('CALLER Portal'!$Y$1 = "TRUE", OverallTable[[#This Row],[Name]],IF(AND('CALLER Portal'!$Y$1 = "FALSE", OverallTable[[#This Row],[Active]] = TRUE),OverallTable[[#This Row],[Name]],"(Blank)")),"")</f>
        <v xml:space="preserve">Stephanie Parti </v>
      </c>
      <c r="AB153" s="73" t="s">
        <v>386</v>
      </c>
    </row>
    <row r="154" spans="1:28" ht="15.75" thickBot="1" x14ac:dyDescent="0.3">
      <c r="A154" s="82" t="s">
        <v>386</v>
      </c>
      <c r="B154" s="134" t="b">
        <v>1</v>
      </c>
      <c r="C154" s="83">
        <f t="shared" ca="1" si="60"/>
        <v>0</v>
      </c>
      <c r="D154" s="83">
        <f t="shared" ca="1" si="61"/>
        <v>0</v>
      </c>
      <c r="E154" s="83">
        <f t="shared" ca="1" si="62"/>
        <v>0</v>
      </c>
      <c r="F154" s="83">
        <f t="shared" ca="1" si="63"/>
        <v>0</v>
      </c>
      <c r="G154" s="107">
        <f t="shared" ca="1" si="64"/>
        <v>0</v>
      </c>
      <c r="H154" s="84">
        <f t="shared" ca="1" si="65"/>
        <v>0</v>
      </c>
      <c r="I154" s="84">
        <f t="shared" ca="1" si="66"/>
        <v>0</v>
      </c>
      <c r="J154" s="84">
        <f t="shared" ca="1" si="67"/>
        <v>0</v>
      </c>
      <c r="K154" s="92" t="str">
        <f ca="1">IFERROR(IF(AND('CALLER Portal'!$Y$1 = "False", OverallTable[[#This Row],[Active]] = FALSE), "",OverallTable[[#This Row],[Total Gifts]]/OverallTable[[#This Row],[Contacts]]),"")</f>
        <v/>
      </c>
      <c r="L154" s="92" t="str">
        <f ca="1">IF(AND('CALLER Portal'!$Y$1 = "False", OverallTable[[#This Row],[Active]] = FALSE), "", IF(C154 = 0,"",IFERROR((E154+F154)/D154,0)))</f>
        <v/>
      </c>
      <c r="M154" s="92" t="str">
        <f ca="1">IF(AND('CALLER Portal'!$Y$1 = "False", OverallTable[[#This Row],[Active]] = FALSE), "",IF(C154 = 0,"",IFERROR(F154/D154,0)))</f>
        <v/>
      </c>
      <c r="N154" s="85" t="str">
        <f ca="1">IF(AND('CALLER Portal'!$Y$1 = "False", OverallTable[[#This Row],[Active]] = FALSE), "", IFERROR((H154+I154)/C154,""))</f>
        <v/>
      </c>
      <c r="O154" s="170" t="str">
        <f ca="1">IF(AND('CALLER Portal'!$Y$1 = "False", OverallTable[[#This Row],[Active]] = FALSE),"",IF(C154 = 0,"",IFERROR((E154+F154)/C154,0)))</f>
        <v/>
      </c>
      <c r="P154" s="170" t="str">
        <f ca="1">IF(AND('CALLER Portal'!$Y$1 = "False", OverallTable[[#This Row],[Active]] = FALSE), "", IF(C154 = 0,"",IFERROR((F154)/C154,0)))</f>
        <v/>
      </c>
      <c r="Q154" s="86" t="str">
        <f t="shared" ca="1" si="68"/>
        <v/>
      </c>
      <c r="R154" s="86" t="str">
        <f ca="1">IFERROR(_xlfn.PERCENTRANK.INC(OverallTable[F-Score], OverallTable[[#This Row],[F-Score]]),"")</f>
        <v/>
      </c>
      <c r="S154"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154" s="273" t="str">
        <f t="shared" ca="1" si="69"/>
        <v/>
      </c>
      <c r="U154" s="117" t="str">
        <f t="shared" ca="1" si="70"/>
        <v/>
      </c>
      <c r="V154" s="117" t="str">
        <f t="shared" ca="1" si="71"/>
        <v/>
      </c>
      <c r="W154" s="117" t="str">
        <f t="shared" ca="1" si="72"/>
        <v/>
      </c>
      <c r="X154" s="117" t="str">
        <f t="shared" ca="1" si="73"/>
        <v/>
      </c>
      <c r="Y154" s="117" t="str">
        <f t="shared" ca="1" si="74"/>
        <v/>
      </c>
      <c r="Z154" s="141" t="str">
        <f>IFERROR(IF('CALLER Portal'!$Y$1 = "TRUE", OverallTable[[#This Row],[Name]],IF(AND('CALLER Portal'!$Y$1 = "FALSE", OverallTable[[#This Row],[Active]] = TRUE),OverallTable[[#This Row],[Name]],"(Blank)")),"")</f>
        <v xml:space="preserve">Sufyan Sanchez </v>
      </c>
      <c r="AB154" s="73" t="s">
        <v>283</v>
      </c>
    </row>
    <row r="155" spans="1:28" ht="15.75" thickBot="1" x14ac:dyDescent="0.3">
      <c r="A155" s="238" t="s">
        <v>283</v>
      </c>
      <c r="B155" s="134" t="b">
        <v>1</v>
      </c>
      <c r="C155" s="239">
        <f t="shared" ca="1" si="60"/>
        <v>38.043999999999997</v>
      </c>
      <c r="D155" s="239">
        <f t="shared" ca="1" si="61"/>
        <v>60</v>
      </c>
      <c r="E155" s="239">
        <f t="shared" ca="1" si="62"/>
        <v>32</v>
      </c>
      <c r="F155" s="239">
        <f t="shared" ca="1" si="63"/>
        <v>9</v>
      </c>
      <c r="G155" s="240">
        <f t="shared" ca="1" si="64"/>
        <v>158</v>
      </c>
      <c r="H155" s="241">
        <f t="shared" ca="1" si="65"/>
        <v>2035</v>
      </c>
      <c r="I155" s="241">
        <f t="shared" ca="1" si="66"/>
        <v>1248</v>
      </c>
      <c r="J155" s="241">
        <f t="shared" ca="1" si="67"/>
        <v>4393</v>
      </c>
      <c r="K155" s="242">
        <f ca="1">IFERROR(IF(AND('CALLER Portal'!$Y$1 = "False", OverallTable[[#This Row],[Active]] = FALSE), "",OverallTable[[#This Row],[Total Gifts]]/OverallTable[[#This Row],[Contacts]]),"")</f>
        <v>0.379746835443038</v>
      </c>
      <c r="L155" s="242">
        <f ca="1">IF(AND('CALLER Portal'!$Y$1 = "False", OverallTable[[#This Row],[Active]] = FALSE), "", IF(C155 = 0,"",IFERROR((E155+F155)/D155,0)))</f>
        <v>0.68333333333333335</v>
      </c>
      <c r="M155" s="242">
        <f ca="1">IF(AND('CALLER Portal'!$Y$1 = "False", OverallTable[[#This Row],[Active]] = FALSE), "",IF(C155 = 0,"",IFERROR(F155/D155,0)))</f>
        <v>0.15</v>
      </c>
      <c r="N155" s="243">
        <f ca="1">IF(AND('CALLER Portal'!$Y$1 = "False", OverallTable[[#This Row],[Active]] = FALSE), "", IFERROR((H155+I155)/C155,""))</f>
        <v>86.29481652823047</v>
      </c>
      <c r="O155" s="244">
        <f ca="1">IF(AND('CALLER Portal'!$Y$1 = "False", OverallTable[[#This Row],[Active]] = FALSE),"",IF(C155 = 0,"",IFERROR((E155+F155)/C155,0)))</f>
        <v>1.0776995058353487</v>
      </c>
      <c r="P155" s="244">
        <f ca="1">IF(AND('CALLER Portal'!$Y$1 = "False", OverallTable[[#This Row],[Active]] = FALSE), "", IF(C155 = 0,"",IFERROR((F155)/C155,0)))</f>
        <v>0.23656818420775946</v>
      </c>
      <c r="Q155" s="245">
        <f t="shared" ca="1" si="68"/>
        <v>4.1530859005362215</v>
      </c>
      <c r="R155" s="245">
        <f ca="1">IFERROR(_xlfn.PERCENTRANK.INC(OverallTable[F-Score], OverallTable[[#This Row],[F-Score]]),"")</f>
        <v>0.96499999999999997</v>
      </c>
      <c r="S155" s="245">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0.8297000000000001</v>
      </c>
      <c r="T155" s="246">
        <f t="shared" ca="1" si="69"/>
        <v>0.92200000000000004</v>
      </c>
      <c r="U155" s="141">
        <f t="shared" ca="1" si="70"/>
        <v>0.74399999999999999</v>
      </c>
      <c r="V155" s="141">
        <f t="shared" ca="1" si="71"/>
        <v>0.877</v>
      </c>
      <c r="W155" s="141">
        <f t="shared" ca="1" si="72"/>
        <v>0.91100000000000003</v>
      </c>
      <c r="X155" s="141">
        <f t="shared" ca="1" si="73"/>
        <v>0.7</v>
      </c>
      <c r="Y155" s="141">
        <f t="shared" ca="1" si="74"/>
        <v>0.86599999999999999</v>
      </c>
      <c r="Z155" s="141" t="str">
        <f>IFERROR(IF('CALLER Portal'!$Y$1 = "TRUE", OverallTable[[#This Row],[Name]],IF(AND('CALLER Portal'!$Y$1 = "FALSE", OverallTable[[#This Row],[Active]] = TRUE),OverallTable[[#This Row],[Name]],"(Blank)")),"")</f>
        <v xml:space="preserve">Tabatha Fray </v>
      </c>
      <c r="AB155" s="73" t="s">
        <v>403</v>
      </c>
    </row>
    <row r="156" spans="1:28" ht="15.75" thickBot="1" x14ac:dyDescent="0.3">
      <c r="A156" s="82" t="s">
        <v>403</v>
      </c>
      <c r="B156" s="134" t="b">
        <v>1</v>
      </c>
      <c r="C156" s="83">
        <f t="shared" ca="1" si="60"/>
        <v>53.421999999999997</v>
      </c>
      <c r="D156" s="83">
        <f t="shared" ca="1" si="61"/>
        <v>101</v>
      </c>
      <c r="E156" s="83">
        <f t="shared" ca="1" si="62"/>
        <v>50</v>
      </c>
      <c r="F156" s="83">
        <f t="shared" ca="1" si="63"/>
        <v>9</v>
      </c>
      <c r="G156" s="107">
        <f t="shared" ca="1" si="64"/>
        <v>253</v>
      </c>
      <c r="H156" s="84">
        <f t="shared" ca="1" si="65"/>
        <v>3248</v>
      </c>
      <c r="I156" s="84">
        <f t="shared" ca="1" si="66"/>
        <v>1020</v>
      </c>
      <c r="J156" s="84">
        <f t="shared" ca="1" si="67"/>
        <v>7065</v>
      </c>
      <c r="K156" s="92">
        <f ca="1">IFERROR(IF(AND('CALLER Portal'!$Y$1 = "False", OverallTable[[#This Row],[Active]] = FALSE), "",OverallTable[[#This Row],[Total Gifts]]/OverallTable[[#This Row],[Contacts]]),"")</f>
        <v>0.39920948616600793</v>
      </c>
      <c r="L156" s="92">
        <f ca="1">IF(AND('CALLER Portal'!$Y$1 = "False", OverallTable[[#This Row],[Active]] = FALSE), "", IF(C156 = 0,"",IFERROR((E156+F156)/D156,0)))</f>
        <v>0.58415841584158412</v>
      </c>
      <c r="M156" s="92">
        <f ca="1">IF(AND('CALLER Portal'!$Y$1 = "False", OverallTable[[#This Row],[Active]] = FALSE), "",IF(C156 = 0,"",IFERROR(F156/D156,0)))</f>
        <v>8.9108910891089105E-2</v>
      </c>
      <c r="N156" s="85">
        <f ca="1">IF(AND('CALLER Portal'!$Y$1 = "False", OverallTable[[#This Row],[Active]] = FALSE), "", IFERROR((H156+I156)/C156,""))</f>
        <v>79.892179251993568</v>
      </c>
      <c r="O156" s="170">
        <f ca="1">IF(AND('CALLER Portal'!$Y$1 = "False", OverallTable[[#This Row],[Active]] = FALSE),"",IF(C156 = 0,"",IFERROR((E156+F156)/C156,0)))</f>
        <v>1.1044139118715137</v>
      </c>
      <c r="P156" s="170">
        <f ca="1">IF(AND('CALLER Portal'!$Y$1 = "False", OverallTable[[#This Row],[Active]] = FALSE), "", IF(C156 = 0,"",IFERROR((F156)/C156,0)))</f>
        <v>0.1684699187600614</v>
      </c>
      <c r="Q156" s="86">
        <f t="shared" ca="1" si="68"/>
        <v>4.7358766051439485</v>
      </c>
      <c r="R156" s="86">
        <f ca="1">IFERROR(_xlfn.PERCENTRANK.INC(OverallTable[F-Score], OverallTable[[#This Row],[F-Score]]),"")</f>
        <v>0.86299999999999999</v>
      </c>
      <c r="S156" s="86">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0.74170000000000003</v>
      </c>
      <c r="T156" s="273">
        <f t="shared" ca="1" si="69"/>
        <v>0.95499999999999996</v>
      </c>
      <c r="U156" s="117">
        <f t="shared" ca="1" si="70"/>
        <v>0.44400000000000001</v>
      </c>
      <c r="V156" s="117">
        <f t="shared" ca="1" si="71"/>
        <v>0.65500000000000003</v>
      </c>
      <c r="W156" s="117">
        <f t="shared" ca="1" si="72"/>
        <v>0.86599999999999999</v>
      </c>
      <c r="X156" s="117">
        <f t="shared" ca="1" si="73"/>
        <v>0.73299999999999998</v>
      </c>
      <c r="Y156" s="117">
        <f t="shared" ca="1" si="74"/>
        <v>0.76600000000000001</v>
      </c>
      <c r="Z156" s="141" t="str">
        <f>IFERROR(IF('CALLER Portal'!$Y$1 = "TRUE", OverallTable[[#This Row],[Name]],IF(AND('CALLER Portal'!$Y$1 = "FALSE", OverallTable[[#This Row],[Active]] = TRUE),OverallTable[[#This Row],[Name]],"(Blank)")),"")</f>
        <v xml:space="preserve">Tehya Macfarland </v>
      </c>
      <c r="AB156" s="73" t="s">
        <v>365</v>
      </c>
    </row>
    <row r="157" spans="1:28" ht="15.75" thickBot="1" x14ac:dyDescent="0.3">
      <c r="A157" s="82" t="s">
        <v>365</v>
      </c>
      <c r="B157" s="134" t="b">
        <v>1</v>
      </c>
      <c r="C157" s="83">
        <f t="shared" ca="1" si="60"/>
        <v>48.932000000000002</v>
      </c>
      <c r="D157" s="83">
        <f t="shared" ca="1" si="61"/>
        <v>63</v>
      </c>
      <c r="E157" s="83">
        <f t="shared" ca="1" si="62"/>
        <v>31</v>
      </c>
      <c r="F157" s="83">
        <f t="shared" ca="1" si="63"/>
        <v>8</v>
      </c>
      <c r="G157" s="107">
        <f t="shared" ca="1" si="64"/>
        <v>355</v>
      </c>
      <c r="H157" s="84">
        <f t="shared" ca="1" si="65"/>
        <v>541</v>
      </c>
      <c r="I157" s="84">
        <f t="shared" ca="1" si="66"/>
        <v>960</v>
      </c>
      <c r="J157" s="84">
        <f t="shared" ca="1" si="67"/>
        <v>2976</v>
      </c>
      <c r="K157" s="92">
        <f ca="1">IFERROR(IF(AND('CALLER Portal'!$Y$1 = "False", OverallTable[[#This Row],[Active]] = FALSE), "",OverallTable[[#This Row],[Total Gifts]]/OverallTable[[#This Row],[Contacts]]),"")</f>
        <v>0.17746478873239438</v>
      </c>
      <c r="L157" s="92">
        <f ca="1">IF(AND('CALLER Portal'!$Y$1 = "False", OverallTable[[#This Row],[Active]] = FALSE), "", IF(C157 = 0,"",IFERROR((E157+F157)/D157,0)))</f>
        <v>0.61904761904761907</v>
      </c>
      <c r="M157" s="92">
        <f ca="1">IF(AND('CALLER Portal'!$Y$1 = "False", OverallTable[[#This Row],[Active]] = FALSE), "",IF(C157 = 0,"",IFERROR(F157/D157,0)))</f>
        <v>0.12698412698412698</v>
      </c>
      <c r="N157" s="85">
        <f ca="1">IF(AND('CALLER Portal'!$Y$1 = "False", OverallTable[[#This Row],[Active]] = FALSE), "", IFERROR((H157+I157)/C157,""))</f>
        <v>30.6752227581133</v>
      </c>
      <c r="O157" s="170">
        <f ca="1">IF(AND('CALLER Portal'!$Y$1 = "False", OverallTable[[#This Row],[Active]] = FALSE),"",IF(C157 = 0,"",IFERROR((E157+F157)/C157,0)))</f>
        <v>0.79702444208289047</v>
      </c>
      <c r="P157" s="170">
        <f ca="1">IF(AND('CALLER Portal'!$Y$1 = "False", OverallTable[[#This Row],[Active]] = FALSE), "", IF(C157 = 0,"",IFERROR((F157)/C157,0)))</f>
        <v>0.16349219324777242</v>
      </c>
      <c r="Q157" s="86">
        <f t="shared" ca="1" si="68"/>
        <v>7.254966075369901</v>
      </c>
      <c r="R157" s="86">
        <f ca="1">IFERROR(_xlfn.PERCENTRANK.INC(OverallTable[F-Score], OverallTable[[#This Row],[F-Score]]),"")</f>
        <v>0.318</v>
      </c>
      <c r="S157" s="86">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0.39279999999999998</v>
      </c>
      <c r="T157" s="273">
        <f t="shared" ca="1" si="69"/>
        <v>8.7999999999999995E-2</v>
      </c>
      <c r="U157" s="117">
        <f t="shared" ca="1" si="70"/>
        <v>0.55500000000000005</v>
      </c>
      <c r="V157" s="117">
        <f t="shared" ca="1" si="71"/>
        <v>0.78800000000000003</v>
      </c>
      <c r="W157" s="117">
        <f t="shared" ca="1" si="72"/>
        <v>0.14399999999999999</v>
      </c>
      <c r="X157" s="117">
        <f t="shared" ca="1" si="73"/>
        <v>0.42199999999999999</v>
      </c>
      <c r="Y157" s="117">
        <f t="shared" ca="1" si="74"/>
        <v>0.72199999999999998</v>
      </c>
      <c r="Z157" s="141" t="str">
        <f>IFERROR(IF('CALLER Portal'!$Y$1 = "TRUE", OverallTable[[#This Row],[Name]],IF(AND('CALLER Portal'!$Y$1 = "FALSE", OverallTable[[#This Row],[Active]] = TRUE),OverallTable[[#This Row],[Name]],"(Blank)")),"")</f>
        <v xml:space="preserve">Teyson Jol </v>
      </c>
      <c r="AB157" s="73" t="s">
        <v>413</v>
      </c>
    </row>
    <row r="158" spans="1:28" ht="15.75" thickBot="1" x14ac:dyDescent="0.3">
      <c r="A158" s="82" t="s">
        <v>413</v>
      </c>
      <c r="B158" s="134" t="b">
        <v>1</v>
      </c>
      <c r="C158" s="91">
        <f t="shared" ca="1" si="60"/>
        <v>0</v>
      </c>
      <c r="D158" s="91">
        <f t="shared" ca="1" si="61"/>
        <v>0</v>
      </c>
      <c r="E158" s="91">
        <f t="shared" ca="1" si="62"/>
        <v>0</v>
      </c>
      <c r="F158" s="91">
        <f t="shared" ca="1" si="63"/>
        <v>0</v>
      </c>
      <c r="G158" s="107">
        <f t="shared" ca="1" si="64"/>
        <v>0</v>
      </c>
      <c r="H158" s="84">
        <f t="shared" ca="1" si="65"/>
        <v>0</v>
      </c>
      <c r="I158" s="84">
        <f t="shared" ca="1" si="66"/>
        <v>0</v>
      </c>
      <c r="J158" s="84">
        <f t="shared" ca="1" si="67"/>
        <v>0</v>
      </c>
      <c r="K158" s="92" t="str">
        <f ca="1">IFERROR(IF(AND('CALLER Portal'!$Y$1 = "False", OverallTable[[#This Row],[Active]] = FALSE), "",OverallTable[[#This Row],[Total Gifts]]/OverallTable[[#This Row],[Contacts]]),"")</f>
        <v/>
      </c>
      <c r="L158" s="92" t="str">
        <f ca="1">IF(AND('CALLER Portal'!$Y$1 = "False", OverallTable[[#This Row],[Active]] = FALSE), "", IF(C158 = 0,"",IFERROR((E158+F158)/D158,0)))</f>
        <v/>
      </c>
      <c r="M158" s="92" t="str">
        <f ca="1">IF(AND('CALLER Portal'!$Y$1 = "False", OverallTable[[#This Row],[Active]] = FALSE), "",IF(C158 = 0,"",IFERROR(F158/D158,0)))</f>
        <v/>
      </c>
      <c r="N158" s="85" t="str">
        <f ca="1">IF(AND('CALLER Portal'!$Y$1 = "False", OverallTable[[#This Row],[Active]] = FALSE), "", IFERROR((H158+I158)/C158,""))</f>
        <v/>
      </c>
      <c r="O158" s="173" t="str">
        <f ca="1">IF(AND('CALLER Portal'!$Y$1 = "False", OverallTable[[#This Row],[Active]] = FALSE),"",IF(C158 = 0,"",IFERROR((E158+F158)/C158,0)))</f>
        <v/>
      </c>
      <c r="P158" s="173" t="str">
        <f ca="1">IF(AND('CALLER Portal'!$Y$1 = "False", OverallTable[[#This Row],[Active]] = FALSE), "", IF(C158 = 0,"",IFERROR((F158)/C158,0)))</f>
        <v/>
      </c>
      <c r="Q158" s="86" t="str">
        <f t="shared" ca="1" si="68"/>
        <v/>
      </c>
      <c r="R158" s="86" t="str">
        <f ca="1">IFERROR(_xlfn.PERCENTRANK.INC(OverallTable[F-Score], OverallTable[[#This Row],[F-Score]]),"")</f>
        <v/>
      </c>
      <c r="S158"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158" s="273" t="str">
        <f t="shared" ca="1" si="69"/>
        <v/>
      </c>
      <c r="U158" s="117" t="str">
        <f t="shared" ca="1" si="70"/>
        <v/>
      </c>
      <c r="V158" s="117" t="str">
        <f t="shared" ca="1" si="71"/>
        <v/>
      </c>
      <c r="W158" s="117" t="str">
        <f t="shared" ca="1" si="72"/>
        <v/>
      </c>
      <c r="X158" s="117" t="str">
        <f t="shared" ca="1" si="73"/>
        <v/>
      </c>
      <c r="Y158" s="117" t="str">
        <f t="shared" ca="1" si="74"/>
        <v/>
      </c>
      <c r="Z158" s="141" t="str">
        <f>IFERROR(IF('CALLER Portal'!$Y$1 = "TRUE", OverallTable[[#This Row],[Name]],IF(AND('CALLER Portal'!$Y$1 = "FALSE", OverallTable[[#This Row],[Active]] = TRUE),OverallTable[[#This Row],[Name]],"(Blank)")),"")</f>
        <v xml:space="preserve">Thor Bosra </v>
      </c>
      <c r="AB158" s="73" t="s">
        <v>397</v>
      </c>
    </row>
    <row r="159" spans="1:28" ht="15.75" thickBot="1" x14ac:dyDescent="0.3">
      <c r="A159" s="82" t="s">
        <v>397</v>
      </c>
      <c r="B159" s="134" t="b">
        <v>1</v>
      </c>
      <c r="C159" s="83">
        <f t="shared" ca="1" si="60"/>
        <v>63.169999999999995</v>
      </c>
      <c r="D159" s="83">
        <f t="shared" ca="1" si="61"/>
        <v>15</v>
      </c>
      <c r="E159" s="83">
        <f t="shared" ca="1" si="62"/>
        <v>8</v>
      </c>
      <c r="F159" s="83">
        <f t="shared" ca="1" si="63"/>
        <v>2</v>
      </c>
      <c r="G159" s="107">
        <f t="shared" ca="1" si="64"/>
        <v>112</v>
      </c>
      <c r="H159" s="84">
        <f t="shared" ca="1" si="65"/>
        <v>391</v>
      </c>
      <c r="I159" s="84">
        <f t="shared" ca="1" si="66"/>
        <v>120</v>
      </c>
      <c r="J159" s="84">
        <f t="shared" ca="1" si="67"/>
        <v>816</v>
      </c>
      <c r="K159" s="92">
        <f ca="1">IFERROR(IF(AND('CALLER Portal'!$Y$1 = "False", OverallTable[[#This Row],[Active]] = FALSE), "",OverallTable[[#This Row],[Total Gifts]]/OverallTable[[#This Row],[Contacts]]),"")</f>
        <v>0.13392857142857142</v>
      </c>
      <c r="L159" s="92">
        <f ca="1">IF(AND('CALLER Portal'!$Y$1 = "False", OverallTable[[#This Row],[Active]] = FALSE), "", IF(C159 = 0,"",IFERROR((E159+F159)/D159,0)))</f>
        <v>0.66666666666666663</v>
      </c>
      <c r="M159" s="92">
        <f ca="1">IF(AND('CALLER Portal'!$Y$1 = "False", OverallTable[[#This Row],[Active]] = FALSE), "",IF(C159 = 0,"",IFERROR(F159/D159,0)))</f>
        <v>0.13333333333333333</v>
      </c>
      <c r="N159" s="85">
        <f ca="1">IF(AND('CALLER Portal'!$Y$1 = "False", OverallTable[[#This Row],[Active]] = FALSE), "", IFERROR((H159+I159)/C159,""))</f>
        <v>8.0892828874465739</v>
      </c>
      <c r="O159" s="170">
        <f ca="1">IF(AND('CALLER Portal'!$Y$1 = "False", OverallTable[[#This Row],[Active]] = FALSE),"",IF(C159 = 0,"",IFERROR((E159+F159)/C159,0)))</f>
        <v>0.15830299192654743</v>
      </c>
      <c r="P159" s="170">
        <f ca="1">IF(AND('CALLER Portal'!$Y$1 = "False", OverallTable[[#This Row],[Active]] = FALSE), "", IF(C159 = 0,"",IFERROR((F159)/C159,0)))</f>
        <v>3.1660598385309484E-2</v>
      </c>
      <c r="Q159" s="86">
        <f t="shared" ca="1" si="68"/>
        <v>1.7729935095773313</v>
      </c>
      <c r="R159" s="86">
        <f ca="1">IFERROR(_xlfn.PERCENTRANK.INC(OverallTable[F-Score], OverallTable[[#This Row],[F-Score]]),"")</f>
        <v>0.193</v>
      </c>
      <c r="S159" s="86">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0.27410000000000001</v>
      </c>
      <c r="T159" s="273">
        <f t="shared" ca="1" si="69"/>
        <v>6.6000000000000003E-2</v>
      </c>
      <c r="U159" s="117">
        <f t="shared" ca="1" si="70"/>
        <v>0.71099999999999997</v>
      </c>
      <c r="V159" s="117">
        <f t="shared" ca="1" si="71"/>
        <v>0.8</v>
      </c>
      <c r="W159" s="117">
        <f t="shared" ca="1" si="72"/>
        <v>4.3999999999999997E-2</v>
      </c>
      <c r="X159" s="117">
        <f t="shared" ca="1" si="73"/>
        <v>4.3999999999999997E-2</v>
      </c>
      <c r="Y159" s="117">
        <f t="shared" ca="1" si="74"/>
        <v>0.21099999999999999</v>
      </c>
      <c r="Z159" s="141" t="str">
        <f>IFERROR(IF('CALLER Portal'!$Y$1 = "TRUE", OverallTable[[#This Row],[Name]],IF(AND('CALLER Portal'!$Y$1 = "FALSE", OverallTable[[#This Row],[Active]] = TRUE),OverallTable[[#This Row],[Name]],"(Blank)")),"")</f>
        <v xml:space="preserve">Tim Lonser </v>
      </c>
      <c r="AB159" s="73" t="s">
        <v>351</v>
      </c>
    </row>
    <row r="160" spans="1:28" ht="15.75" thickBot="1" x14ac:dyDescent="0.3">
      <c r="A160" s="82" t="s">
        <v>351</v>
      </c>
      <c r="B160" s="134" t="b">
        <v>1</v>
      </c>
      <c r="C160" s="83">
        <f t="shared" ca="1" si="60"/>
        <v>34.188000000000002</v>
      </c>
      <c r="D160" s="83">
        <f t="shared" ca="1" si="61"/>
        <v>49</v>
      </c>
      <c r="E160" s="83">
        <f t="shared" ca="1" si="62"/>
        <v>26</v>
      </c>
      <c r="F160" s="83">
        <f t="shared" ca="1" si="63"/>
        <v>2</v>
      </c>
      <c r="G160" s="107">
        <f t="shared" ca="1" si="64"/>
        <v>145</v>
      </c>
      <c r="H160" s="84">
        <f t="shared" ca="1" si="65"/>
        <v>881</v>
      </c>
      <c r="I160" s="84">
        <f t="shared" ca="1" si="66"/>
        <v>240</v>
      </c>
      <c r="J160" s="84">
        <f t="shared" ca="1" si="67"/>
        <v>2016</v>
      </c>
      <c r="K160" s="92">
        <f ca="1">IFERROR(IF(AND('CALLER Portal'!$Y$1 = "False", OverallTable[[#This Row],[Active]] = FALSE), "",OverallTable[[#This Row],[Total Gifts]]/OverallTable[[#This Row],[Contacts]]),"")</f>
        <v>0.33793103448275863</v>
      </c>
      <c r="L160" s="92">
        <f ca="1">IF(AND('CALLER Portal'!$Y$1 = "False", OverallTable[[#This Row],[Active]] = FALSE), "", IF(C160 = 0,"",IFERROR((E160+F160)/D160,0)))</f>
        <v>0.5714285714285714</v>
      </c>
      <c r="M160" s="92">
        <f ca="1">IF(AND('CALLER Portal'!$Y$1 = "False", OverallTable[[#This Row],[Active]] = FALSE), "",IF(C160 = 0,"",IFERROR(F160/D160,0)))</f>
        <v>4.0816326530612242E-2</v>
      </c>
      <c r="N160" s="85">
        <f ca="1">IF(AND('CALLER Portal'!$Y$1 = "False", OverallTable[[#This Row],[Active]] = FALSE), "", IFERROR((H160+I160)/C160,""))</f>
        <v>32.789282789282787</v>
      </c>
      <c r="O160" s="170">
        <f ca="1">IF(AND('CALLER Portal'!$Y$1 = "False", OverallTable[[#This Row],[Active]] = FALSE),"",IF(C160 = 0,"",IFERROR((E160+F160)/C160,0)))</f>
        <v>0.81900081900081889</v>
      </c>
      <c r="P160" s="170">
        <f ca="1">IF(AND('CALLER Portal'!$Y$1 = "False", OverallTable[[#This Row],[Active]] = FALSE), "", IF(C160 = 0,"",IFERROR((F160)/C160,0)))</f>
        <v>5.8500058500058495E-2</v>
      </c>
      <c r="Q160" s="86">
        <f t="shared" ca="1" si="68"/>
        <v>4.2412542412542411</v>
      </c>
      <c r="R160" s="86">
        <f ca="1">IFERROR(_xlfn.PERCENTRANK.INC(OverallTable[F-Score], OverallTable[[#This Row],[F-Score]]),"")</f>
        <v>0.38600000000000001</v>
      </c>
      <c r="S160" s="86">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0.43190000000000006</v>
      </c>
      <c r="T160" s="273">
        <f t="shared" ca="1" si="69"/>
        <v>0.77700000000000002</v>
      </c>
      <c r="U160" s="117">
        <f t="shared" ca="1" si="70"/>
        <v>0.4</v>
      </c>
      <c r="V160" s="117">
        <f t="shared" ca="1" si="71"/>
        <v>0.34399999999999997</v>
      </c>
      <c r="W160" s="117">
        <f t="shared" ca="1" si="72"/>
        <v>0.2</v>
      </c>
      <c r="X160" s="117">
        <f t="shared" ca="1" si="73"/>
        <v>0.44400000000000001</v>
      </c>
      <c r="Y160" s="117">
        <f t="shared" ca="1" si="74"/>
        <v>0.33300000000000002</v>
      </c>
      <c r="Z160" s="141" t="str">
        <f>IFERROR(IF('CALLER Portal'!$Y$1 = "TRUE", OverallTable[[#This Row],[Name]],IF(AND('CALLER Portal'!$Y$1 = "FALSE", OverallTable[[#This Row],[Active]] = TRUE),OverallTable[[#This Row],[Name]],"(Blank)")),"")</f>
        <v xml:space="preserve">Tomi Wiggins </v>
      </c>
      <c r="AB160" s="73" t="s">
        <v>387</v>
      </c>
    </row>
    <row r="161" spans="1:28" ht="15.75" thickBot="1" x14ac:dyDescent="0.3">
      <c r="A161" s="82" t="s">
        <v>387</v>
      </c>
      <c r="B161" s="134" t="b">
        <v>1</v>
      </c>
      <c r="C161" s="83">
        <f t="shared" ca="1" si="60"/>
        <v>0</v>
      </c>
      <c r="D161" s="83">
        <f t="shared" ca="1" si="61"/>
        <v>0</v>
      </c>
      <c r="E161" s="83">
        <f t="shared" ca="1" si="62"/>
        <v>0</v>
      </c>
      <c r="F161" s="83">
        <f t="shared" ca="1" si="63"/>
        <v>0</v>
      </c>
      <c r="G161" s="107">
        <f t="shared" ca="1" si="64"/>
        <v>0</v>
      </c>
      <c r="H161" s="84">
        <f t="shared" ca="1" si="65"/>
        <v>0</v>
      </c>
      <c r="I161" s="84">
        <f t="shared" ca="1" si="66"/>
        <v>0</v>
      </c>
      <c r="J161" s="84">
        <f t="shared" ca="1" si="67"/>
        <v>0</v>
      </c>
      <c r="K161" s="92" t="str">
        <f ca="1">IFERROR(IF(AND('CALLER Portal'!$Y$1 = "False", OverallTable[[#This Row],[Active]] = FALSE), "",OverallTable[[#This Row],[Total Gifts]]/OverallTable[[#This Row],[Contacts]]),"")</f>
        <v/>
      </c>
      <c r="L161" s="92" t="str">
        <f ca="1">IF(AND('CALLER Portal'!$Y$1 = "False", OverallTable[[#This Row],[Active]] = FALSE), "", IF(C161 = 0,"",IFERROR((E161+F161)/D161,0)))</f>
        <v/>
      </c>
      <c r="M161" s="92" t="str">
        <f ca="1">IF(AND('CALLER Portal'!$Y$1 = "False", OverallTable[[#This Row],[Active]] = FALSE), "",IF(C161 = 0,"",IFERROR(F161/D161,0)))</f>
        <v/>
      </c>
      <c r="N161" s="85" t="str">
        <f ca="1">IF(AND('CALLER Portal'!$Y$1 = "False", OverallTable[[#This Row],[Active]] = FALSE), "", IFERROR((H161+I161)/C161,""))</f>
        <v/>
      </c>
      <c r="O161" s="170" t="str">
        <f ca="1">IF(AND('CALLER Portal'!$Y$1 = "False", OverallTable[[#This Row],[Active]] = FALSE),"",IF(C161 = 0,"",IFERROR((E161+F161)/C161,0)))</f>
        <v/>
      </c>
      <c r="P161" s="170" t="str">
        <f ca="1">IF(AND('CALLER Portal'!$Y$1 = "False", OverallTable[[#This Row],[Active]] = FALSE), "", IF(C161 = 0,"",IFERROR((F161)/C161,0)))</f>
        <v/>
      </c>
      <c r="Q161" s="86" t="str">
        <f t="shared" ca="1" si="68"/>
        <v/>
      </c>
      <c r="R161" s="86" t="str">
        <f ca="1">IFERROR(_xlfn.PERCENTRANK.INC(OverallTable[F-Score], OverallTable[[#This Row],[F-Score]]),"")</f>
        <v/>
      </c>
      <c r="S161"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161" s="273" t="str">
        <f t="shared" ca="1" si="69"/>
        <v/>
      </c>
      <c r="U161" s="117" t="str">
        <f t="shared" ca="1" si="70"/>
        <v/>
      </c>
      <c r="V161" s="117" t="str">
        <f t="shared" ca="1" si="71"/>
        <v/>
      </c>
      <c r="W161" s="117" t="str">
        <f t="shared" ca="1" si="72"/>
        <v/>
      </c>
      <c r="X161" s="117" t="str">
        <f t="shared" ca="1" si="73"/>
        <v/>
      </c>
      <c r="Y161" s="117" t="str">
        <f t="shared" ca="1" si="74"/>
        <v/>
      </c>
      <c r="Z161" s="141" t="str">
        <f>IFERROR(IF('CALLER Portal'!$Y$1 = "TRUE", OverallTable[[#This Row],[Name]],IF(AND('CALLER Portal'!$Y$1 = "FALSE", OverallTable[[#This Row],[Active]] = TRUE),OverallTable[[#This Row],[Name]],"(Blank)")),"")</f>
        <v xml:space="preserve">Trystan Maro </v>
      </c>
      <c r="AB161" s="73" t="s">
        <v>300</v>
      </c>
    </row>
    <row r="162" spans="1:28" ht="15.75" thickBot="1" x14ac:dyDescent="0.3">
      <c r="A162" s="158" t="s">
        <v>300</v>
      </c>
      <c r="B162" s="134" t="b">
        <v>1</v>
      </c>
      <c r="C162" s="239">
        <f t="shared" ref="C162:C170" ca="1" si="75">SUMPRODUCT(SUMIF(INDIRECT("'"&amp;SheetList&amp;"'!B4:B150"),$A162,INDIRECT("'"&amp;SheetList&amp;"'!C4:C150")))</f>
        <v>19.669</v>
      </c>
      <c r="D162" s="239">
        <f t="shared" ref="D162:D170" ca="1" si="76">SUMPRODUCT(SUMIF(INDIRECT("'"&amp;SheetList&amp;"'!B4:B150"),$A162,INDIRECT("'"&amp;SheetList&amp;"'!D4:D150")))</f>
        <v>31</v>
      </c>
      <c r="E162" s="239">
        <f t="shared" ref="E162:E170" ca="1" si="77">SUMPRODUCT(SUMIF(INDIRECT("'"&amp;SheetList&amp;"'!B4:B150"),$A162,INDIRECT("'"&amp;SheetList&amp;"'!E4:E150")))</f>
        <v>25</v>
      </c>
      <c r="F162" s="239">
        <f t="shared" ref="F162:F170" ca="1" si="78">SUMPRODUCT(SUMIF(INDIRECT("'"&amp;SheetList&amp;"'!B4:B150"),$A162,INDIRECT("'"&amp;SheetList&amp;"'!F4:F150")))</f>
        <v>2</v>
      </c>
      <c r="G162" s="240">
        <f t="shared" ref="G162:G170" ca="1" si="79">SUMPRODUCT(SUMIF(INDIRECT("'"&amp;SheetList&amp;"'!B4:B150"),$A162,INDIRECT("'"&amp;SheetList&amp;"'!G4:G150")))</f>
        <v>139</v>
      </c>
      <c r="H162" s="241">
        <f t="shared" ref="H162:H170" ca="1" si="80">SUMPRODUCT(SUMIF(INDIRECT("'"&amp;SheetList&amp;"'!B4:B150"),$A162,INDIRECT("'"&amp;SheetList&amp;"'!h4:h150")))</f>
        <v>519</v>
      </c>
      <c r="I162" s="241">
        <f t="shared" ref="I162:I170" ca="1" si="81">SUMPRODUCT(SUMIF(INDIRECT("'"&amp;SheetList&amp;"'!B4:B150"),$A162,INDIRECT("'"&amp;SheetList&amp;"'!i4:i150")))</f>
        <v>240</v>
      </c>
      <c r="J162" s="241">
        <f t="shared" ref="J162:J170" ca="1" si="82">SUMPRODUCT(SUMIF(INDIRECT("'"&amp;SheetList&amp;"'!B4:B150"),$A162,INDIRECT("'"&amp;SheetList&amp;"'!j4:j150")))</f>
        <v>849</v>
      </c>
      <c r="K162" s="242">
        <f ca="1">IFERROR(IF(AND('CALLER Portal'!$Y$1 = "False", OverallTable[[#This Row],[Active]] = FALSE), "",OverallTable[[#This Row],[Total Gifts]]/OverallTable[[#This Row],[Contacts]]),"")</f>
        <v>0.22302158273381295</v>
      </c>
      <c r="L162" s="242">
        <f ca="1">IF(AND('CALLER Portal'!$Y$1 = "False", OverallTable[[#This Row],[Active]] = FALSE), "", IF(C162 = 0,"",IFERROR((E162+F162)/D162,0)))</f>
        <v>0.87096774193548387</v>
      </c>
      <c r="M162" s="242">
        <f ca="1">IF(AND('CALLER Portal'!$Y$1 = "False", OverallTable[[#This Row],[Active]] = FALSE), "",IF(C162 = 0,"",IFERROR(F162/D162,0)))</f>
        <v>6.4516129032258063E-2</v>
      </c>
      <c r="N162" s="243">
        <f ca="1">IF(AND('CALLER Portal'!$Y$1 = "False", OverallTable[[#This Row],[Active]] = FALSE), "", IFERROR((H162+I162)/C162,""))</f>
        <v>38.588642025522397</v>
      </c>
      <c r="O162" s="244">
        <f ca="1">IF(AND('CALLER Portal'!$Y$1 = "False", OverallTable[[#This Row],[Active]] = FALSE),"",IF(C162 = 0,"",IFERROR((E162+F162)/C162,0)))</f>
        <v>1.3727184910264882</v>
      </c>
      <c r="P162" s="244">
        <f ca="1">IF(AND('CALLER Portal'!$Y$1 = "False", OverallTable[[#This Row],[Active]] = FALSE), "", IF(C162 = 0,"",IFERROR((F162)/C162,0)))</f>
        <v>0.10168285118714729</v>
      </c>
      <c r="Q162" s="245">
        <f t="shared" ref="Q162:Q170" ca="1" si="83">IFERROR(G162/C162,"")</f>
        <v>7.0669581575067362</v>
      </c>
      <c r="R162" s="245">
        <f ca="1">IFERROR(_xlfn.PERCENTRANK.INC(OverallTable[F-Score], OverallTable[[#This Row],[F-Score]]),"")</f>
        <v>0.61299999999999999</v>
      </c>
      <c r="S162" s="245">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0.57850000000000013</v>
      </c>
      <c r="T162" s="246">
        <f t="shared" ref="T162:T170" ca="1" si="84">IFERROR(_xlfn.PERCENTRANK.EXC(K:K, K162), "")</f>
        <v>0.26600000000000001</v>
      </c>
      <c r="U162" s="141">
        <f t="shared" ref="U162:U170" ca="1" si="85">IFERROR(_xlfn.PERCENTRANK.EXC(L:L, L162), "")</f>
        <v>0.94399999999999995</v>
      </c>
      <c r="V162" s="141">
        <f t="shared" ref="V162:V170" ca="1" si="86">IFERROR(_xlfn.PERCENTRANK.EXC(M:M, M162), "")</f>
        <v>0.51100000000000001</v>
      </c>
      <c r="W162" s="141">
        <f t="shared" ref="W162:W170" ca="1" si="87">IFERROR(_xlfn.PERCENTRANK.EXC(N:N, N162), "")</f>
        <v>0.26600000000000001</v>
      </c>
      <c r="X162" s="141">
        <f t="shared" ref="X162:X170" ca="1" si="88">IFERROR(_xlfn.PERCENTRANK.EXC(O:O, O162), "")</f>
        <v>0.9</v>
      </c>
      <c r="Y162" s="141">
        <f t="shared" ref="Y162:Y170" ca="1" si="89">IFERROR(_xlfn.PERCENTRANK.EXC(P:P, P162), "")</f>
        <v>0.52200000000000002</v>
      </c>
      <c r="Z162" s="141" t="str">
        <f>IFERROR(IF('CALLER Portal'!$Y$1 = "TRUE", OverallTable[[#This Row],[Name]],IF(AND('CALLER Portal'!$Y$1 = "FALSE", OverallTable[[#This Row],[Active]] = TRUE),OverallTable[[#This Row],[Name]],"(Blank)")),"")</f>
        <v xml:space="preserve">Umaia Colley </v>
      </c>
      <c r="AB162" s="73" t="s">
        <v>398</v>
      </c>
    </row>
    <row r="163" spans="1:28" ht="15.75" thickBot="1" x14ac:dyDescent="0.3">
      <c r="A163" s="82" t="s">
        <v>398</v>
      </c>
      <c r="B163" s="134" t="b">
        <v>1</v>
      </c>
      <c r="C163" s="83">
        <f t="shared" ca="1" si="75"/>
        <v>29.580000000000002</v>
      </c>
      <c r="D163" s="83">
        <f t="shared" ca="1" si="76"/>
        <v>40</v>
      </c>
      <c r="E163" s="83">
        <f t="shared" ca="1" si="77"/>
        <v>18</v>
      </c>
      <c r="F163" s="83">
        <f t="shared" ca="1" si="78"/>
        <v>1</v>
      </c>
      <c r="G163" s="107">
        <f t="shared" ca="1" si="79"/>
        <v>187</v>
      </c>
      <c r="H163" s="84">
        <f t="shared" ca="1" si="80"/>
        <v>1085</v>
      </c>
      <c r="I163" s="84">
        <f t="shared" ca="1" si="81"/>
        <v>60</v>
      </c>
      <c r="J163" s="84">
        <f t="shared" ca="1" si="82"/>
        <v>2405</v>
      </c>
      <c r="K163" s="92">
        <f ca="1">IFERROR(IF(AND('CALLER Portal'!$Y$1 = "False", OverallTable[[#This Row],[Active]] = FALSE), "",OverallTable[[#This Row],[Total Gifts]]/OverallTable[[#This Row],[Contacts]]),"")</f>
        <v>0.21390374331550802</v>
      </c>
      <c r="L163" s="92">
        <f ca="1">IF(AND('CALLER Portal'!$Y$1 = "False", OverallTable[[#This Row],[Active]] = FALSE), "", IF(C163 = 0,"",IFERROR((E163+F163)/D163,0)))</f>
        <v>0.47499999999999998</v>
      </c>
      <c r="M163" s="92">
        <f ca="1">IF(AND('CALLER Portal'!$Y$1 = "False", OverallTable[[#This Row],[Active]] = FALSE), "",IF(C163 = 0,"",IFERROR(F163/D163,0)))</f>
        <v>2.5000000000000001E-2</v>
      </c>
      <c r="N163" s="85">
        <f ca="1">IF(AND('CALLER Portal'!$Y$1 = "False", OverallTable[[#This Row],[Active]] = FALSE), "", IFERROR((H163+I163)/C163,""))</f>
        <v>38.708586883029071</v>
      </c>
      <c r="O163" s="170">
        <f ca="1">IF(AND('CALLER Portal'!$Y$1 = "False", OverallTable[[#This Row],[Active]] = FALSE),"",IF(C163 = 0,"",IFERROR((E163+F163)/C163,0)))</f>
        <v>0.64232589587559152</v>
      </c>
      <c r="P163" s="170">
        <f ca="1">IF(AND('CALLER Portal'!$Y$1 = "False", OverallTable[[#This Row],[Active]] = FALSE), "", IF(C163 = 0,"",IFERROR((F163)/C163,0)))</f>
        <v>3.3806626098715348E-2</v>
      </c>
      <c r="Q163" s="86">
        <f t="shared" ca="1" si="83"/>
        <v>6.3218390804597693</v>
      </c>
      <c r="R163" s="86">
        <f ca="1">IFERROR(_xlfn.PERCENTRANK.INC(OverallTable[F-Score], OverallTable[[#This Row],[F-Score]]),"")</f>
        <v>0.125</v>
      </c>
      <c r="S163" s="86">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0.20860000000000001</v>
      </c>
      <c r="T163" s="273">
        <f t="shared" ca="1" si="84"/>
        <v>0.21099999999999999</v>
      </c>
      <c r="U163" s="117">
        <f t="shared" ca="1" si="85"/>
        <v>0.1</v>
      </c>
      <c r="V163" s="117">
        <f t="shared" ca="1" si="86"/>
        <v>0.222</v>
      </c>
      <c r="W163" s="117">
        <f t="shared" ca="1" si="87"/>
        <v>0.27700000000000002</v>
      </c>
      <c r="X163" s="117">
        <f t="shared" ca="1" si="88"/>
        <v>0.23300000000000001</v>
      </c>
      <c r="Y163" s="117">
        <f t="shared" ca="1" si="89"/>
        <v>0.222</v>
      </c>
      <c r="Z163" s="141" t="str">
        <f>IFERROR(IF('CALLER Portal'!$Y$1 = "TRUE", OverallTable[[#This Row],[Name]],IF(AND('CALLER Portal'!$Y$1 = "FALSE", OverallTable[[#This Row],[Active]] = TRUE),OverallTable[[#This Row],[Name]],"(Blank)")),"")</f>
        <v xml:space="preserve">Usman Fellow </v>
      </c>
      <c r="AB163" s="73" t="s">
        <v>384</v>
      </c>
    </row>
    <row r="164" spans="1:28" ht="15.75" thickBot="1" x14ac:dyDescent="0.3">
      <c r="A164" s="82" t="s">
        <v>384</v>
      </c>
      <c r="B164" s="134" t="b">
        <v>1</v>
      </c>
      <c r="C164" s="83">
        <f t="shared" ca="1" si="75"/>
        <v>0</v>
      </c>
      <c r="D164" s="83">
        <f t="shared" ca="1" si="76"/>
        <v>0</v>
      </c>
      <c r="E164" s="83">
        <f t="shared" ca="1" si="77"/>
        <v>0</v>
      </c>
      <c r="F164" s="83">
        <f t="shared" ca="1" si="78"/>
        <v>0</v>
      </c>
      <c r="G164" s="107">
        <f t="shared" ca="1" si="79"/>
        <v>0</v>
      </c>
      <c r="H164" s="84">
        <f t="shared" ca="1" si="80"/>
        <v>0</v>
      </c>
      <c r="I164" s="84">
        <f t="shared" ca="1" si="81"/>
        <v>0</v>
      </c>
      <c r="J164" s="84">
        <f t="shared" ca="1" si="82"/>
        <v>0</v>
      </c>
      <c r="K164" s="92" t="str">
        <f ca="1">IFERROR(IF(AND('CALLER Portal'!$Y$1 = "False", OverallTable[[#This Row],[Active]] = FALSE), "",OverallTable[[#This Row],[Total Gifts]]/OverallTable[[#This Row],[Contacts]]),"")</f>
        <v/>
      </c>
      <c r="L164" s="92" t="str">
        <f ca="1">IF(AND('CALLER Portal'!$Y$1 = "False", OverallTable[[#This Row],[Active]] = FALSE), "", IF(C164 = 0,"",IFERROR((E164+F164)/D164,0)))</f>
        <v/>
      </c>
      <c r="M164" s="92" t="str">
        <f ca="1">IF(AND('CALLER Portal'!$Y$1 = "False", OverallTable[[#This Row],[Active]] = FALSE), "",IF(C164 = 0,"",IFERROR(F164/D164,0)))</f>
        <v/>
      </c>
      <c r="N164" s="85" t="str">
        <f ca="1">IF(AND('CALLER Portal'!$Y$1 = "False", OverallTable[[#This Row],[Active]] = FALSE), "", IFERROR((H164+I164)/C164,""))</f>
        <v/>
      </c>
      <c r="O164" s="170" t="str">
        <f ca="1">IF(AND('CALLER Portal'!$Y$1 = "False", OverallTable[[#This Row],[Active]] = FALSE),"",IF(C164 = 0,"",IFERROR((E164+F164)/C164,0)))</f>
        <v/>
      </c>
      <c r="P164" s="170" t="str">
        <f ca="1">IF(AND('CALLER Portal'!$Y$1 = "False", OverallTable[[#This Row],[Active]] = FALSE), "", IF(C164 = 0,"",IFERROR((F164)/C164,0)))</f>
        <v/>
      </c>
      <c r="Q164" s="86" t="str">
        <f t="shared" ca="1" si="83"/>
        <v/>
      </c>
      <c r="R164" s="86" t="str">
        <f ca="1">IFERROR(_xlfn.PERCENTRANK.INC(OverallTable[F-Score], OverallTable[[#This Row],[F-Score]]),"")</f>
        <v/>
      </c>
      <c r="S164"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164" s="273" t="str">
        <f t="shared" ca="1" si="84"/>
        <v/>
      </c>
      <c r="U164" s="117" t="str">
        <f t="shared" ca="1" si="85"/>
        <v/>
      </c>
      <c r="V164" s="117" t="str">
        <f t="shared" ca="1" si="86"/>
        <v/>
      </c>
      <c r="W164" s="117" t="str">
        <f t="shared" ca="1" si="87"/>
        <v/>
      </c>
      <c r="X164" s="117" t="str">
        <f t="shared" ca="1" si="88"/>
        <v/>
      </c>
      <c r="Y164" s="117" t="str">
        <f t="shared" ca="1" si="89"/>
        <v/>
      </c>
      <c r="Z164" s="141" t="str">
        <f>IFERROR(IF('CALLER Portal'!$Y$1 = "TRUE", OverallTable[[#This Row],[Name]],IF(AND('CALLER Portal'!$Y$1 = "FALSE", OverallTable[[#This Row],[Active]] = TRUE),OverallTable[[#This Row],[Name]],"(Blank)")),"")</f>
        <v xml:space="preserve">Violet Adam </v>
      </c>
      <c r="AB164" s="73" t="s">
        <v>291</v>
      </c>
    </row>
    <row r="165" spans="1:28" ht="15.75" thickBot="1" x14ac:dyDescent="0.3">
      <c r="A165" s="82" t="s">
        <v>291</v>
      </c>
      <c r="B165" s="134" t="b">
        <v>1</v>
      </c>
      <c r="C165" s="83">
        <f t="shared" ca="1" si="75"/>
        <v>28.468000000000004</v>
      </c>
      <c r="D165" s="83">
        <f t="shared" ca="1" si="76"/>
        <v>46</v>
      </c>
      <c r="E165" s="83">
        <f t="shared" ca="1" si="77"/>
        <v>20</v>
      </c>
      <c r="F165" s="83">
        <f t="shared" ca="1" si="78"/>
        <v>9</v>
      </c>
      <c r="G165" s="107">
        <f t="shared" ca="1" si="79"/>
        <v>171</v>
      </c>
      <c r="H165" s="84">
        <f t="shared" ca="1" si="80"/>
        <v>885</v>
      </c>
      <c r="I165" s="84">
        <f t="shared" ca="1" si="81"/>
        <v>1080</v>
      </c>
      <c r="J165" s="84">
        <f t="shared" ca="1" si="82"/>
        <v>3020</v>
      </c>
      <c r="K165" s="92">
        <f ca="1">IFERROR(IF(AND('CALLER Portal'!$Y$1 = "False", OverallTable[[#This Row],[Active]] = FALSE), "",OverallTable[[#This Row],[Total Gifts]]/OverallTable[[#This Row],[Contacts]]),"")</f>
        <v>0.26900584795321636</v>
      </c>
      <c r="L165" s="92">
        <f ca="1">IF(AND('CALLER Portal'!$Y$1 = "False", OverallTable[[#This Row],[Active]] = FALSE), "", IF(C165 = 0,"",IFERROR((E165+F165)/D165,0)))</f>
        <v>0.63043478260869568</v>
      </c>
      <c r="M165" s="92">
        <f ca="1">IF(AND('CALLER Portal'!$Y$1 = "False", OverallTable[[#This Row],[Active]] = FALSE), "",IF(C165 = 0,"",IFERROR(F165/D165,0)))</f>
        <v>0.19565217391304349</v>
      </c>
      <c r="N165" s="85">
        <f ca="1">IF(AND('CALLER Portal'!$Y$1 = "False", OverallTable[[#This Row],[Active]] = FALSE), "", IFERROR((H165+I165)/C165,""))</f>
        <v>69.024870029506801</v>
      </c>
      <c r="O165" s="170">
        <f ca="1">IF(AND('CALLER Portal'!$Y$1 = "False", OverallTable[[#This Row],[Active]] = FALSE),"",IF(C165 = 0,"",IFERROR((E165+F165)/C165,0)))</f>
        <v>1.0186876492904313</v>
      </c>
      <c r="P165" s="170">
        <f ca="1">IF(AND('CALLER Portal'!$Y$1 = "False", OverallTable[[#This Row],[Active]] = FALSE), "", IF(C165 = 0,"",IFERROR((F165)/C165,0)))</f>
        <v>0.31614444288323729</v>
      </c>
      <c r="Q165" s="86">
        <f t="shared" ca="1" si="83"/>
        <v>6.0067444147815081</v>
      </c>
      <c r="R165" s="86">
        <f ca="1">IFERROR(_xlfn.PERCENTRANK.INC(OverallTable[F-Score], OverallTable[[#This Row],[F-Score]]),"")</f>
        <v>0.77200000000000002</v>
      </c>
      <c r="S165" s="86">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0.69740000000000002</v>
      </c>
      <c r="T165" s="273">
        <f t="shared" ca="1" si="84"/>
        <v>0.52200000000000002</v>
      </c>
      <c r="U165" s="117">
        <f t="shared" ca="1" si="85"/>
        <v>0.6</v>
      </c>
      <c r="V165" s="117">
        <f t="shared" ca="1" si="86"/>
        <v>0.95499999999999996</v>
      </c>
      <c r="W165" s="117">
        <f t="shared" ca="1" si="87"/>
        <v>0.755</v>
      </c>
      <c r="X165" s="117">
        <f t="shared" ca="1" si="88"/>
        <v>0.64400000000000002</v>
      </c>
      <c r="Y165" s="117">
        <f t="shared" ca="1" si="89"/>
        <v>0.97699999999999998</v>
      </c>
      <c r="Z165" s="141" t="str">
        <f>IFERROR(IF('CALLER Portal'!$Y$1 = "TRUE", OverallTable[[#This Row],[Name]],IF(AND('CALLER Portal'!$Y$1 = "FALSE", OverallTable[[#This Row],[Active]] = TRUE),OverallTable[[#This Row],[Name]],"(Blank)")),"")</f>
        <v xml:space="preserve">Vlad Frasier </v>
      </c>
      <c r="AB165" s="73" t="s">
        <v>348</v>
      </c>
    </row>
    <row r="166" spans="1:28" ht="15.75" thickBot="1" x14ac:dyDescent="0.3">
      <c r="A166" s="82" t="s">
        <v>348</v>
      </c>
      <c r="B166" s="134" t="b">
        <v>1</v>
      </c>
      <c r="C166" s="83">
        <f t="shared" ca="1" si="75"/>
        <v>0</v>
      </c>
      <c r="D166" s="83">
        <f t="shared" ca="1" si="76"/>
        <v>0</v>
      </c>
      <c r="E166" s="83">
        <f t="shared" ca="1" si="77"/>
        <v>0</v>
      </c>
      <c r="F166" s="83">
        <f t="shared" ca="1" si="78"/>
        <v>0</v>
      </c>
      <c r="G166" s="107">
        <f t="shared" ca="1" si="79"/>
        <v>0</v>
      </c>
      <c r="H166" s="84">
        <f t="shared" ca="1" si="80"/>
        <v>0</v>
      </c>
      <c r="I166" s="84">
        <f t="shared" ca="1" si="81"/>
        <v>0</v>
      </c>
      <c r="J166" s="84">
        <f t="shared" ca="1" si="82"/>
        <v>0</v>
      </c>
      <c r="K166" s="92" t="str">
        <f ca="1">IFERROR(IF(AND('CALLER Portal'!$Y$1 = "False", OverallTable[[#This Row],[Active]] = FALSE), "",OverallTable[[#This Row],[Total Gifts]]/OverallTable[[#This Row],[Contacts]]),"")</f>
        <v/>
      </c>
      <c r="L166" s="92" t="str">
        <f ca="1">IF(AND('CALLER Portal'!$Y$1 = "False", OverallTable[[#This Row],[Active]] = FALSE), "", IF(C166 = 0,"",IFERROR((E166+F166)/D166,0)))</f>
        <v/>
      </c>
      <c r="M166" s="92" t="str">
        <f ca="1">IF(AND('CALLER Portal'!$Y$1 = "False", OverallTable[[#This Row],[Active]] = FALSE), "",IF(C166 = 0,"",IFERROR(F166/D166,0)))</f>
        <v/>
      </c>
      <c r="N166" s="85" t="str">
        <f ca="1">IF(AND('CALLER Portal'!$Y$1 = "False", OverallTable[[#This Row],[Active]] = FALSE), "", IFERROR((H166+I166)/C166,""))</f>
        <v/>
      </c>
      <c r="O166" s="170" t="str">
        <f ca="1">IF(AND('CALLER Portal'!$Y$1 = "False", OverallTable[[#This Row],[Active]] = FALSE),"",IF(C166 = 0,"",IFERROR((E166+F166)/C166,0)))</f>
        <v/>
      </c>
      <c r="P166" s="170" t="str">
        <f ca="1">IF(AND('CALLER Portal'!$Y$1 = "False", OverallTable[[#This Row],[Active]] = FALSE), "", IF(C166 = 0,"",IFERROR((F166)/C166,0)))</f>
        <v/>
      </c>
      <c r="Q166" s="86" t="str">
        <f t="shared" ca="1" si="83"/>
        <v/>
      </c>
      <c r="R166" s="86" t="str">
        <f ca="1">IFERROR(_xlfn.PERCENTRANK.INC(OverallTable[F-Score], OverallTable[[#This Row],[F-Score]]),"")</f>
        <v/>
      </c>
      <c r="S166"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166" s="273" t="str">
        <f t="shared" ca="1" si="84"/>
        <v/>
      </c>
      <c r="U166" s="117" t="str">
        <f t="shared" ca="1" si="85"/>
        <v/>
      </c>
      <c r="V166" s="117" t="str">
        <f t="shared" ca="1" si="86"/>
        <v/>
      </c>
      <c r="W166" s="117" t="str">
        <f t="shared" ca="1" si="87"/>
        <v/>
      </c>
      <c r="X166" s="117" t="str">
        <f t="shared" ca="1" si="88"/>
        <v/>
      </c>
      <c r="Y166" s="117" t="str">
        <f t="shared" ca="1" si="89"/>
        <v/>
      </c>
      <c r="Z166" s="141" t="str">
        <f>IFERROR(IF('CALLER Portal'!$Y$1 = "TRUE", OverallTable[[#This Row],[Name]],IF(AND('CALLER Portal'!$Y$1 = "FALSE", OverallTable[[#This Row],[Active]] = TRUE),OverallTable[[#This Row],[Name]],"(Blank)")),"")</f>
        <v xml:space="preserve">Willmer Morisson </v>
      </c>
      <c r="AB166" s="73" t="s">
        <v>376</v>
      </c>
    </row>
    <row r="167" spans="1:28" ht="15.75" thickBot="1" x14ac:dyDescent="0.3">
      <c r="A167" s="82" t="s">
        <v>376</v>
      </c>
      <c r="B167" s="134" t="b">
        <v>1</v>
      </c>
      <c r="C167" s="83">
        <f t="shared" ca="1" si="75"/>
        <v>0</v>
      </c>
      <c r="D167" s="83">
        <f t="shared" ca="1" si="76"/>
        <v>0</v>
      </c>
      <c r="E167" s="83">
        <f t="shared" ca="1" si="77"/>
        <v>0</v>
      </c>
      <c r="F167" s="83">
        <f t="shared" ca="1" si="78"/>
        <v>0</v>
      </c>
      <c r="G167" s="107">
        <f t="shared" ca="1" si="79"/>
        <v>0</v>
      </c>
      <c r="H167" s="84">
        <f t="shared" ca="1" si="80"/>
        <v>0</v>
      </c>
      <c r="I167" s="84">
        <f t="shared" ca="1" si="81"/>
        <v>0</v>
      </c>
      <c r="J167" s="84">
        <f t="shared" ca="1" si="82"/>
        <v>0</v>
      </c>
      <c r="K167" s="92" t="str">
        <f ca="1">IFERROR(IF(AND('CALLER Portal'!$Y$1 = "False", OverallTable[[#This Row],[Active]] = FALSE), "",OverallTable[[#This Row],[Total Gifts]]/OverallTable[[#This Row],[Contacts]]),"")</f>
        <v/>
      </c>
      <c r="L167" s="92" t="str">
        <f ca="1">IF(AND('CALLER Portal'!$Y$1 = "False", OverallTable[[#This Row],[Active]] = FALSE), "", IF(C167 = 0,"",IFERROR((E167+F167)/D167,0)))</f>
        <v/>
      </c>
      <c r="M167" s="92" t="str">
        <f ca="1">IF(AND('CALLER Portal'!$Y$1 = "False", OverallTable[[#This Row],[Active]] = FALSE), "",IF(C167 = 0,"",IFERROR(F167/D167,0)))</f>
        <v/>
      </c>
      <c r="N167" s="85" t="str">
        <f ca="1">IF(AND('CALLER Portal'!$Y$1 = "False", OverallTable[[#This Row],[Active]] = FALSE), "", IFERROR((H167+I167)/C167,""))</f>
        <v/>
      </c>
      <c r="O167" s="170" t="str">
        <f ca="1">IF(AND('CALLER Portal'!$Y$1 = "False", OverallTable[[#This Row],[Active]] = FALSE),"",IF(C167 = 0,"",IFERROR((E167+F167)/C167,0)))</f>
        <v/>
      </c>
      <c r="P167" s="170" t="str">
        <f ca="1">IF(AND('CALLER Portal'!$Y$1 = "False", OverallTable[[#This Row],[Active]] = FALSE), "", IF(C167 = 0,"",IFERROR((F167)/C167,0)))</f>
        <v/>
      </c>
      <c r="Q167" s="86" t="str">
        <f t="shared" ca="1" si="83"/>
        <v/>
      </c>
      <c r="R167" s="86" t="str">
        <f ca="1">IFERROR(_xlfn.PERCENTRANK.INC(OverallTable[F-Score], OverallTable[[#This Row],[F-Score]]),"")</f>
        <v/>
      </c>
      <c r="S167"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167" s="273" t="str">
        <f t="shared" ca="1" si="84"/>
        <v/>
      </c>
      <c r="U167" s="117" t="str">
        <f t="shared" ca="1" si="85"/>
        <v/>
      </c>
      <c r="V167" s="117" t="str">
        <f t="shared" ca="1" si="86"/>
        <v/>
      </c>
      <c r="W167" s="117" t="str">
        <f t="shared" ca="1" si="87"/>
        <v/>
      </c>
      <c r="X167" s="117" t="str">
        <f t="shared" ca="1" si="88"/>
        <v/>
      </c>
      <c r="Y167" s="117" t="str">
        <f t="shared" ca="1" si="89"/>
        <v/>
      </c>
      <c r="Z167" s="141" t="str">
        <f>IFERROR(IF('CALLER Portal'!$Y$1 = "TRUE", OverallTable[[#This Row],[Name]],IF(AND('CALLER Portal'!$Y$1 = "FALSE", OverallTable[[#This Row],[Active]] = TRUE),OverallTable[[#This Row],[Name]],"(Blank)")),"")</f>
        <v xml:space="preserve">Yusha Roman </v>
      </c>
      <c r="AB167" s="73" t="s">
        <v>312</v>
      </c>
    </row>
    <row r="168" spans="1:28" ht="15.75" thickBot="1" x14ac:dyDescent="0.3">
      <c r="A168" s="82" t="s">
        <v>312</v>
      </c>
      <c r="B168" s="134" t="b">
        <v>1</v>
      </c>
      <c r="C168" s="239">
        <f t="shared" ca="1" si="75"/>
        <v>11.446999999999999</v>
      </c>
      <c r="D168" s="239">
        <f t="shared" ca="1" si="76"/>
        <v>7</v>
      </c>
      <c r="E168" s="239">
        <f t="shared" ca="1" si="77"/>
        <v>5</v>
      </c>
      <c r="F168" s="239">
        <f t="shared" ca="1" si="78"/>
        <v>1</v>
      </c>
      <c r="G168" s="240">
        <f t="shared" ca="1" si="79"/>
        <v>78</v>
      </c>
      <c r="H168" s="241">
        <f t="shared" ca="1" si="80"/>
        <v>119</v>
      </c>
      <c r="I168" s="241">
        <f t="shared" ca="1" si="81"/>
        <v>120</v>
      </c>
      <c r="J168" s="241">
        <f t="shared" ca="1" si="82"/>
        <v>339</v>
      </c>
      <c r="K168" s="242">
        <f ca="1">IFERROR(IF(AND('CALLER Portal'!$Y$1 = "False", OverallTable[[#This Row],[Active]] = FALSE), "",OverallTable[[#This Row],[Total Gifts]]/OverallTable[[#This Row],[Contacts]]),"")</f>
        <v>8.9743589743589744E-2</v>
      </c>
      <c r="L168" s="242">
        <f ca="1">IF(AND('CALLER Portal'!$Y$1 = "False", OverallTable[[#This Row],[Active]] = FALSE), "", IF(C168 = 0,"",IFERROR((E168+F168)/D168,0)))</f>
        <v>0.8571428571428571</v>
      </c>
      <c r="M168" s="242">
        <f ca="1">IF(AND('CALLER Portal'!$Y$1 = "False", OverallTable[[#This Row],[Active]] = FALSE), "",IF(C168 = 0,"",IFERROR(F168/D168,0)))</f>
        <v>0.14285714285714285</v>
      </c>
      <c r="N168" s="243">
        <f ca="1">IF(AND('CALLER Portal'!$Y$1 = "False", OverallTable[[#This Row],[Active]] = FALSE), "", IFERROR((H168+I168)/C168,""))</f>
        <v>20.878832881977811</v>
      </c>
      <c r="O168" s="244">
        <f ca="1">IF(AND('CALLER Portal'!$Y$1 = "False", OverallTable[[#This Row],[Active]] = FALSE),"",IF(C168 = 0,"",IFERROR((E168+F168)/C168,0)))</f>
        <v>0.52415480038438023</v>
      </c>
      <c r="P168" s="244">
        <f ca="1">IF(AND('CALLER Portal'!$Y$1 = "False", OverallTable[[#This Row],[Active]] = FALSE), "", IF(C168 = 0,"",IFERROR((F168)/C168,0)))</f>
        <v>8.7359133397396704E-2</v>
      </c>
      <c r="Q168" s="245">
        <f t="shared" ca="1" si="83"/>
        <v>6.8140124049969426</v>
      </c>
      <c r="R168" s="245">
        <f ca="1">IFERROR(_xlfn.PERCENTRANK.INC(OverallTable[F-Score], OverallTable[[#This Row],[F-Score]]),"")</f>
        <v>0.27200000000000002</v>
      </c>
      <c r="S168" s="245">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0.37170000000000003</v>
      </c>
      <c r="T168" s="246">
        <f t="shared" ca="1" si="84"/>
        <v>5.5E-2</v>
      </c>
      <c r="U168" s="141">
        <f t="shared" ca="1" si="85"/>
        <v>0.92200000000000004</v>
      </c>
      <c r="V168" s="141">
        <f t="shared" ca="1" si="86"/>
        <v>0.83299999999999996</v>
      </c>
      <c r="W168" s="141">
        <f t="shared" ca="1" si="87"/>
        <v>8.7999999999999995E-2</v>
      </c>
      <c r="X168" s="141">
        <f t="shared" ca="1" si="88"/>
        <v>0.14399999999999999</v>
      </c>
      <c r="Y168" s="141">
        <f t="shared" ca="1" si="89"/>
        <v>0.46600000000000003</v>
      </c>
      <c r="Z168" s="141" t="str">
        <f>IFERROR(IF('CALLER Portal'!$Y$1 = "TRUE", OverallTable[[#This Row],[Name]],IF(AND('CALLER Portal'!$Y$1 = "FALSE", OverallTable[[#This Row],[Active]] = TRUE),OverallTable[[#This Row],[Name]],"(Blank)")),"")</f>
        <v xml:space="preserve">Yuvraj Dens </v>
      </c>
      <c r="AB168" s="73" t="s">
        <v>313</v>
      </c>
    </row>
    <row r="169" spans="1:28" ht="15.75" thickBot="1" x14ac:dyDescent="0.3">
      <c r="A169" s="82" t="s">
        <v>313</v>
      </c>
      <c r="B169" s="134" t="b">
        <v>1</v>
      </c>
      <c r="C169" s="83">
        <f t="shared" ca="1" si="75"/>
        <v>0</v>
      </c>
      <c r="D169" s="83">
        <f t="shared" ca="1" si="76"/>
        <v>0</v>
      </c>
      <c r="E169" s="83">
        <f t="shared" ca="1" si="77"/>
        <v>0</v>
      </c>
      <c r="F169" s="83">
        <f t="shared" ca="1" si="78"/>
        <v>0</v>
      </c>
      <c r="G169" s="107">
        <f t="shared" ca="1" si="79"/>
        <v>0</v>
      </c>
      <c r="H169" s="84">
        <f t="shared" ca="1" si="80"/>
        <v>0</v>
      </c>
      <c r="I169" s="84">
        <f t="shared" ca="1" si="81"/>
        <v>0</v>
      </c>
      <c r="J169" s="84">
        <f t="shared" ca="1" si="82"/>
        <v>0</v>
      </c>
      <c r="K169" s="92" t="str">
        <f ca="1">IFERROR(IF(AND('CALLER Portal'!$Y$1 = "False", OverallTable[[#This Row],[Active]] = FALSE), "",OverallTable[[#This Row],[Total Gifts]]/OverallTable[[#This Row],[Contacts]]),"")</f>
        <v/>
      </c>
      <c r="L169" s="92" t="str">
        <f ca="1">IF(AND('CALLER Portal'!$Y$1 = "False", OverallTable[[#This Row],[Active]] = FALSE), "", IF(C169 = 0,"",IFERROR((E169+F169)/D169,0)))</f>
        <v/>
      </c>
      <c r="M169" s="92" t="str">
        <f ca="1">IF(AND('CALLER Portal'!$Y$1 = "False", OverallTable[[#This Row],[Active]] = FALSE), "",IF(C169 = 0,"",IFERROR(F169/D169,0)))</f>
        <v/>
      </c>
      <c r="N169" s="85" t="str">
        <f ca="1">IF(AND('CALLER Portal'!$Y$1 = "False", OverallTable[[#This Row],[Active]] = FALSE), "", IFERROR((H169+I169)/C169,""))</f>
        <v/>
      </c>
      <c r="O169" s="170" t="str">
        <f ca="1">IF(AND('CALLER Portal'!$Y$1 = "False", OverallTable[[#This Row],[Active]] = FALSE),"",IF(C169 = 0,"",IFERROR((E169+F169)/C169,0)))</f>
        <v/>
      </c>
      <c r="P169" s="170" t="str">
        <f ca="1">IF(AND('CALLER Portal'!$Y$1 = "False", OverallTable[[#This Row],[Active]] = FALSE), "", IF(C169 = 0,"",IFERROR((F169)/C169,0)))</f>
        <v/>
      </c>
      <c r="Q169" s="86" t="str">
        <f t="shared" ca="1" si="83"/>
        <v/>
      </c>
      <c r="R169" s="86" t="str">
        <f ca="1">IFERROR(_xlfn.PERCENTRANK.INC(OverallTable[F-Score], OverallTable[[#This Row],[F-Score]]),"")</f>
        <v/>
      </c>
      <c r="S169"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169" s="273" t="str">
        <f t="shared" ca="1" si="84"/>
        <v/>
      </c>
      <c r="U169" s="117" t="str">
        <f t="shared" ca="1" si="85"/>
        <v/>
      </c>
      <c r="V169" s="117" t="str">
        <f t="shared" ca="1" si="86"/>
        <v/>
      </c>
      <c r="W169" s="117" t="str">
        <f t="shared" ca="1" si="87"/>
        <v/>
      </c>
      <c r="X169" s="117" t="str">
        <f t="shared" ca="1" si="88"/>
        <v/>
      </c>
      <c r="Y169" s="117" t="str">
        <f t="shared" ca="1" si="89"/>
        <v/>
      </c>
      <c r="Z169" s="141" t="str">
        <f>IFERROR(IF('CALLER Portal'!$Y$1 = "TRUE", OverallTable[[#This Row],[Name]],IF(AND('CALLER Portal'!$Y$1 = "FALSE", OverallTable[[#This Row],[Active]] = TRUE),OverallTable[[#This Row],[Name]],"(Blank)")),"")</f>
        <v xml:space="preserve">Zach Yugma </v>
      </c>
      <c r="AB169" s="73" t="s">
        <v>343</v>
      </c>
    </row>
    <row r="170" spans="1:28" x14ac:dyDescent="0.25">
      <c r="A170" s="82" t="s">
        <v>343</v>
      </c>
      <c r="B170" s="134" t="b">
        <v>1</v>
      </c>
      <c r="C170" s="83">
        <f t="shared" ca="1" si="75"/>
        <v>0</v>
      </c>
      <c r="D170" s="83">
        <f t="shared" ca="1" si="76"/>
        <v>0</v>
      </c>
      <c r="E170" s="83">
        <f t="shared" ca="1" si="77"/>
        <v>0</v>
      </c>
      <c r="F170" s="83">
        <f t="shared" ca="1" si="78"/>
        <v>0</v>
      </c>
      <c r="G170" s="107">
        <f t="shared" ca="1" si="79"/>
        <v>0</v>
      </c>
      <c r="H170" s="84">
        <f t="shared" ca="1" si="80"/>
        <v>0</v>
      </c>
      <c r="I170" s="84">
        <f t="shared" ca="1" si="81"/>
        <v>0</v>
      </c>
      <c r="J170" s="84">
        <f t="shared" ca="1" si="82"/>
        <v>0</v>
      </c>
      <c r="K170" s="92" t="str">
        <f ca="1">IFERROR(IF(AND('CALLER Portal'!$Y$1 = "False", OverallTable[[#This Row],[Active]] = FALSE), "",OverallTable[[#This Row],[Total Gifts]]/OverallTable[[#This Row],[Contacts]]),"")</f>
        <v/>
      </c>
      <c r="L170" s="92" t="str">
        <f ca="1">IF(AND('CALLER Portal'!$Y$1 = "False", OverallTable[[#This Row],[Active]] = FALSE), "", IF(C170 = 0,"",IFERROR((E170+F170)/D170,0)))</f>
        <v/>
      </c>
      <c r="M170" s="92" t="str">
        <f ca="1">IF(AND('CALLER Portal'!$Y$1 = "False", OverallTable[[#This Row],[Active]] = FALSE), "",IF(C170 = 0,"",IFERROR(F170/D170,0)))</f>
        <v/>
      </c>
      <c r="N170" s="85" t="str">
        <f ca="1">IF(AND('CALLER Portal'!$Y$1 = "False", OverallTable[[#This Row],[Active]] = FALSE), "", IFERROR((H170+I170)/C170,""))</f>
        <v/>
      </c>
      <c r="O170" s="170" t="str">
        <f ca="1">IF(AND('CALLER Portal'!$Y$1 = "False", OverallTable[[#This Row],[Active]] = FALSE),"",IF(C170 = 0,"",IFERROR((E170+F170)/C170,0)))</f>
        <v/>
      </c>
      <c r="P170" s="170" t="str">
        <f ca="1">IF(AND('CALLER Portal'!$Y$1 = "False", OverallTable[[#This Row],[Active]] = FALSE), "", IF(C170 = 0,"",IFERROR((F170)/C170,0)))</f>
        <v/>
      </c>
      <c r="Q170" s="86" t="str">
        <f t="shared" ca="1" si="83"/>
        <v/>
      </c>
      <c r="R170" s="86" t="str">
        <f ca="1">IFERROR(_xlfn.PERCENTRANK.INC(OverallTable[F-Score], OverallTable[[#This Row],[F-Score]]),"")</f>
        <v/>
      </c>
      <c r="S170" s="86" t="str">
        <f ca="1">IFERROR('Caller Portal Instructions'!$D$31 * OverallTable[[#This Row],[Percent Rank PR]] + 'Caller Portal Instructions'!$E$31 *OverallTable[[#This Row],[Percent Rank IGR]] + 'Caller Portal Instructions'!$F$31 *OverallTable[[#This Row],[Percent Rank RGR]] + 'Caller Portal Instructions'!$G$31 *OverallTable[[#This Row],[Percent Rank IAH]] + 'Caller Portal Instructions'!$H$31 *OverallTable[[#This Row],[Percent Rank IGH]] + 'Caller Portal Instructions'!$I$31 *OverallTable[[#This Row],[Percent Rank RGH]], "")</f>
        <v/>
      </c>
      <c r="T170" s="273" t="str">
        <f t="shared" ca="1" si="84"/>
        <v/>
      </c>
      <c r="U170" s="117" t="str">
        <f t="shared" ca="1" si="85"/>
        <v/>
      </c>
      <c r="V170" s="117" t="str">
        <f t="shared" ca="1" si="86"/>
        <v/>
      </c>
      <c r="W170" s="117" t="str">
        <f t="shared" ca="1" si="87"/>
        <v/>
      </c>
      <c r="X170" s="117" t="str">
        <f t="shared" ca="1" si="88"/>
        <v/>
      </c>
      <c r="Y170" s="117" t="str">
        <f t="shared" ca="1" si="89"/>
        <v/>
      </c>
      <c r="Z170" s="141" t="str">
        <f>IFERROR(IF('CALLER Portal'!$Y$1 = "TRUE", OverallTable[[#This Row],[Name]],IF(AND('CALLER Portal'!$Y$1 = "FALSE", OverallTable[[#This Row],[Active]] = TRUE),OverallTable[[#This Row],[Name]],"(Blank)")),"")</f>
        <v xml:space="preserve">Zane McArthur </v>
      </c>
    </row>
    <row r="171" spans="1:28" x14ac:dyDescent="0.25">
      <c r="J171"/>
      <c r="K171"/>
      <c r="L171"/>
      <c r="M171"/>
      <c r="N171"/>
      <c r="O171" s="4"/>
      <c r="P171" s="4"/>
      <c r="Q171"/>
      <c r="R171" s="81"/>
    </row>
    <row r="172" spans="1:28" x14ac:dyDescent="0.25">
      <c r="J172"/>
      <c r="K172"/>
      <c r="L172"/>
      <c r="M172"/>
      <c r="N172"/>
      <c r="O172" s="4"/>
      <c r="P172" s="4"/>
      <c r="Q172"/>
      <c r="R172" s="81"/>
    </row>
    <row r="173" spans="1:28" x14ac:dyDescent="0.25">
      <c r="J173"/>
      <c r="K173"/>
      <c r="L173"/>
      <c r="M173"/>
      <c r="N173"/>
      <c r="O173" s="4"/>
      <c r="P173" s="4"/>
      <c r="Q173"/>
      <c r="R173" s="81"/>
    </row>
    <row r="174" spans="1:28" x14ac:dyDescent="0.25">
      <c r="J174"/>
      <c r="K174"/>
      <c r="L174"/>
      <c r="M174"/>
      <c r="N174"/>
      <c r="O174" s="4"/>
      <c r="P174" s="4"/>
      <c r="Q174"/>
      <c r="R174" s="81"/>
    </row>
    <row r="175" spans="1:28" x14ac:dyDescent="0.25">
      <c r="J175"/>
      <c r="K175"/>
      <c r="L175"/>
      <c r="M175"/>
      <c r="N175"/>
      <c r="O175" s="4"/>
      <c r="P175" s="4"/>
      <c r="Q175"/>
      <c r="R175" s="81"/>
    </row>
    <row r="176" spans="1:28" x14ac:dyDescent="0.25">
      <c r="J176"/>
      <c r="K176"/>
      <c r="L176"/>
      <c r="M176"/>
      <c r="N176"/>
      <c r="O176" s="4"/>
      <c r="P176" s="4"/>
      <c r="Q176"/>
      <c r="R176" s="81"/>
    </row>
    <row r="177" spans="10:18" x14ac:dyDescent="0.25">
      <c r="J177"/>
      <c r="K177"/>
      <c r="L177"/>
      <c r="M177"/>
      <c r="N177"/>
      <c r="O177" s="4"/>
      <c r="P177" s="4"/>
      <c r="Q177"/>
      <c r="R177" s="81"/>
    </row>
    <row r="178" spans="10:18" x14ac:dyDescent="0.25">
      <c r="J178"/>
      <c r="K178"/>
      <c r="L178"/>
      <c r="M178"/>
      <c r="N178"/>
      <c r="O178" s="4"/>
      <c r="P178" s="4"/>
      <c r="Q178"/>
      <c r="R178" s="81"/>
    </row>
    <row r="179" spans="10:18" x14ac:dyDescent="0.25">
      <c r="J179"/>
      <c r="K179"/>
      <c r="L179"/>
      <c r="M179"/>
      <c r="N179"/>
      <c r="O179" s="4"/>
      <c r="P179" s="4"/>
      <c r="Q179"/>
      <c r="R179" s="81"/>
    </row>
    <row r="180" spans="10:18" x14ac:dyDescent="0.25">
      <c r="J180"/>
      <c r="K180"/>
      <c r="L180"/>
      <c r="M180"/>
      <c r="N180"/>
      <c r="O180" s="4"/>
      <c r="P180" s="4"/>
      <c r="Q180"/>
      <c r="R180" s="81"/>
    </row>
    <row r="181" spans="10:18" x14ac:dyDescent="0.25">
      <c r="J181"/>
      <c r="K181"/>
      <c r="L181"/>
      <c r="M181"/>
      <c r="N181"/>
      <c r="O181" s="4"/>
      <c r="P181" s="4"/>
      <c r="Q181"/>
      <c r="R181" s="81"/>
    </row>
    <row r="182" spans="10:18" x14ac:dyDescent="0.25">
      <c r="J182"/>
      <c r="K182"/>
      <c r="L182"/>
      <c r="M182"/>
      <c r="N182"/>
      <c r="O182" s="4"/>
      <c r="P182" s="4"/>
      <c r="Q182"/>
      <c r="R182" s="81"/>
    </row>
    <row r="183" spans="10:18" x14ac:dyDescent="0.25">
      <c r="J183"/>
      <c r="K183"/>
      <c r="L183"/>
      <c r="M183"/>
      <c r="N183"/>
      <c r="O183" s="4"/>
      <c r="P183" s="4"/>
      <c r="Q183"/>
      <c r="R183" s="81"/>
    </row>
    <row r="184" spans="10:18" x14ac:dyDescent="0.25">
      <c r="J184"/>
      <c r="K184"/>
      <c r="L184"/>
      <c r="M184"/>
      <c r="N184"/>
      <c r="O184" s="4"/>
      <c r="P184" s="4"/>
      <c r="Q184"/>
      <c r="R184" s="81"/>
    </row>
    <row r="185" spans="10:18" x14ac:dyDescent="0.25">
      <c r="J185"/>
      <c r="K185"/>
      <c r="L185"/>
      <c r="M185"/>
      <c r="N185"/>
      <c r="O185" s="4"/>
      <c r="P185" s="4"/>
      <c r="Q185"/>
      <c r="R185" s="81"/>
    </row>
    <row r="186" spans="10:18" x14ac:dyDescent="0.25">
      <c r="J186"/>
      <c r="K186"/>
      <c r="L186"/>
      <c r="M186"/>
      <c r="N186"/>
      <c r="O186" s="4"/>
      <c r="P186" s="4"/>
      <c r="Q186"/>
      <c r="R186" s="81"/>
    </row>
    <row r="187" spans="10:18" x14ac:dyDescent="0.25">
      <c r="J187"/>
      <c r="K187"/>
      <c r="L187"/>
      <c r="M187"/>
      <c r="N187"/>
      <c r="O187" s="4"/>
      <c r="P187" s="4"/>
      <c r="Q187"/>
      <c r="R187" s="81"/>
    </row>
    <row r="188" spans="10:18" x14ac:dyDescent="0.25">
      <c r="J188"/>
      <c r="K188"/>
      <c r="L188"/>
      <c r="M188"/>
      <c r="N188"/>
      <c r="O188" s="4"/>
      <c r="P188" s="4"/>
      <c r="Q188"/>
      <c r="R188" s="81"/>
    </row>
    <row r="189" spans="10:18" x14ac:dyDescent="0.25">
      <c r="J189"/>
      <c r="K189"/>
      <c r="L189"/>
      <c r="M189"/>
      <c r="N189"/>
      <c r="O189" s="4"/>
      <c r="P189" s="4"/>
      <c r="Q189"/>
      <c r="R189" s="81"/>
    </row>
    <row r="190" spans="10:18" x14ac:dyDescent="0.25">
      <c r="J190"/>
      <c r="K190"/>
      <c r="L190"/>
      <c r="M190"/>
      <c r="N190"/>
      <c r="O190" s="4"/>
      <c r="P190" s="4"/>
      <c r="Q190"/>
      <c r="R190" s="81"/>
    </row>
    <row r="191" spans="10:18" x14ac:dyDescent="0.25">
      <c r="J191"/>
      <c r="K191"/>
      <c r="L191"/>
      <c r="M191"/>
      <c r="N191"/>
      <c r="O191" s="4"/>
      <c r="P191" s="4"/>
      <c r="Q191"/>
      <c r="R191" s="81"/>
    </row>
    <row r="192" spans="10:18" x14ac:dyDescent="0.25">
      <c r="J192"/>
      <c r="K192"/>
      <c r="L192"/>
      <c r="M192"/>
      <c r="N192"/>
      <c r="O192" s="4"/>
      <c r="P192" s="4"/>
      <c r="Q192"/>
      <c r="R192" s="81"/>
    </row>
    <row r="193" spans="10:18" x14ac:dyDescent="0.25">
      <c r="J193"/>
      <c r="K193"/>
      <c r="L193"/>
      <c r="M193"/>
      <c r="N193"/>
      <c r="O193" s="4"/>
      <c r="P193" s="4"/>
      <c r="Q193"/>
      <c r="R193" s="81"/>
    </row>
    <row r="194" spans="10:18" x14ac:dyDescent="0.25">
      <c r="J194"/>
      <c r="K194"/>
      <c r="L194"/>
      <c r="M194"/>
      <c r="N194"/>
      <c r="O194" s="4"/>
      <c r="P194" s="4"/>
      <c r="Q194"/>
      <c r="R194" s="81"/>
    </row>
    <row r="195" spans="10:18" x14ac:dyDescent="0.25">
      <c r="J195"/>
      <c r="K195"/>
      <c r="L195"/>
      <c r="M195"/>
      <c r="N195"/>
      <c r="O195" s="4"/>
      <c r="P195" s="4"/>
      <c r="Q195"/>
      <c r="R195" s="81"/>
    </row>
    <row r="196" spans="10:18" x14ac:dyDescent="0.25">
      <c r="J196"/>
      <c r="K196"/>
      <c r="L196"/>
      <c r="M196"/>
      <c r="N196"/>
      <c r="O196" s="4"/>
      <c r="P196" s="4"/>
      <c r="Q196"/>
      <c r="R196" s="81"/>
    </row>
    <row r="197" spans="10:18" x14ac:dyDescent="0.25">
      <c r="J197"/>
      <c r="K197"/>
      <c r="L197"/>
      <c r="M197"/>
      <c r="N197"/>
      <c r="O197" s="4"/>
      <c r="P197" s="4"/>
      <c r="Q197"/>
      <c r="R197" s="81"/>
    </row>
    <row r="198" spans="10:18" x14ac:dyDescent="0.25">
      <c r="J198"/>
      <c r="K198"/>
      <c r="L198"/>
      <c r="M198"/>
      <c r="N198"/>
      <c r="O198" s="4"/>
      <c r="P198" s="4"/>
      <c r="Q198"/>
      <c r="R198" s="81"/>
    </row>
    <row r="199" spans="10:18" x14ac:dyDescent="0.25">
      <c r="J199"/>
      <c r="K199"/>
      <c r="L199"/>
      <c r="M199"/>
      <c r="N199"/>
      <c r="O199" s="4"/>
      <c r="P199" s="4"/>
      <c r="Q199"/>
      <c r="R199" s="81"/>
    </row>
    <row r="200" spans="10:18" x14ac:dyDescent="0.25">
      <c r="J200"/>
      <c r="K200"/>
      <c r="L200"/>
      <c r="M200"/>
      <c r="N200"/>
      <c r="O200" s="4"/>
      <c r="P200" s="4"/>
      <c r="Q200"/>
      <c r="R200" s="81"/>
    </row>
    <row r="201" spans="10:18" x14ac:dyDescent="0.25">
      <c r="J201"/>
      <c r="K201"/>
      <c r="L201"/>
      <c r="M201"/>
      <c r="N201"/>
      <c r="O201" s="4"/>
      <c r="P201" s="4"/>
      <c r="Q201"/>
      <c r="R201" s="81"/>
    </row>
    <row r="202" spans="10:18" x14ac:dyDescent="0.25">
      <c r="J202"/>
      <c r="K202"/>
      <c r="L202"/>
      <c r="M202"/>
      <c r="N202"/>
      <c r="O202" s="4"/>
      <c r="P202" s="4"/>
      <c r="Q202"/>
      <c r="R202" s="81"/>
    </row>
    <row r="203" spans="10:18" x14ac:dyDescent="0.25">
      <c r="J203"/>
      <c r="K203"/>
      <c r="L203"/>
      <c r="M203"/>
      <c r="N203"/>
      <c r="O203" s="4"/>
      <c r="P203" s="4"/>
      <c r="Q203"/>
      <c r="R203" s="81"/>
    </row>
    <row r="204" spans="10:18" x14ac:dyDescent="0.25">
      <c r="J204"/>
      <c r="K204"/>
      <c r="L204"/>
      <c r="M204"/>
      <c r="N204"/>
      <c r="O204" s="4"/>
      <c r="P204" s="4"/>
      <c r="Q204"/>
      <c r="R204" s="81"/>
    </row>
    <row r="205" spans="10:18" x14ac:dyDescent="0.25">
      <c r="J205"/>
      <c r="K205"/>
      <c r="L205"/>
      <c r="M205"/>
      <c r="N205"/>
      <c r="O205" s="4"/>
      <c r="P205" s="4"/>
      <c r="Q205"/>
      <c r="R205" s="81"/>
    </row>
    <row r="206" spans="10:18" x14ac:dyDescent="0.25">
      <c r="J206"/>
      <c r="K206"/>
      <c r="L206"/>
      <c r="M206"/>
      <c r="N206"/>
      <c r="O206" s="4"/>
      <c r="P206" s="4"/>
      <c r="Q206"/>
      <c r="R206" s="81"/>
    </row>
    <row r="207" spans="10:18" x14ac:dyDescent="0.25">
      <c r="J207"/>
      <c r="K207"/>
      <c r="L207"/>
      <c r="M207"/>
      <c r="N207"/>
      <c r="O207" s="4"/>
      <c r="P207" s="4"/>
      <c r="Q207"/>
      <c r="R207" s="81"/>
    </row>
    <row r="208" spans="10:18" x14ac:dyDescent="0.25">
      <c r="J208"/>
      <c r="K208"/>
      <c r="L208"/>
      <c r="M208"/>
      <c r="N208"/>
      <c r="O208" s="4"/>
      <c r="P208" s="4"/>
      <c r="Q208"/>
      <c r="R208" s="81"/>
    </row>
    <row r="209" spans="10:18" x14ac:dyDescent="0.25">
      <c r="J209"/>
      <c r="K209"/>
      <c r="L209"/>
      <c r="M209"/>
      <c r="N209"/>
      <c r="O209" s="4"/>
      <c r="P209" s="4"/>
      <c r="Q209"/>
      <c r="R209" s="81"/>
    </row>
    <row r="210" spans="10:18" x14ac:dyDescent="0.25">
      <c r="J210"/>
      <c r="K210"/>
      <c r="L210"/>
      <c r="M210"/>
      <c r="N210"/>
      <c r="O210" s="4"/>
      <c r="P210" s="4"/>
      <c r="Q210"/>
      <c r="R210" s="81"/>
    </row>
    <row r="211" spans="10:18" x14ac:dyDescent="0.25">
      <c r="J211"/>
      <c r="K211"/>
      <c r="L211"/>
      <c r="M211"/>
      <c r="N211"/>
      <c r="O211" s="4"/>
      <c r="P211" s="4"/>
      <c r="Q211"/>
      <c r="R211" s="81"/>
    </row>
    <row r="212" spans="10:18" x14ac:dyDescent="0.25">
      <c r="J212"/>
      <c r="K212"/>
      <c r="L212"/>
      <c r="M212"/>
      <c r="N212"/>
      <c r="O212" s="4"/>
      <c r="P212" s="4"/>
      <c r="Q212"/>
      <c r="R212" s="81"/>
    </row>
    <row r="213" spans="10:18" x14ac:dyDescent="0.25">
      <c r="J213"/>
      <c r="K213"/>
      <c r="L213"/>
      <c r="M213"/>
      <c r="N213"/>
      <c r="O213" s="4"/>
      <c r="P213" s="4"/>
      <c r="Q213"/>
      <c r="R213" s="81"/>
    </row>
    <row r="214" spans="10:18" x14ac:dyDescent="0.25">
      <c r="J214"/>
      <c r="K214"/>
      <c r="L214"/>
      <c r="M214"/>
      <c r="N214"/>
      <c r="O214" s="4"/>
      <c r="P214" s="4"/>
      <c r="Q214"/>
      <c r="R214" s="81"/>
    </row>
    <row r="215" spans="10:18" x14ac:dyDescent="0.25">
      <c r="J215"/>
      <c r="K215"/>
      <c r="L215"/>
      <c r="M215"/>
      <c r="N215"/>
      <c r="O215" s="4"/>
      <c r="P215" s="4"/>
      <c r="Q215"/>
      <c r="R215" s="81"/>
    </row>
    <row r="216" spans="10:18" x14ac:dyDescent="0.25">
      <c r="J216"/>
      <c r="K216"/>
      <c r="L216"/>
      <c r="M216"/>
      <c r="N216"/>
      <c r="O216" s="4"/>
      <c r="P216" s="4"/>
      <c r="Q216"/>
      <c r="R216" s="81"/>
    </row>
    <row r="217" spans="10:18" x14ac:dyDescent="0.25">
      <c r="J217"/>
      <c r="K217"/>
      <c r="L217"/>
      <c r="M217"/>
      <c r="N217"/>
      <c r="O217" s="4"/>
      <c r="P217" s="4"/>
      <c r="Q217"/>
      <c r="R217" s="81"/>
    </row>
    <row r="218" spans="10:18" x14ac:dyDescent="0.25">
      <c r="J218"/>
      <c r="K218"/>
      <c r="L218"/>
      <c r="M218"/>
      <c r="N218"/>
      <c r="O218" s="4"/>
      <c r="P218" s="4"/>
      <c r="Q218"/>
      <c r="R218" s="81"/>
    </row>
    <row r="219" spans="10:18" x14ac:dyDescent="0.25">
      <c r="J219"/>
      <c r="K219"/>
      <c r="L219"/>
      <c r="M219"/>
      <c r="N219"/>
      <c r="O219" s="4"/>
      <c r="P219" s="4"/>
      <c r="Q219"/>
      <c r="R219" s="81"/>
    </row>
    <row r="220" spans="10:18" x14ac:dyDescent="0.25">
      <c r="J220"/>
      <c r="K220"/>
      <c r="L220"/>
      <c r="M220"/>
      <c r="N220"/>
      <c r="O220" s="4"/>
      <c r="P220" s="4"/>
      <c r="Q220"/>
      <c r="R220" s="81"/>
    </row>
    <row r="221" spans="10:18" x14ac:dyDescent="0.25">
      <c r="J221"/>
      <c r="K221"/>
      <c r="L221"/>
      <c r="M221"/>
      <c r="N221"/>
      <c r="O221" s="4"/>
      <c r="P221" s="4"/>
      <c r="Q221"/>
      <c r="R221" s="81"/>
    </row>
    <row r="222" spans="10:18" x14ac:dyDescent="0.25">
      <c r="J222"/>
      <c r="K222"/>
      <c r="L222"/>
      <c r="M222"/>
      <c r="N222"/>
      <c r="O222" s="4"/>
      <c r="P222" s="4"/>
      <c r="Q222"/>
      <c r="R222" s="81"/>
    </row>
    <row r="223" spans="10:18" x14ac:dyDescent="0.25">
      <c r="J223"/>
      <c r="K223"/>
      <c r="L223"/>
      <c r="M223"/>
      <c r="N223"/>
      <c r="O223" s="4"/>
      <c r="P223" s="4"/>
      <c r="Q223"/>
      <c r="R223" s="81"/>
    </row>
    <row r="224" spans="10:18" x14ac:dyDescent="0.25">
      <c r="J224"/>
      <c r="K224"/>
      <c r="L224"/>
      <c r="M224"/>
      <c r="N224"/>
      <c r="O224" s="4"/>
      <c r="P224" s="4"/>
      <c r="Q224"/>
      <c r="R224" s="81"/>
    </row>
    <row r="225" spans="10:18" x14ac:dyDescent="0.25">
      <c r="J225"/>
      <c r="K225"/>
      <c r="L225"/>
      <c r="M225"/>
      <c r="N225"/>
      <c r="O225" s="4"/>
      <c r="P225" s="4"/>
      <c r="Q225"/>
      <c r="R225" s="81"/>
    </row>
    <row r="226" spans="10:18" x14ac:dyDescent="0.25">
      <c r="J226"/>
      <c r="K226"/>
      <c r="L226"/>
      <c r="M226"/>
      <c r="N226"/>
      <c r="O226" s="4"/>
      <c r="P226" s="4"/>
      <c r="Q226"/>
      <c r="R226" s="81"/>
    </row>
    <row r="227" spans="10:18" x14ac:dyDescent="0.25">
      <c r="J227"/>
      <c r="K227"/>
      <c r="L227"/>
      <c r="M227"/>
      <c r="N227"/>
      <c r="O227" s="4"/>
      <c r="P227" s="4"/>
      <c r="Q227"/>
      <c r="R227" s="81"/>
    </row>
    <row r="228" spans="10:18" x14ac:dyDescent="0.25">
      <c r="J228"/>
      <c r="K228"/>
      <c r="L228"/>
      <c r="M228"/>
      <c r="N228"/>
      <c r="O228" s="4"/>
      <c r="P228" s="4"/>
      <c r="Q228"/>
      <c r="R228" s="81"/>
    </row>
    <row r="229" spans="10:18" x14ac:dyDescent="0.25">
      <c r="J229"/>
      <c r="K229"/>
      <c r="L229"/>
      <c r="M229"/>
      <c r="N229"/>
      <c r="O229" s="4"/>
      <c r="P229" s="4"/>
      <c r="Q229"/>
      <c r="R229" s="81"/>
    </row>
    <row r="230" spans="10:18" x14ac:dyDescent="0.25">
      <c r="J230"/>
      <c r="K230"/>
      <c r="L230"/>
      <c r="M230"/>
      <c r="N230"/>
      <c r="O230" s="4"/>
      <c r="P230" s="4"/>
      <c r="Q230"/>
      <c r="R230" s="81"/>
    </row>
    <row r="231" spans="10:18" x14ac:dyDescent="0.25">
      <c r="J231"/>
      <c r="K231"/>
      <c r="L231"/>
      <c r="M231"/>
      <c r="N231"/>
      <c r="O231" s="4"/>
      <c r="P231" s="4"/>
      <c r="Q231"/>
      <c r="R231" s="81"/>
    </row>
    <row r="232" spans="10:18" x14ac:dyDescent="0.25">
      <c r="J232"/>
      <c r="K232"/>
      <c r="L232"/>
      <c r="M232"/>
      <c r="N232"/>
      <c r="O232" s="4"/>
      <c r="P232" s="4"/>
      <c r="Q232"/>
      <c r="R232" s="81"/>
    </row>
    <row r="233" spans="10:18" x14ac:dyDescent="0.25">
      <c r="J233"/>
      <c r="K233"/>
      <c r="L233"/>
      <c r="M233"/>
      <c r="N233"/>
      <c r="O233" s="4"/>
      <c r="P233" s="4"/>
      <c r="Q233"/>
      <c r="R233" s="81"/>
    </row>
    <row r="234" spans="10:18" x14ac:dyDescent="0.25">
      <c r="J234"/>
      <c r="K234"/>
      <c r="L234"/>
      <c r="M234"/>
      <c r="N234"/>
      <c r="O234" s="4"/>
      <c r="P234" s="4"/>
      <c r="Q234"/>
      <c r="R234" s="81"/>
    </row>
    <row r="235" spans="10:18" x14ac:dyDescent="0.25">
      <c r="J235"/>
      <c r="K235"/>
      <c r="L235"/>
      <c r="M235"/>
      <c r="N235"/>
      <c r="O235" s="4"/>
      <c r="P235" s="4"/>
      <c r="Q235"/>
      <c r="R235" s="81"/>
    </row>
    <row r="236" spans="10:18" x14ac:dyDescent="0.25">
      <c r="J236"/>
      <c r="K236"/>
      <c r="L236"/>
      <c r="M236"/>
      <c r="N236"/>
      <c r="O236" s="4"/>
      <c r="P236" s="4"/>
      <c r="Q236"/>
      <c r="R236" s="81"/>
    </row>
    <row r="237" spans="10:18" x14ac:dyDescent="0.25">
      <c r="J237"/>
      <c r="K237"/>
      <c r="L237"/>
      <c r="M237"/>
      <c r="N237"/>
      <c r="O237" s="4"/>
      <c r="P237" s="4"/>
      <c r="Q237"/>
      <c r="R237" s="81"/>
    </row>
    <row r="238" spans="10:18" x14ac:dyDescent="0.25">
      <c r="J238"/>
      <c r="K238"/>
      <c r="L238"/>
      <c r="M238"/>
      <c r="N238"/>
      <c r="O238" s="4"/>
      <c r="P238" s="4"/>
      <c r="Q238"/>
      <c r="R238" s="81"/>
    </row>
    <row r="239" spans="10:18" x14ac:dyDescent="0.25">
      <c r="J239"/>
      <c r="K239"/>
      <c r="L239"/>
      <c r="M239"/>
      <c r="N239"/>
      <c r="O239" s="4"/>
      <c r="P239" s="4"/>
      <c r="Q239"/>
      <c r="R239" s="81"/>
    </row>
    <row r="240" spans="10:18" x14ac:dyDescent="0.25">
      <c r="J240"/>
      <c r="K240"/>
      <c r="L240"/>
      <c r="M240"/>
      <c r="N240"/>
      <c r="O240" s="4"/>
      <c r="P240" s="4"/>
      <c r="Q240"/>
      <c r="R240" s="81"/>
    </row>
    <row r="241" spans="10:18" x14ac:dyDescent="0.25">
      <c r="J241"/>
      <c r="K241"/>
      <c r="L241"/>
      <c r="M241"/>
      <c r="N241"/>
      <c r="O241" s="4"/>
      <c r="P241" s="4"/>
      <c r="Q241"/>
      <c r="R241" s="81"/>
    </row>
    <row r="242" spans="10:18" x14ac:dyDescent="0.25">
      <c r="J242"/>
      <c r="K242"/>
      <c r="L242"/>
      <c r="M242"/>
      <c r="N242"/>
      <c r="O242" s="4"/>
      <c r="P242" s="4"/>
      <c r="Q242"/>
      <c r="R242" s="81"/>
    </row>
    <row r="243" spans="10:18" x14ac:dyDescent="0.25">
      <c r="J243"/>
      <c r="K243"/>
      <c r="L243"/>
      <c r="M243"/>
      <c r="N243"/>
      <c r="O243" s="4"/>
      <c r="P243" s="4"/>
      <c r="Q243"/>
      <c r="R243" s="81"/>
    </row>
    <row r="244" spans="10:18" x14ac:dyDescent="0.25">
      <c r="J244"/>
      <c r="K244"/>
      <c r="L244"/>
      <c r="M244"/>
      <c r="N244"/>
      <c r="O244" s="4"/>
      <c r="P244" s="4"/>
      <c r="Q244"/>
      <c r="R244" s="81"/>
    </row>
    <row r="245" spans="10:18" x14ac:dyDescent="0.25">
      <c r="J245"/>
      <c r="K245"/>
      <c r="L245"/>
      <c r="M245"/>
      <c r="N245"/>
      <c r="O245" s="4"/>
      <c r="P245" s="4"/>
      <c r="Q245"/>
      <c r="R245" s="81"/>
    </row>
    <row r="246" spans="10:18" x14ac:dyDescent="0.25">
      <c r="J246"/>
      <c r="K246"/>
      <c r="L246"/>
      <c r="M246"/>
      <c r="N246"/>
      <c r="O246" s="4"/>
      <c r="P246" s="4"/>
      <c r="Q246"/>
      <c r="R246" s="81"/>
    </row>
    <row r="247" spans="10:18" x14ac:dyDescent="0.25">
      <c r="J247"/>
      <c r="K247"/>
      <c r="L247"/>
      <c r="M247"/>
      <c r="N247"/>
      <c r="O247" s="4"/>
      <c r="P247" s="4"/>
      <c r="Q247"/>
      <c r="R247" s="81"/>
    </row>
    <row r="248" spans="10:18" x14ac:dyDescent="0.25">
      <c r="J248"/>
      <c r="K248"/>
      <c r="L248"/>
      <c r="M248"/>
      <c r="N248"/>
      <c r="O248" s="4"/>
      <c r="P248" s="4"/>
      <c r="Q248"/>
      <c r="R248" s="81"/>
    </row>
    <row r="249" spans="10:18" x14ac:dyDescent="0.25">
      <c r="J249"/>
      <c r="K249"/>
      <c r="L249"/>
      <c r="M249"/>
      <c r="N249"/>
      <c r="O249" s="4"/>
      <c r="P249" s="4"/>
      <c r="Q249"/>
      <c r="R249" s="81"/>
    </row>
    <row r="250" spans="10:18" x14ac:dyDescent="0.25">
      <c r="J250"/>
      <c r="K250"/>
      <c r="L250"/>
      <c r="M250"/>
      <c r="N250"/>
      <c r="O250" s="4"/>
      <c r="P250" s="4"/>
      <c r="Q250"/>
      <c r="R250" s="81"/>
    </row>
    <row r="251" spans="10:18" x14ac:dyDescent="0.25">
      <c r="J251"/>
      <c r="K251"/>
      <c r="L251"/>
      <c r="M251"/>
      <c r="N251"/>
      <c r="O251" s="4"/>
      <c r="P251" s="4"/>
      <c r="Q251"/>
      <c r="R251" s="81"/>
    </row>
    <row r="252" spans="10:18" x14ac:dyDescent="0.25">
      <c r="J252"/>
      <c r="K252"/>
      <c r="L252"/>
      <c r="M252"/>
      <c r="N252"/>
      <c r="O252" s="4"/>
      <c r="P252" s="4"/>
      <c r="Q252"/>
      <c r="R252" s="81"/>
    </row>
    <row r="253" spans="10:18" x14ac:dyDescent="0.25">
      <c r="J253"/>
      <c r="K253"/>
      <c r="L253"/>
      <c r="M253"/>
      <c r="N253"/>
      <c r="O253" s="4"/>
      <c r="P253" s="4"/>
      <c r="Q253"/>
      <c r="R253" s="81"/>
    </row>
    <row r="254" spans="10:18" x14ac:dyDescent="0.25">
      <c r="J254"/>
      <c r="K254"/>
      <c r="L254"/>
      <c r="M254"/>
      <c r="N254"/>
      <c r="O254" s="4"/>
      <c r="P254" s="4"/>
      <c r="Q254"/>
      <c r="R254" s="81"/>
    </row>
    <row r="255" spans="10:18" x14ac:dyDescent="0.25">
      <c r="J255"/>
      <c r="K255"/>
      <c r="L255"/>
      <c r="M255"/>
      <c r="N255"/>
      <c r="O255" s="4"/>
      <c r="P255" s="4"/>
      <c r="Q255"/>
      <c r="R255" s="81"/>
    </row>
    <row r="256" spans="10:18" x14ac:dyDescent="0.25">
      <c r="J256"/>
      <c r="K256"/>
      <c r="L256"/>
      <c r="M256"/>
      <c r="N256"/>
      <c r="O256" s="4"/>
      <c r="P256" s="4"/>
      <c r="Q256"/>
      <c r="R256" s="81"/>
    </row>
    <row r="257" spans="10:18" x14ac:dyDescent="0.25">
      <c r="J257"/>
      <c r="K257"/>
      <c r="L257"/>
      <c r="M257"/>
      <c r="N257"/>
      <c r="O257" s="4"/>
      <c r="P257" s="4"/>
      <c r="Q257"/>
      <c r="R257" s="81"/>
    </row>
    <row r="258" spans="10:18" x14ac:dyDescent="0.25">
      <c r="J258"/>
      <c r="K258"/>
      <c r="L258"/>
      <c r="M258"/>
      <c r="N258"/>
      <c r="O258" s="4"/>
      <c r="P258" s="4"/>
      <c r="Q258"/>
      <c r="R258" s="81"/>
    </row>
    <row r="259" spans="10:18" x14ac:dyDescent="0.25">
      <c r="J259"/>
      <c r="K259"/>
      <c r="L259"/>
      <c r="M259"/>
      <c r="N259"/>
      <c r="O259" s="4"/>
      <c r="P259" s="4"/>
      <c r="Q259"/>
      <c r="R259" s="81"/>
    </row>
    <row r="260" spans="10:18" x14ac:dyDescent="0.25">
      <c r="J260"/>
      <c r="K260"/>
      <c r="L260"/>
      <c r="M260"/>
      <c r="N260"/>
      <c r="O260" s="4"/>
      <c r="P260" s="4"/>
      <c r="Q260"/>
      <c r="R260" s="81"/>
    </row>
    <row r="261" spans="10:18" x14ac:dyDescent="0.25">
      <c r="J261"/>
      <c r="K261"/>
      <c r="L261"/>
      <c r="M261"/>
      <c r="N261"/>
      <c r="O261" s="4"/>
      <c r="P261" s="4"/>
      <c r="Q261"/>
      <c r="R261" s="81"/>
    </row>
    <row r="262" spans="10:18" x14ac:dyDescent="0.25">
      <c r="J262"/>
      <c r="K262"/>
      <c r="L262"/>
      <c r="M262"/>
      <c r="N262"/>
      <c r="O262" s="4"/>
      <c r="P262" s="4"/>
      <c r="Q262"/>
      <c r="R262" s="81"/>
    </row>
    <row r="263" spans="10:18" x14ac:dyDescent="0.25">
      <c r="J263"/>
      <c r="K263"/>
      <c r="L263"/>
      <c r="M263"/>
      <c r="N263"/>
      <c r="O263" s="4"/>
      <c r="P263" s="4"/>
      <c r="Q263"/>
      <c r="R263" s="81"/>
    </row>
    <row r="264" spans="10:18" x14ac:dyDescent="0.25">
      <c r="J264"/>
      <c r="K264"/>
      <c r="L264"/>
      <c r="M264"/>
      <c r="N264"/>
      <c r="O264" s="4"/>
      <c r="P264" s="4"/>
      <c r="Q264"/>
      <c r="R264" s="81"/>
    </row>
    <row r="265" spans="10:18" x14ac:dyDescent="0.25">
      <c r="J265"/>
      <c r="K265"/>
      <c r="L265"/>
      <c r="M265"/>
      <c r="N265"/>
      <c r="O265" s="4"/>
      <c r="P265" s="4"/>
      <c r="Q265"/>
      <c r="R265" s="81"/>
    </row>
    <row r="266" spans="10:18" x14ac:dyDescent="0.25">
      <c r="J266"/>
      <c r="K266"/>
      <c r="L266"/>
      <c r="M266"/>
      <c r="N266"/>
      <c r="O266" s="4"/>
      <c r="P266" s="4"/>
      <c r="Q266"/>
      <c r="R266" s="81"/>
    </row>
    <row r="267" spans="10:18" x14ac:dyDescent="0.25">
      <c r="J267"/>
      <c r="K267"/>
      <c r="L267"/>
      <c r="M267"/>
      <c r="N267"/>
      <c r="O267" s="4"/>
      <c r="P267" s="4"/>
      <c r="Q267"/>
      <c r="R267" s="81"/>
    </row>
    <row r="268" spans="10:18" x14ac:dyDescent="0.25">
      <c r="J268"/>
      <c r="K268"/>
      <c r="L268"/>
      <c r="M268"/>
      <c r="N268"/>
      <c r="O268" s="4"/>
      <c r="P268" s="4"/>
      <c r="Q268"/>
      <c r="R268" s="81"/>
    </row>
    <row r="269" spans="10:18" x14ac:dyDescent="0.25">
      <c r="J269"/>
      <c r="K269"/>
      <c r="L269"/>
      <c r="M269"/>
      <c r="N269"/>
      <c r="O269" s="4"/>
      <c r="P269" s="4"/>
      <c r="Q269"/>
      <c r="R269" s="81"/>
    </row>
    <row r="270" spans="10:18" x14ac:dyDescent="0.25">
      <c r="J270"/>
      <c r="K270"/>
      <c r="L270"/>
      <c r="M270"/>
      <c r="N270"/>
      <c r="O270" s="4"/>
      <c r="P270" s="4"/>
      <c r="Q270"/>
      <c r="R270" s="81"/>
    </row>
    <row r="271" spans="10:18" x14ac:dyDescent="0.25">
      <c r="J271"/>
      <c r="K271"/>
      <c r="L271"/>
      <c r="M271"/>
      <c r="N271"/>
      <c r="O271" s="4"/>
      <c r="P271" s="4"/>
      <c r="Q271"/>
      <c r="R271" s="81"/>
    </row>
    <row r="272" spans="10:18" x14ac:dyDescent="0.25">
      <c r="J272"/>
      <c r="K272"/>
      <c r="L272"/>
      <c r="M272"/>
      <c r="N272"/>
      <c r="O272" s="4"/>
      <c r="P272" s="4"/>
      <c r="Q272"/>
      <c r="R272" s="81"/>
    </row>
    <row r="273" spans="10:18" x14ac:dyDescent="0.25">
      <c r="J273"/>
      <c r="K273"/>
      <c r="L273"/>
      <c r="M273"/>
      <c r="N273"/>
      <c r="O273" s="4"/>
      <c r="P273" s="4"/>
      <c r="Q273"/>
      <c r="R273" s="81"/>
    </row>
    <row r="274" spans="10:18" x14ac:dyDescent="0.25">
      <c r="J274"/>
      <c r="K274"/>
      <c r="L274"/>
      <c r="M274"/>
      <c r="N274"/>
      <c r="O274" s="4"/>
      <c r="P274" s="4"/>
      <c r="Q274"/>
      <c r="R274" s="81"/>
    </row>
    <row r="275" spans="10:18" x14ac:dyDescent="0.25">
      <c r="J275"/>
      <c r="K275"/>
      <c r="L275"/>
      <c r="M275"/>
      <c r="N275"/>
      <c r="O275" s="4"/>
      <c r="P275" s="4"/>
      <c r="Q275"/>
      <c r="R275" s="81"/>
    </row>
    <row r="276" spans="10:18" x14ac:dyDescent="0.25">
      <c r="J276"/>
      <c r="K276"/>
      <c r="L276"/>
      <c r="M276"/>
      <c r="N276"/>
      <c r="O276" s="4"/>
      <c r="P276" s="4"/>
      <c r="Q276"/>
      <c r="R276" s="81"/>
    </row>
    <row r="277" spans="10:18" x14ac:dyDescent="0.25">
      <c r="J277"/>
      <c r="K277"/>
      <c r="L277"/>
      <c r="M277"/>
      <c r="N277"/>
      <c r="O277" s="4"/>
      <c r="P277" s="4"/>
      <c r="Q277"/>
      <c r="R277" s="81"/>
    </row>
    <row r="278" spans="10:18" x14ac:dyDescent="0.25">
      <c r="J278"/>
      <c r="K278"/>
      <c r="L278"/>
      <c r="M278"/>
      <c r="N278"/>
      <c r="O278" s="4"/>
      <c r="P278" s="4"/>
      <c r="Q278"/>
      <c r="R278" s="81"/>
    </row>
    <row r="279" spans="10:18" x14ac:dyDescent="0.25">
      <c r="J279"/>
      <c r="K279"/>
      <c r="L279"/>
      <c r="M279"/>
      <c r="N279"/>
      <c r="O279" s="4"/>
      <c r="P279" s="4"/>
      <c r="Q279"/>
      <c r="R279" s="81"/>
    </row>
    <row r="280" spans="10:18" x14ac:dyDescent="0.25">
      <c r="J280"/>
      <c r="K280"/>
      <c r="L280"/>
      <c r="M280"/>
      <c r="N280"/>
      <c r="O280" s="4"/>
      <c r="P280" s="4"/>
      <c r="Q280"/>
      <c r="R280" s="81"/>
    </row>
    <row r="281" spans="10:18" x14ac:dyDescent="0.25">
      <c r="J281"/>
      <c r="K281"/>
      <c r="L281"/>
      <c r="M281"/>
      <c r="N281"/>
      <c r="O281" s="4"/>
      <c r="P281" s="4"/>
      <c r="Q281"/>
      <c r="R281" s="81"/>
    </row>
    <row r="282" spans="10:18" x14ac:dyDescent="0.25">
      <c r="J282"/>
      <c r="K282"/>
      <c r="L282"/>
      <c r="M282"/>
      <c r="N282"/>
      <c r="O282" s="4"/>
      <c r="P282" s="4"/>
      <c r="Q282"/>
      <c r="R282" s="81"/>
    </row>
    <row r="283" spans="10:18" x14ac:dyDescent="0.25">
      <c r="J283"/>
      <c r="K283"/>
      <c r="L283"/>
      <c r="M283"/>
      <c r="N283"/>
      <c r="O283" s="4"/>
      <c r="P283" s="4"/>
      <c r="Q283"/>
      <c r="R283" s="81"/>
    </row>
    <row r="284" spans="10:18" x14ac:dyDescent="0.25">
      <c r="J284"/>
      <c r="K284"/>
      <c r="L284"/>
      <c r="M284"/>
      <c r="N284"/>
      <c r="O284" s="4"/>
      <c r="P284" s="4"/>
      <c r="Q284"/>
      <c r="R284" s="81"/>
    </row>
    <row r="285" spans="10:18" x14ac:dyDescent="0.25">
      <c r="J285"/>
      <c r="K285"/>
      <c r="L285"/>
      <c r="M285"/>
      <c r="N285"/>
      <c r="O285" s="4"/>
      <c r="P285" s="4"/>
      <c r="Q285"/>
      <c r="R285" s="81"/>
    </row>
    <row r="286" spans="10:18" x14ac:dyDescent="0.25">
      <c r="J286"/>
      <c r="K286"/>
      <c r="L286"/>
      <c r="M286"/>
      <c r="N286"/>
      <c r="O286" s="4"/>
      <c r="P286" s="4"/>
      <c r="Q286"/>
      <c r="R286" s="81"/>
    </row>
    <row r="287" spans="10:18" x14ac:dyDescent="0.25">
      <c r="J287"/>
      <c r="K287"/>
      <c r="L287"/>
      <c r="M287"/>
      <c r="N287"/>
      <c r="O287" s="4"/>
      <c r="P287" s="4"/>
      <c r="Q287"/>
      <c r="R287" s="81"/>
    </row>
    <row r="288" spans="10:18" x14ac:dyDescent="0.25">
      <c r="J288"/>
      <c r="K288"/>
      <c r="L288"/>
      <c r="M288"/>
      <c r="N288"/>
      <c r="O288" s="4"/>
      <c r="P288" s="4"/>
      <c r="Q288"/>
      <c r="R288" s="81"/>
    </row>
    <row r="289" spans="10:18" x14ac:dyDescent="0.25">
      <c r="J289"/>
      <c r="K289"/>
      <c r="L289"/>
      <c r="M289"/>
      <c r="N289"/>
      <c r="O289" s="4"/>
      <c r="P289" s="4"/>
      <c r="Q289"/>
      <c r="R289" s="81"/>
    </row>
    <row r="290" spans="10:18" x14ac:dyDescent="0.25">
      <c r="J290"/>
      <c r="K290"/>
      <c r="L290"/>
      <c r="M290"/>
      <c r="N290"/>
      <c r="O290" s="4"/>
      <c r="P290" s="4"/>
      <c r="Q290"/>
      <c r="R290" s="81"/>
    </row>
    <row r="291" spans="10:18" x14ac:dyDescent="0.25">
      <c r="J291"/>
      <c r="K291"/>
      <c r="L291"/>
      <c r="M291"/>
      <c r="N291"/>
      <c r="O291" s="4"/>
      <c r="P291" s="4"/>
      <c r="Q291"/>
      <c r="R291" s="81"/>
    </row>
    <row r="292" spans="10:18" x14ac:dyDescent="0.25">
      <c r="J292"/>
      <c r="K292"/>
      <c r="L292"/>
      <c r="M292"/>
      <c r="N292"/>
      <c r="O292" s="4"/>
      <c r="P292" s="4"/>
      <c r="Q292"/>
      <c r="R292" s="81"/>
    </row>
    <row r="293" spans="10:18" x14ac:dyDescent="0.25">
      <c r="J293"/>
      <c r="K293"/>
      <c r="L293"/>
      <c r="M293"/>
      <c r="N293"/>
      <c r="O293" s="4"/>
      <c r="P293" s="4"/>
      <c r="Q293"/>
      <c r="R293" s="81"/>
    </row>
    <row r="294" spans="10:18" x14ac:dyDescent="0.25">
      <c r="J294"/>
      <c r="K294"/>
      <c r="L294"/>
      <c r="M294"/>
      <c r="N294"/>
      <c r="O294" s="4"/>
      <c r="P294" s="4"/>
      <c r="Q294"/>
      <c r="R294" s="81"/>
    </row>
    <row r="295" spans="10:18" x14ac:dyDescent="0.25">
      <c r="J295"/>
      <c r="K295"/>
      <c r="L295"/>
      <c r="M295"/>
      <c r="N295"/>
      <c r="O295" s="4"/>
      <c r="P295" s="4"/>
      <c r="Q295"/>
      <c r="R295" s="81"/>
    </row>
    <row r="296" spans="10:18" x14ac:dyDescent="0.25">
      <c r="J296"/>
      <c r="K296"/>
      <c r="L296"/>
      <c r="M296"/>
      <c r="N296"/>
      <c r="O296" s="4"/>
      <c r="P296" s="4"/>
      <c r="Q296"/>
      <c r="R296" s="81"/>
    </row>
    <row r="297" spans="10:18" x14ac:dyDescent="0.25">
      <c r="J297"/>
      <c r="K297"/>
      <c r="L297"/>
      <c r="M297"/>
      <c r="N297"/>
      <c r="O297" s="4"/>
      <c r="P297" s="4"/>
      <c r="Q297"/>
      <c r="R297" s="81"/>
    </row>
    <row r="298" spans="10:18" x14ac:dyDescent="0.25">
      <c r="J298"/>
      <c r="K298"/>
      <c r="L298"/>
      <c r="M298"/>
      <c r="N298"/>
      <c r="O298" s="4"/>
      <c r="P298" s="4"/>
      <c r="Q298"/>
      <c r="R298" s="81"/>
    </row>
    <row r="299" spans="10:18" x14ac:dyDescent="0.25">
      <c r="J299"/>
      <c r="K299"/>
      <c r="L299"/>
      <c r="M299"/>
      <c r="N299"/>
      <c r="O299" s="4"/>
      <c r="P299" s="4"/>
      <c r="Q299"/>
      <c r="R299" s="81"/>
    </row>
    <row r="300" spans="10:18" x14ac:dyDescent="0.25">
      <c r="J300"/>
      <c r="K300"/>
      <c r="L300"/>
      <c r="M300"/>
      <c r="N300"/>
      <c r="O300" s="4"/>
      <c r="P300" s="4"/>
      <c r="Q300"/>
      <c r="R300" s="81"/>
    </row>
    <row r="301" spans="10:18" x14ac:dyDescent="0.25">
      <c r="J301"/>
      <c r="K301"/>
      <c r="L301"/>
      <c r="M301"/>
      <c r="N301"/>
      <c r="O301" s="4"/>
      <c r="P301" s="4"/>
      <c r="Q301"/>
      <c r="R301" s="81"/>
    </row>
    <row r="302" spans="10:18" x14ac:dyDescent="0.25">
      <c r="J302"/>
      <c r="K302"/>
      <c r="L302"/>
      <c r="M302"/>
      <c r="N302"/>
      <c r="O302" s="4"/>
      <c r="P302" s="4"/>
      <c r="Q302"/>
      <c r="R302" s="81"/>
    </row>
    <row r="303" spans="10:18" x14ac:dyDescent="0.25">
      <c r="J303"/>
      <c r="K303"/>
      <c r="L303"/>
      <c r="M303"/>
      <c r="N303"/>
      <c r="O303" s="4"/>
      <c r="P303" s="4"/>
      <c r="Q303"/>
      <c r="R303" s="81"/>
    </row>
    <row r="304" spans="10:18" x14ac:dyDescent="0.25">
      <c r="J304"/>
      <c r="K304"/>
      <c r="L304"/>
      <c r="M304"/>
      <c r="N304"/>
      <c r="O304" s="4"/>
      <c r="P304" s="4"/>
      <c r="Q304"/>
      <c r="R304" s="81"/>
    </row>
    <row r="305" spans="10:18" x14ac:dyDescent="0.25">
      <c r="J305"/>
      <c r="K305"/>
      <c r="L305"/>
      <c r="M305"/>
      <c r="N305"/>
      <c r="O305" s="4"/>
      <c r="P305" s="4"/>
      <c r="Q305"/>
      <c r="R305" s="81"/>
    </row>
    <row r="306" spans="10:18" x14ac:dyDescent="0.25">
      <c r="J306"/>
      <c r="K306"/>
      <c r="L306"/>
      <c r="M306"/>
      <c r="N306"/>
      <c r="O306" s="4"/>
      <c r="P306" s="4"/>
      <c r="Q306"/>
      <c r="R306" s="81"/>
    </row>
    <row r="307" spans="10:18" x14ac:dyDescent="0.25">
      <c r="J307"/>
      <c r="K307"/>
      <c r="L307"/>
      <c r="M307"/>
      <c r="N307"/>
      <c r="O307" s="4"/>
      <c r="P307" s="4"/>
      <c r="Q307"/>
      <c r="R307" s="81"/>
    </row>
    <row r="308" spans="10:18" x14ac:dyDescent="0.25">
      <c r="J308"/>
      <c r="K308"/>
      <c r="L308"/>
      <c r="M308"/>
      <c r="N308"/>
      <c r="O308" s="4"/>
      <c r="P308" s="4"/>
      <c r="Q308"/>
      <c r="R308" s="81"/>
    </row>
    <row r="309" spans="10:18" x14ac:dyDescent="0.25">
      <c r="J309"/>
      <c r="K309"/>
      <c r="L309"/>
      <c r="M309"/>
      <c r="N309"/>
      <c r="O309" s="4"/>
      <c r="P309" s="4"/>
      <c r="Q309"/>
      <c r="R309" s="81"/>
    </row>
    <row r="310" spans="10:18" x14ac:dyDescent="0.25">
      <c r="J310"/>
      <c r="K310"/>
      <c r="L310"/>
      <c r="M310"/>
      <c r="N310"/>
      <c r="O310" s="4"/>
      <c r="P310" s="4"/>
      <c r="Q310"/>
      <c r="R310" s="81"/>
    </row>
    <row r="311" spans="10:18" x14ac:dyDescent="0.25">
      <c r="J311"/>
      <c r="K311"/>
      <c r="L311"/>
      <c r="M311"/>
      <c r="N311"/>
      <c r="O311" s="4"/>
      <c r="P311" s="4"/>
      <c r="Q311"/>
      <c r="R311" s="81"/>
    </row>
    <row r="312" spans="10:18" x14ac:dyDescent="0.25">
      <c r="J312"/>
      <c r="K312"/>
      <c r="L312"/>
      <c r="M312"/>
      <c r="N312"/>
      <c r="O312" s="4"/>
      <c r="P312" s="4"/>
      <c r="Q312"/>
      <c r="R312" s="81"/>
    </row>
    <row r="313" spans="10:18" x14ac:dyDescent="0.25">
      <c r="J313"/>
      <c r="K313"/>
      <c r="L313"/>
      <c r="M313"/>
      <c r="N313"/>
      <c r="O313" s="4"/>
      <c r="P313" s="4"/>
      <c r="Q313"/>
      <c r="R313" s="81"/>
    </row>
    <row r="314" spans="10:18" x14ac:dyDescent="0.25">
      <c r="J314"/>
      <c r="K314"/>
      <c r="L314"/>
      <c r="M314"/>
      <c r="N314"/>
      <c r="O314" s="4"/>
      <c r="P314" s="4"/>
      <c r="Q314"/>
      <c r="R314" s="81"/>
    </row>
    <row r="315" spans="10:18" x14ac:dyDescent="0.25">
      <c r="J315"/>
      <c r="K315"/>
      <c r="L315"/>
      <c r="M315"/>
      <c r="N315"/>
      <c r="O315" s="4"/>
      <c r="P315" s="4"/>
      <c r="Q315"/>
      <c r="R315" s="81"/>
    </row>
    <row r="316" spans="10:18" x14ac:dyDescent="0.25">
      <c r="J316"/>
      <c r="K316"/>
      <c r="L316"/>
      <c r="M316"/>
      <c r="N316"/>
      <c r="O316" s="4"/>
      <c r="P316" s="4"/>
      <c r="Q316"/>
      <c r="R316" s="81"/>
    </row>
    <row r="317" spans="10:18" x14ac:dyDescent="0.25">
      <c r="J317"/>
      <c r="K317"/>
      <c r="L317"/>
      <c r="M317"/>
      <c r="N317"/>
      <c r="O317" s="4"/>
      <c r="P317" s="4"/>
      <c r="Q317"/>
      <c r="R317" s="81"/>
    </row>
    <row r="318" spans="10:18" x14ac:dyDescent="0.25">
      <c r="J318"/>
      <c r="K318"/>
      <c r="L318"/>
      <c r="M318"/>
      <c r="N318"/>
      <c r="O318" s="4"/>
      <c r="P318" s="4"/>
      <c r="Q318"/>
      <c r="R318" s="81"/>
    </row>
    <row r="319" spans="10:18" x14ac:dyDescent="0.25">
      <c r="J319"/>
      <c r="K319"/>
      <c r="L319"/>
      <c r="M319"/>
      <c r="N319"/>
      <c r="O319" s="4"/>
      <c r="P319" s="4"/>
      <c r="Q319"/>
      <c r="R319" s="81"/>
    </row>
    <row r="320" spans="10:18" x14ac:dyDescent="0.25">
      <c r="J320"/>
      <c r="K320"/>
      <c r="L320"/>
      <c r="M320"/>
      <c r="N320"/>
      <c r="O320" s="4"/>
      <c r="P320" s="4"/>
      <c r="Q320"/>
      <c r="R320" s="81"/>
    </row>
    <row r="321" spans="10:18" x14ac:dyDescent="0.25">
      <c r="J321"/>
      <c r="K321"/>
      <c r="L321"/>
      <c r="M321"/>
      <c r="N321"/>
      <c r="O321" s="4"/>
      <c r="P321" s="4"/>
      <c r="Q321"/>
      <c r="R321" s="81"/>
    </row>
    <row r="322" spans="10:18" x14ac:dyDescent="0.25">
      <c r="J322"/>
      <c r="K322"/>
      <c r="L322"/>
      <c r="M322"/>
      <c r="N322"/>
      <c r="O322" s="4"/>
      <c r="P322" s="4"/>
      <c r="Q322"/>
      <c r="R322" s="81"/>
    </row>
    <row r="323" spans="10:18" x14ac:dyDescent="0.25">
      <c r="J323"/>
      <c r="K323"/>
      <c r="L323"/>
      <c r="M323"/>
      <c r="N323"/>
      <c r="O323" s="4"/>
      <c r="P323" s="4"/>
      <c r="Q323"/>
      <c r="R323" s="81"/>
    </row>
    <row r="324" spans="10:18" x14ac:dyDescent="0.25">
      <c r="J324"/>
      <c r="K324"/>
      <c r="L324"/>
      <c r="M324"/>
      <c r="N324"/>
      <c r="O324" s="4"/>
      <c r="P324" s="4"/>
      <c r="Q324"/>
      <c r="R324" s="81"/>
    </row>
    <row r="325" spans="10:18" x14ac:dyDescent="0.25">
      <c r="J325"/>
      <c r="K325"/>
      <c r="L325"/>
      <c r="M325"/>
      <c r="N325"/>
      <c r="O325" s="4"/>
      <c r="P325" s="4"/>
      <c r="Q325"/>
      <c r="R325" s="81"/>
    </row>
    <row r="326" spans="10:18" x14ac:dyDescent="0.25">
      <c r="J326"/>
      <c r="K326"/>
      <c r="L326"/>
      <c r="M326"/>
      <c r="N326"/>
      <c r="O326" s="4"/>
      <c r="P326" s="4"/>
      <c r="Q326"/>
      <c r="R326" s="81"/>
    </row>
    <row r="327" spans="10:18" x14ac:dyDescent="0.25">
      <c r="J327"/>
      <c r="K327"/>
      <c r="L327"/>
      <c r="M327"/>
      <c r="N327"/>
      <c r="O327" s="4"/>
      <c r="P327" s="4"/>
      <c r="Q327"/>
      <c r="R327" s="81"/>
    </row>
    <row r="328" spans="10:18" x14ac:dyDescent="0.25">
      <c r="J328"/>
      <c r="K328"/>
      <c r="L328"/>
      <c r="M328"/>
      <c r="N328"/>
      <c r="O328" s="4"/>
      <c r="P328" s="4"/>
      <c r="Q328"/>
      <c r="R328" s="81"/>
    </row>
    <row r="329" spans="10:18" x14ac:dyDescent="0.25">
      <c r="J329"/>
      <c r="K329"/>
      <c r="L329"/>
      <c r="M329"/>
      <c r="N329"/>
      <c r="O329" s="4"/>
      <c r="P329" s="4"/>
      <c r="Q329"/>
      <c r="R329" s="81"/>
    </row>
    <row r="330" spans="10:18" x14ac:dyDescent="0.25">
      <c r="J330"/>
      <c r="K330"/>
      <c r="L330"/>
      <c r="M330"/>
      <c r="N330"/>
      <c r="O330" s="4"/>
      <c r="P330" s="4"/>
      <c r="Q330"/>
      <c r="R330" s="81"/>
    </row>
    <row r="331" spans="10:18" x14ac:dyDescent="0.25">
      <c r="J331"/>
      <c r="K331"/>
      <c r="L331"/>
      <c r="M331"/>
      <c r="N331"/>
      <c r="O331" s="4"/>
      <c r="P331" s="4"/>
      <c r="Q331"/>
      <c r="R331" s="81"/>
    </row>
    <row r="332" spans="10:18" x14ac:dyDescent="0.25">
      <c r="J332"/>
      <c r="K332"/>
      <c r="L332"/>
      <c r="M332"/>
      <c r="N332"/>
      <c r="O332" s="4"/>
      <c r="P332" s="4"/>
      <c r="Q332"/>
      <c r="R332" s="81"/>
    </row>
    <row r="333" spans="10:18" x14ac:dyDescent="0.25">
      <c r="J333"/>
      <c r="K333"/>
      <c r="L333"/>
      <c r="M333"/>
      <c r="N333"/>
      <c r="O333" s="4"/>
      <c r="P333" s="4"/>
      <c r="Q333"/>
      <c r="R333" s="81"/>
    </row>
    <row r="334" spans="10:18" x14ac:dyDescent="0.25">
      <c r="J334"/>
      <c r="K334"/>
      <c r="L334"/>
      <c r="M334"/>
      <c r="N334"/>
      <c r="O334" s="4"/>
      <c r="P334" s="4"/>
      <c r="Q334"/>
      <c r="R334" s="81"/>
    </row>
    <row r="335" spans="10:18" x14ac:dyDescent="0.25">
      <c r="J335"/>
      <c r="K335"/>
      <c r="L335"/>
      <c r="M335"/>
      <c r="N335"/>
      <c r="O335" s="4"/>
      <c r="P335" s="4"/>
      <c r="Q335"/>
      <c r="R335" s="81"/>
    </row>
    <row r="336" spans="10:18" x14ac:dyDescent="0.25">
      <c r="J336"/>
      <c r="K336"/>
      <c r="L336"/>
      <c r="M336"/>
      <c r="N336"/>
      <c r="O336" s="4"/>
      <c r="P336" s="4"/>
      <c r="Q336"/>
      <c r="R336" s="81"/>
    </row>
    <row r="337" spans="10:18" x14ac:dyDescent="0.25">
      <c r="J337"/>
      <c r="K337"/>
      <c r="L337"/>
      <c r="M337"/>
      <c r="N337"/>
      <c r="O337" s="4"/>
      <c r="P337" s="4"/>
      <c r="Q337"/>
      <c r="R337" s="81"/>
    </row>
    <row r="338" spans="10:18" x14ac:dyDescent="0.25">
      <c r="J338"/>
      <c r="K338"/>
      <c r="L338"/>
      <c r="M338"/>
      <c r="N338"/>
      <c r="O338" s="4"/>
      <c r="P338" s="4"/>
      <c r="Q338"/>
      <c r="R338" s="81"/>
    </row>
    <row r="339" spans="10:18" x14ac:dyDescent="0.25">
      <c r="J339"/>
      <c r="K339"/>
      <c r="L339"/>
      <c r="M339"/>
      <c r="N339"/>
      <c r="O339" s="4"/>
      <c r="P339" s="4"/>
      <c r="Q339"/>
      <c r="R339" s="81"/>
    </row>
    <row r="340" spans="10:18" x14ac:dyDescent="0.25">
      <c r="J340"/>
      <c r="K340"/>
      <c r="L340"/>
      <c r="M340"/>
      <c r="N340"/>
      <c r="O340" s="4"/>
      <c r="P340" s="4"/>
      <c r="Q340"/>
      <c r="R340" s="81"/>
    </row>
    <row r="341" spans="10:18" x14ac:dyDescent="0.25">
      <c r="J341"/>
      <c r="K341"/>
      <c r="L341"/>
      <c r="M341"/>
      <c r="N341"/>
      <c r="O341" s="4"/>
      <c r="P341" s="4"/>
      <c r="Q341"/>
      <c r="R341" s="81"/>
    </row>
    <row r="342" spans="10:18" x14ac:dyDescent="0.25">
      <c r="J342"/>
      <c r="K342"/>
      <c r="L342"/>
      <c r="M342"/>
      <c r="N342"/>
      <c r="O342" s="4"/>
      <c r="P342" s="4"/>
      <c r="Q342"/>
      <c r="R342" s="81"/>
    </row>
    <row r="343" spans="10:18" x14ac:dyDescent="0.25">
      <c r="J343"/>
      <c r="K343"/>
      <c r="L343"/>
      <c r="M343"/>
      <c r="N343"/>
      <c r="O343" s="4"/>
      <c r="P343" s="4"/>
      <c r="Q343"/>
      <c r="R343" s="81"/>
    </row>
    <row r="344" spans="10:18" x14ac:dyDescent="0.25">
      <c r="J344"/>
      <c r="K344"/>
      <c r="L344"/>
      <c r="M344"/>
      <c r="N344"/>
      <c r="O344" s="4"/>
      <c r="P344" s="4"/>
      <c r="Q344"/>
      <c r="R344" s="81"/>
    </row>
    <row r="345" spans="10:18" x14ac:dyDescent="0.25">
      <c r="J345"/>
      <c r="K345"/>
      <c r="L345"/>
      <c r="M345"/>
      <c r="N345"/>
      <c r="O345" s="4"/>
      <c r="P345" s="4"/>
      <c r="Q345"/>
      <c r="R345" s="81"/>
    </row>
    <row r="346" spans="10:18" x14ac:dyDescent="0.25">
      <c r="J346"/>
      <c r="K346"/>
      <c r="L346"/>
      <c r="M346"/>
      <c r="N346"/>
      <c r="O346" s="4"/>
      <c r="P346" s="4"/>
      <c r="Q346"/>
      <c r="R346" s="81"/>
    </row>
    <row r="347" spans="10:18" x14ac:dyDescent="0.25">
      <c r="J347"/>
      <c r="K347"/>
      <c r="L347"/>
      <c r="M347"/>
      <c r="N347"/>
      <c r="O347" s="4"/>
      <c r="P347" s="4"/>
      <c r="Q347"/>
      <c r="R347" s="81"/>
    </row>
    <row r="348" spans="10:18" x14ac:dyDescent="0.25">
      <c r="J348"/>
      <c r="K348"/>
      <c r="L348"/>
      <c r="M348"/>
      <c r="N348"/>
      <c r="O348" s="4"/>
      <c r="P348" s="4"/>
      <c r="Q348"/>
      <c r="R348" s="81"/>
    </row>
    <row r="349" spans="10:18" x14ac:dyDescent="0.25">
      <c r="J349"/>
      <c r="K349"/>
      <c r="L349"/>
      <c r="M349"/>
      <c r="N349"/>
      <c r="O349" s="4"/>
      <c r="P349" s="4"/>
      <c r="Q349"/>
      <c r="R349" s="81"/>
    </row>
    <row r="350" spans="10:18" x14ac:dyDescent="0.25">
      <c r="J350"/>
      <c r="K350"/>
      <c r="L350"/>
      <c r="M350"/>
      <c r="N350"/>
      <c r="O350" s="4"/>
      <c r="P350" s="4"/>
      <c r="Q350"/>
      <c r="R350" s="81"/>
    </row>
    <row r="351" spans="10:18" x14ac:dyDescent="0.25">
      <c r="J351"/>
      <c r="K351"/>
      <c r="L351"/>
      <c r="M351"/>
      <c r="N351"/>
      <c r="O351" s="4"/>
      <c r="P351" s="4"/>
      <c r="Q351"/>
      <c r="R351" s="81"/>
    </row>
    <row r="352" spans="10:18" x14ac:dyDescent="0.25">
      <c r="J352"/>
      <c r="K352"/>
      <c r="L352"/>
      <c r="M352"/>
      <c r="N352"/>
      <c r="O352" s="4"/>
      <c r="P352" s="4"/>
      <c r="Q352"/>
      <c r="R352" s="81"/>
    </row>
    <row r="353" spans="10:18" x14ac:dyDescent="0.25">
      <c r="J353"/>
      <c r="K353"/>
      <c r="L353"/>
      <c r="M353"/>
      <c r="N353"/>
      <c r="O353" s="4"/>
      <c r="P353" s="4"/>
      <c r="Q353"/>
      <c r="R353" s="81"/>
    </row>
    <row r="354" spans="10:18" x14ac:dyDescent="0.25">
      <c r="J354"/>
      <c r="K354"/>
      <c r="L354"/>
      <c r="M354"/>
      <c r="N354"/>
      <c r="O354" s="4"/>
      <c r="P354" s="4"/>
      <c r="Q354"/>
      <c r="R354" s="81"/>
    </row>
    <row r="355" spans="10:18" x14ac:dyDescent="0.25">
      <c r="J355"/>
      <c r="K355"/>
      <c r="L355"/>
      <c r="M355"/>
      <c r="N355"/>
      <c r="O355" s="4"/>
      <c r="P355" s="4"/>
      <c r="Q355"/>
      <c r="R355" s="81"/>
    </row>
    <row r="356" spans="10:18" x14ac:dyDescent="0.25">
      <c r="J356"/>
      <c r="K356"/>
      <c r="L356"/>
      <c r="M356"/>
      <c r="N356"/>
      <c r="O356" s="4"/>
      <c r="P356" s="4"/>
      <c r="Q356"/>
      <c r="R356" s="81"/>
    </row>
    <row r="357" spans="10:18" x14ac:dyDescent="0.25">
      <c r="J357"/>
      <c r="K357"/>
      <c r="L357"/>
      <c r="M357"/>
      <c r="N357"/>
      <c r="O357" s="4"/>
      <c r="P357" s="4"/>
      <c r="Q357"/>
      <c r="R357" s="81"/>
    </row>
    <row r="358" spans="10:18" x14ac:dyDescent="0.25">
      <c r="J358"/>
      <c r="K358"/>
      <c r="L358"/>
      <c r="M358"/>
      <c r="N358"/>
      <c r="O358" s="4"/>
      <c r="P358" s="4"/>
      <c r="Q358"/>
      <c r="R358" s="81"/>
    </row>
    <row r="359" spans="10:18" x14ac:dyDescent="0.25">
      <c r="J359"/>
      <c r="K359"/>
      <c r="L359"/>
      <c r="M359"/>
      <c r="N359"/>
      <c r="O359" s="4"/>
      <c r="P359" s="4"/>
      <c r="Q359"/>
      <c r="R359" s="81"/>
    </row>
    <row r="360" spans="10:18" x14ac:dyDescent="0.25">
      <c r="J360"/>
      <c r="K360"/>
      <c r="L360"/>
      <c r="M360"/>
      <c r="N360"/>
      <c r="O360" s="4"/>
      <c r="P360" s="4"/>
      <c r="Q360"/>
      <c r="R360" s="81"/>
    </row>
    <row r="361" spans="10:18" x14ac:dyDescent="0.25">
      <c r="J361"/>
      <c r="K361"/>
      <c r="L361"/>
      <c r="M361"/>
      <c r="N361"/>
      <c r="O361" s="4"/>
      <c r="P361" s="4"/>
      <c r="Q361"/>
      <c r="R361" s="81"/>
    </row>
    <row r="362" spans="10:18" x14ac:dyDescent="0.25">
      <c r="J362"/>
      <c r="K362"/>
      <c r="L362"/>
      <c r="M362"/>
      <c r="N362"/>
      <c r="O362" s="4"/>
      <c r="P362" s="4"/>
      <c r="Q362"/>
      <c r="R362" s="81"/>
    </row>
    <row r="363" spans="10:18" x14ac:dyDescent="0.25">
      <c r="J363"/>
      <c r="K363"/>
      <c r="L363"/>
      <c r="M363"/>
      <c r="N363"/>
      <c r="O363" s="4"/>
      <c r="P363" s="4"/>
      <c r="Q363"/>
      <c r="R363" s="81"/>
    </row>
    <row r="364" spans="10:18" x14ac:dyDescent="0.25">
      <c r="J364"/>
      <c r="K364"/>
      <c r="L364"/>
      <c r="M364"/>
      <c r="N364"/>
      <c r="O364" s="4"/>
      <c r="P364" s="4"/>
      <c r="Q364"/>
      <c r="R364" s="81"/>
    </row>
    <row r="365" spans="10:18" x14ac:dyDescent="0.25">
      <c r="J365"/>
      <c r="K365"/>
      <c r="L365"/>
      <c r="M365"/>
      <c r="N365"/>
      <c r="O365" s="4"/>
      <c r="P365" s="4"/>
      <c r="Q365"/>
      <c r="R365" s="81"/>
    </row>
    <row r="366" spans="10:18" x14ac:dyDescent="0.25">
      <c r="J366"/>
      <c r="K366"/>
      <c r="L366"/>
      <c r="M366"/>
      <c r="N366"/>
      <c r="O366" s="4"/>
      <c r="P366" s="4"/>
      <c r="Q366"/>
      <c r="R366" s="81"/>
    </row>
    <row r="367" spans="10:18" x14ac:dyDescent="0.25">
      <c r="J367"/>
      <c r="K367"/>
      <c r="L367"/>
      <c r="M367"/>
      <c r="N367"/>
      <c r="O367" s="4"/>
      <c r="P367" s="4"/>
      <c r="Q367"/>
      <c r="R367" s="81"/>
    </row>
    <row r="368" spans="10:18" x14ac:dyDescent="0.25">
      <c r="J368"/>
      <c r="K368"/>
      <c r="L368"/>
      <c r="M368"/>
      <c r="N368"/>
      <c r="O368" s="4"/>
      <c r="P368" s="4"/>
      <c r="Q368"/>
      <c r="R368" s="81"/>
    </row>
    <row r="369" spans="10:18" x14ac:dyDescent="0.25">
      <c r="J369"/>
      <c r="K369"/>
      <c r="L369"/>
      <c r="M369"/>
      <c r="N369"/>
      <c r="O369" s="4"/>
      <c r="P369" s="4"/>
      <c r="Q369"/>
      <c r="R369" s="81"/>
    </row>
    <row r="370" spans="10:18" x14ac:dyDescent="0.25">
      <c r="J370"/>
      <c r="K370"/>
      <c r="L370"/>
      <c r="M370"/>
      <c r="N370"/>
      <c r="O370" s="4"/>
      <c r="P370" s="4"/>
      <c r="Q370"/>
      <c r="R370" s="81"/>
    </row>
    <row r="371" spans="10:18" x14ac:dyDescent="0.25">
      <c r="J371"/>
      <c r="K371"/>
      <c r="L371"/>
      <c r="M371"/>
      <c r="N371"/>
      <c r="O371" s="4"/>
      <c r="P371" s="4"/>
      <c r="Q371"/>
      <c r="R371" s="81"/>
    </row>
    <row r="372" spans="10:18" x14ac:dyDescent="0.25">
      <c r="J372"/>
      <c r="K372"/>
      <c r="L372"/>
      <c r="M372"/>
      <c r="N372"/>
      <c r="O372" s="4"/>
      <c r="P372" s="4"/>
      <c r="Q372"/>
      <c r="R372" s="81"/>
    </row>
    <row r="373" spans="10:18" x14ac:dyDescent="0.25">
      <c r="J373"/>
      <c r="K373"/>
      <c r="L373"/>
      <c r="M373"/>
      <c r="N373"/>
      <c r="O373" s="4"/>
      <c r="P373" s="4"/>
      <c r="Q373"/>
      <c r="R373" s="81"/>
    </row>
    <row r="374" spans="10:18" x14ac:dyDescent="0.25">
      <c r="J374"/>
      <c r="K374"/>
      <c r="L374"/>
      <c r="M374"/>
      <c r="N374"/>
      <c r="O374" s="4"/>
      <c r="P374" s="4"/>
      <c r="Q374"/>
      <c r="R374" s="81"/>
    </row>
    <row r="375" spans="10:18" x14ac:dyDescent="0.25">
      <c r="J375"/>
      <c r="K375"/>
      <c r="L375"/>
      <c r="M375"/>
      <c r="N375"/>
      <c r="O375" s="4"/>
      <c r="P375" s="4"/>
      <c r="Q375"/>
      <c r="R375" s="81"/>
    </row>
    <row r="376" spans="10:18" x14ac:dyDescent="0.25">
      <c r="J376"/>
      <c r="K376"/>
      <c r="L376"/>
      <c r="M376"/>
      <c r="N376"/>
      <c r="O376" s="4"/>
      <c r="P376" s="4"/>
      <c r="Q376"/>
      <c r="R376" s="81"/>
    </row>
    <row r="377" spans="10:18" x14ac:dyDescent="0.25">
      <c r="J377"/>
      <c r="K377"/>
      <c r="L377"/>
      <c r="M377"/>
      <c r="N377"/>
      <c r="O377" s="4"/>
      <c r="P377" s="4"/>
      <c r="Q377"/>
      <c r="R377" s="81"/>
    </row>
    <row r="378" spans="10:18" x14ac:dyDescent="0.25">
      <c r="J378"/>
      <c r="K378"/>
      <c r="L378"/>
      <c r="M378"/>
      <c r="N378"/>
      <c r="O378" s="4"/>
      <c r="P378" s="4"/>
      <c r="Q378"/>
      <c r="R378" s="81"/>
    </row>
    <row r="379" spans="10:18" x14ac:dyDescent="0.25">
      <c r="J379"/>
      <c r="K379"/>
      <c r="L379"/>
      <c r="M379"/>
      <c r="N379"/>
      <c r="O379" s="4"/>
      <c r="P379" s="4"/>
      <c r="Q379"/>
      <c r="R379" s="81"/>
    </row>
    <row r="380" spans="10:18" x14ac:dyDescent="0.25">
      <c r="J380"/>
      <c r="K380"/>
      <c r="L380"/>
      <c r="M380"/>
      <c r="N380"/>
      <c r="O380" s="4"/>
      <c r="P380" s="4"/>
      <c r="Q380"/>
      <c r="R380" s="81"/>
    </row>
    <row r="381" spans="10:18" x14ac:dyDescent="0.25">
      <c r="J381"/>
      <c r="K381"/>
      <c r="L381"/>
      <c r="M381"/>
      <c r="N381"/>
      <c r="O381" s="4"/>
      <c r="P381" s="4"/>
      <c r="Q381"/>
      <c r="R381" s="81"/>
    </row>
    <row r="382" spans="10:18" x14ac:dyDescent="0.25">
      <c r="J382"/>
      <c r="K382"/>
      <c r="L382"/>
      <c r="M382"/>
      <c r="N382"/>
      <c r="O382" s="4"/>
      <c r="P382" s="4"/>
      <c r="Q382"/>
      <c r="R382" s="81"/>
    </row>
    <row r="383" spans="10:18" x14ac:dyDescent="0.25">
      <c r="J383"/>
      <c r="K383"/>
      <c r="L383"/>
      <c r="M383"/>
      <c r="N383"/>
      <c r="O383" s="4"/>
      <c r="P383" s="4"/>
      <c r="Q383"/>
      <c r="R383" s="81"/>
    </row>
    <row r="384" spans="10:18" x14ac:dyDescent="0.25">
      <c r="J384"/>
      <c r="K384"/>
      <c r="L384"/>
      <c r="M384"/>
      <c r="N384"/>
      <c r="O384" s="4"/>
      <c r="P384" s="4"/>
      <c r="Q384"/>
      <c r="R384" s="81"/>
    </row>
    <row r="385" spans="10:18" x14ac:dyDescent="0.25">
      <c r="J385"/>
      <c r="K385"/>
      <c r="L385"/>
      <c r="M385"/>
      <c r="N385"/>
      <c r="O385" s="4"/>
      <c r="P385" s="4"/>
      <c r="Q385"/>
      <c r="R385" s="81"/>
    </row>
    <row r="386" spans="10:18" x14ac:dyDescent="0.25">
      <c r="J386"/>
      <c r="K386"/>
      <c r="L386"/>
      <c r="M386"/>
      <c r="N386"/>
      <c r="O386" s="4"/>
      <c r="P386" s="4"/>
      <c r="Q386"/>
      <c r="R386" s="81"/>
    </row>
    <row r="387" spans="10:18" x14ac:dyDescent="0.25">
      <c r="J387"/>
      <c r="K387"/>
      <c r="L387"/>
      <c r="M387"/>
      <c r="N387"/>
      <c r="O387" s="4"/>
      <c r="P387" s="4"/>
      <c r="Q387"/>
      <c r="R387" s="81"/>
    </row>
    <row r="388" spans="10:18" x14ac:dyDescent="0.25">
      <c r="J388"/>
      <c r="K388"/>
      <c r="L388"/>
      <c r="M388"/>
      <c r="N388"/>
      <c r="O388" s="4"/>
      <c r="P388" s="4"/>
      <c r="Q388"/>
      <c r="R388" s="81"/>
    </row>
    <row r="389" spans="10:18" x14ac:dyDescent="0.25">
      <c r="J389"/>
      <c r="K389"/>
      <c r="L389"/>
      <c r="M389"/>
      <c r="N389"/>
      <c r="O389" s="4"/>
      <c r="P389" s="4"/>
      <c r="Q389"/>
      <c r="R389" s="81"/>
    </row>
    <row r="390" spans="10:18" x14ac:dyDescent="0.25">
      <c r="J390"/>
      <c r="K390"/>
      <c r="L390"/>
      <c r="M390"/>
      <c r="N390"/>
      <c r="O390" s="4"/>
      <c r="P390" s="4"/>
      <c r="Q390"/>
      <c r="R390" s="81"/>
    </row>
    <row r="391" spans="10:18" x14ac:dyDescent="0.25">
      <c r="J391"/>
      <c r="K391"/>
      <c r="L391"/>
      <c r="M391"/>
      <c r="N391"/>
      <c r="O391" s="4"/>
      <c r="P391" s="4"/>
      <c r="Q391"/>
      <c r="R391" s="81"/>
    </row>
    <row r="392" spans="10:18" x14ac:dyDescent="0.25">
      <c r="J392"/>
      <c r="K392"/>
      <c r="L392"/>
      <c r="M392"/>
      <c r="N392"/>
      <c r="O392" s="4"/>
      <c r="P392" s="4"/>
      <c r="Q392"/>
      <c r="R392" s="81"/>
    </row>
    <row r="393" spans="10:18" x14ac:dyDescent="0.25">
      <c r="J393"/>
      <c r="K393"/>
      <c r="L393"/>
      <c r="M393"/>
      <c r="N393"/>
      <c r="O393" s="4"/>
      <c r="P393" s="4"/>
      <c r="Q393"/>
      <c r="R393" s="81"/>
    </row>
    <row r="394" spans="10:18" x14ac:dyDescent="0.25">
      <c r="J394"/>
      <c r="K394"/>
      <c r="L394"/>
      <c r="M394"/>
      <c r="N394"/>
      <c r="O394" s="4"/>
      <c r="P394" s="4"/>
      <c r="Q394"/>
      <c r="R394" s="81"/>
    </row>
    <row r="395" spans="10:18" x14ac:dyDescent="0.25">
      <c r="J395"/>
      <c r="K395"/>
      <c r="L395"/>
      <c r="M395"/>
      <c r="N395"/>
      <c r="O395" s="4"/>
      <c r="P395" s="4"/>
      <c r="Q395"/>
      <c r="R395" s="81"/>
    </row>
    <row r="396" spans="10:18" x14ac:dyDescent="0.25">
      <c r="J396"/>
      <c r="K396"/>
      <c r="L396"/>
      <c r="M396"/>
      <c r="N396"/>
      <c r="O396" s="4"/>
      <c r="P396" s="4"/>
      <c r="Q396"/>
      <c r="R396" s="81"/>
    </row>
    <row r="397" spans="10:18" x14ac:dyDescent="0.25">
      <c r="J397"/>
      <c r="K397"/>
      <c r="L397"/>
      <c r="M397"/>
      <c r="N397"/>
      <c r="O397" s="4"/>
      <c r="P397" s="4"/>
      <c r="Q397"/>
      <c r="R397" s="81"/>
    </row>
    <row r="398" spans="10:18" x14ac:dyDescent="0.25">
      <c r="J398"/>
      <c r="K398"/>
      <c r="L398"/>
      <c r="M398"/>
      <c r="N398"/>
      <c r="O398" s="4"/>
      <c r="P398" s="4"/>
      <c r="Q398"/>
      <c r="R398" s="81"/>
    </row>
    <row r="399" spans="10:18" x14ac:dyDescent="0.25">
      <c r="J399"/>
      <c r="K399"/>
      <c r="L399"/>
      <c r="M399"/>
      <c r="N399"/>
      <c r="O399" s="4"/>
      <c r="P399" s="4"/>
      <c r="Q399"/>
      <c r="R399" s="81"/>
    </row>
    <row r="400" spans="10:18" x14ac:dyDescent="0.25">
      <c r="J400"/>
      <c r="K400"/>
      <c r="L400"/>
      <c r="M400"/>
      <c r="N400"/>
      <c r="O400" s="4"/>
      <c r="P400" s="4"/>
      <c r="Q400"/>
      <c r="R400" s="81"/>
    </row>
    <row r="401" spans="10:18" x14ac:dyDescent="0.25">
      <c r="J401"/>
      <c r="K401"/>
      <c r="L401"/>
      <c r="M401"/>
      <c r="N401"/>
      <c r="O401" s="4"/>
      <c r="P401" s="4"/>
      <c r="Q401"/>
      <c r="R401" s="81"/>
    </row>
    <row r="402" spans="10:18" x14ac:dyDescent="0.25">
      <c r="J402"/>
      <c r="K402"/>
      <c r="L402"/>
      <c r="M402"/>
      <c r="N402"/>
      <c r="O402" s="4"/>
      <c r="P402" s="4"/>
      <c r="Q402"/>
      <c r="R402" s="81"/>
    </row>
    <row r="403" spans="10:18" x14ac:dyDescent="0.25">
      <c r="J403"/>
      <c r="K403"/>
      <c r="L403"/>
      <c r="M403"/>
      <c r="N403"/>
      <c r="O403" s="4"/>
      <c r="P403" s="4"/>
      <c r="Q403"/>
      <c r="R403" s="81"/>
    </row>
    <row r="404" spans="10:18" x14ac:dyDescent="0.25">
      <c r="J404"/>
      <c r="K404"/>
      <c r="L404"/>
      <c r="M404"/>
      <c r="N404"/>
      <c r="O404" s="4"/>
      <c r="P404" s="4"/>
      <c r="Q404"/>
      <c r="R404" s="81"/>
    </row>
    <row r="405" spans="10:18" x14ac:dyDescent="0.25">
      <c r="J405"/>
      <c r="K405"/>
      <c r="L405"/>
      <c r="M405"/>
      <c r="N405"/>
      <c r="O405" s="4"/>
      <c r="P405" s="4"/>
      <c r="Q405"/>
      <c r="R405" s="81"/>
    </row>
    <row r="406" spans="10:18" x14ac:dyDescent="0.25">
      <c r="J406"/>
      <c r="K406"/>
      <c r="L406"/>
      <c r="M406"/>
      <c r="N406"/>
      <c r="O406" s="4"/>
      <c r="P406" s="4"/>
      <c r="Q406"/>
      <c r="R406" s="81"/>
    </row>
    <row r="407" spans="10:18" x14ac:dyDescent="0.25">
      <c r="J407"/>
      <c r="K407"/>
      <c r="L407"/>
      <c r="M407"/>
      <c r="N407"/>
      <c r="O407" s="4"/>
      <c r="P407" s="4"/>
      <c r="Q407"/>
      <c r="R407" s="81"/>
    </row>
    <row r="408" spans="10:18" x14ac:dyDescent="0.25">
      <c r="J408"/>
      <c r="K408"/>
      <c r="L408"/>
      <c r="M408"/>
      <c r="N408"/>
      <c r="O408" s="4"/>
      <c r="P408" s="4"/>
      <c r="Q408"/>
      <c r="R408" s="81"/>
    </row>
    <row r="409" spans="10:18" x14ac:dyDescent="0.25">
      <c r="J409"/>
      <c r="K409"/>
      <c r="L409"/>
      <c r="M409"/>
      <c r="N409"/>
      <c r="O409" s="4"/>
      <c r="P409" s="4"/>
      <c r="Q409"/>
      <c r="R409" s="81"/>
    </row>
    <row r="410" spans="10:18" x14ac:dyDescent="0.25">
      <c r="J410"/>
      <c r="K410"/>
      <c r="L410"/>
      <c r="M410"/>
      <c r="N410"/>
      <c r="O410" s="4"/>
      <c r="P410" s="4"/>
      <c r="Q410"/>
      <c r="R410" s="81"/>
    </row>
    <row r="411" spans="10:18" x14ac:dyDescent="0.25">
      <c r="J411"/>
      <c r="K411"/>
      <c r="L411"/>
      <c r="M411"/>
      <c r="N411"/>
      <c r="O411" s="4"/>
      <c r="P411" s="4"/>
      <c r="Q411"/>
      <c r="R411" s="81"/>
    </row>
    <row r="412" spans="10:18" x14ac:dyDescent="0.25">
      <c r="J412"/>
      <c r="K412"/>
      <c r="L412"/>
      <c r="M412"/>
      <c r="N412"/>
      <c r="O412" s="4"/>
      <c r="P412" s="4"/>
      <c r="Q412"/>
      <c r="R412" s="81"/>
    </row>
    <row r="413" spans="10:18" x14ac:dyDescent="0.25">
      <c r="J413"/>
      <c r="K413"/>
      <c r="L413"/>
      <c r="M413"/>
      <c r="N413"/>
      <c r="O413" s="4"/>
      <c r="P413" s="4"/>
      <c r="Q413"/>
      <c r="R413" s="81"/>
    </row>
    <row r="414" spans="10:18" x14ac:dyDescent="0.25">
      <c r="J414"/>
      <c r="K414"/>
      <c r="L414"/>
      <c r="M414"/>
      <c r="N414"/>
      <c r="O414" s="4"/>
      <c r="P414" s="4"/>
      <c r="Q414"/>
      <c r="R414" s="81"/>
    </row>
    <row r="415" spans="10:18" x14ac:dyDescent="0.25">
      <c r="J415"/>
      <c r="K415"/>
      <c r="L415"/>
      <c r="M415"/>
      <c r="N415"/>
      <c r="O415" s="4"/>
      <c r="P415" s="4"/>
      <c r="Q415"/>
      <c r="R415" s="81"/>
    </row>
    <row r="416" spans="10:18" x14ac:dyDescent="0.25">
      <c r="J416"/>
      <c r="K416"/>
      <c r="L416"/>
      <c r="M416"/>
      <c r="N416"/>
      <c r="O416" s="4"/>
      <c r="P416" s="4"/>
      <c r="Q416"/>
      <c r="R416" s="81"/>
    </row>
    <row r="417" spans="10:18" x14ac:dyDescent="0.25">
      <c r="J417"/>
      <c r="K417"/>
      <c r="L417"/>
      <c r="M417"/>
      <c r="N417"/>
      <c r="O417" s="4"/>
      <c r="P417" s="4"/>
      <c r="Q417"/>
      <c r="R417" s="81"/>
    </row>
    <row r="418" spans="10:18" x14ac:dyDescent="0.25">
      <c r="J418"/>
      <c r="K418"/>
      <c r="L418"/>
      <c r="M418"/>
      <c r="N418"/>
      <c r="O418" s="4"/>
      <c r="P418" s="4"/>
      <c r="Q418"/>
      <c r="R418" s="81"/>
    </row>
    <row r="419" spans="10:18" x14ac:dyDescent="0.25">
      <c r="J419"/>
      <c r="K419"/>
      <c r="L419"/>
      <c r="M419"/>
      <c r="N419"/>
      <c r="O419" s="4"/>
      <c r="P419" s="4"/>
      <c r="Q419"/>
      <c r="R419" s="81"/>
    </row>
    <row r="420" spans="10:18" x14ac:dyDescent="0.25">
      <c r="J420"/>
      <c r="K420"/>
      <c r="L420"/>
      <c r="M420"/>
      <c r="N420"/>
      <c r="O420" s="4"/>
      <c r="P420" s="4"/>
      <c r="Q420"/>
      <c r="R420" s="81"/>
    </row>
    <row r="421" spans="10:18" x14ac:dyDescent="0.25">
      <c r="J421"/>
      <c r="K421"/>
      <c r="L421"/>
      <c r="M421"/>
      <c r="N421"/>
      <c r="O421" s="4"/>
      <c r="P421" s="4"/>
      <c r="Q421"/>
      <c r="R421" s="81"/>
    </row>
    <row r="422" spans="10:18" x14ac:dyDescent="0.25">
      <c r="J422"/>
      <c r="K422"/>
      <c r="L422"/>
      <c r="M422"/>
      <c r="N422"/>
      <c r="O422" s="4"/>
      <c r="P422" s="4"/>
      <c r="Q422"/>
      <c r="R422" s="81"/>
    </row>
    <row r="423" spans="10:18" x14ac:dyDescent="0.25">
      <c r="J423"/>
      <c r="K423"/>
      <c r="L423"/>
      <c r="M423"/>
      <c r="N423"/>
      <c r="O423" s="4"/>
      <c r="P423" s="4"/>
      <c r="Q423"/>
      <c r="R423" s="81"/>
    </row>
    <row r="424" spans="10:18" x14ac:dyDescent="0.25">
      <c r="J424"/>
      <c r="K424"/>
      <c r="L424"/>
      <c r="M424"/>
      <c r="N424"/>
      <c r="O424" s="4"/>
      <c r="P424" s="4"/>
      <c r="Q424"/>
      <c r="R424" s="81"/>
    </row>
    <row r="425" spans="10:18" x14ac:dyDescent="0.25">
      <c r="J425"/>
      <c r="K425"/>
      <c r="L425"/>
      <c r="M425"/>
      <c r="N425"/>
      <c r="O425" s="4"/>
      <c r="P425" s="4"/>
      <c r="Q425"/>
      <c r="R425" s="81"/>
    </row>
    <row r="426" spans="10:18" x14ac:dyDescent="0.25">
      <c r="J426"/>
      <c r="K426"/>
      <c r="L426"/>
      <c r="M426"/>
      <c r="N426"/>
      <c r="O426" s="4"/>
      <c r="P426" s="4"/>
      <c r="Q426"/>
      <c r="R426" s="81"/>
    </row>
    <row r="427" spans="10:18" x14ac:dyDescent="0.25">
      <c r="J427"/>
      <c r="K427"/>
      <c r="L427"/>
      <c r="M427"/>
      <c r="N427"/>
      <c r="O427" s="4"/>
      <c r="P427" s="4"/>
      <c r="Q427"/>
      <c r="R427" s="81"/>
    </row>
    <row r="428" spans="10:18" x14ac:dyDescent="0.25">
      <c r="J428"/>
      <c r="K428"/>
      <c r="L428"/>
      <c r="M428"/>
      <c r="N428"/>
      <c r="O428" s="4"/>
      <c r="P428" s="4"/>
      <c r="Q428"/>
      <c r="R428" s="81"/>
    </row>
  </sheetData>
  <sheetProtection sort="0" autoFilter="0"/>
  <dataConsolidate/>
  <pageMargins left="0.7" right="0.7" top="0.75" bottom="0.75" header="0.3" footer="0.3"/>
  <pageSetup orientation="portrait" r:id="rId2"/>
  <tableParts count="1">
    <tablePart r:id="rId3"/>
  </tableParts>
  <extLst>
    <ext xmlns:x14="http://schemas.microsoft.com/office/spreadsheetml/2009/9/main" uri="{78C0D931-6437-407d-A8EE-F0AAD7539E65}">
      <x14:conditionalFormattings>
        <x14:conditionalFormatting xmlns:xm="http://schemas.microsoft.com/office/excel/2006/main">
          <x14:cfRule type="cellIs" priority="356" operator="between" id="{17C56E90-278C-4F48-AB43-9B854284D974}">
            <xm:f>_xlfn.PERCENTILE.INC(K:K,'CALLER Portal'!$AB$31)</xm:f>
            <xm:f>_xlfn.PERCENTILE.INC(K:K,'CALLER Portal'!$AB$32)</xm:f>
            <x14:dxf>
              <font>
                <color theme="9" tint="-0.24994659260841701"/>
              </font>
              <fill>
                <patternFill patternType="solid">
                  <bgColor theme="9" tint="0.59996337778862885"/>
                </patternFill>
              </fill>
            </x14:dxf>
          </x14:cfRule>
          <x14:cfRule type="cellIs" priority="357" operator="greaterThan" id="{5158F49E-EF6B-4C80-862A-DB9CA3DBA061}">
            <xm:f>_xlfn.PERCENTILE.INC(K:K,'CALLER Portal'!$AB$32)</xm:f>
            <x14:dxf>
              <font>
                <color rgb="FF0070C0"/>
              </font>
              <fill>
                <patternFill patternType="solid">
                  <bgColor theme="4" tint="0.59996337778862885"/>
                </patternFill>
              </fill>
            </x14:dxf>
          </x14:cfRule>
          <x14:cfRule type="cellIs" priority="358" operator="lessThan" id="{92D7F205-763E-4688-8DFC-CF789B8824F3}">
            <xm:f>_xlfn.PERCENTILE.INC(K:K, 'CALLER Portal'!$AB$31)</xm:f>
            <x14:dxf>
              <font>
                <color rgb="FF9C0006"/>
              </font>
              <fill>
                <patternFill patternType="solid">
                  <bgColor rgb="FFFFB7B7"/>
                </patternFill>
              </fill>
            </x14:dxf>
          </x14:cfRule>
          <xm:sqref>K2:P170 R2:R170</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8:BB138"/>
  <sheetViews>
    <sheetView zoomScaleNormal="100" workbookViewId="0"/>
  </sheetViews>
  <sheetFormatPr defaultRowHeight="15" x14ac:dyDescent="0.25"/>
  <cols>
    <col min="1" max="1" width="3.5703125" style="22" customWidth="1"/>
    <col min="2" max="2" width="2" style="22" hidden="1" customWidth="1"/>
    <col min="3" max="3" width="26.7109375" bestFit="1" customWidth="1"/>
  </cols>
  <sheetData>
    <row r="18" spans="3:54" ht="15.75" thickBot="1" x14ac:dyDescent="0.3"/>
    <row r="19" spans="3:54" s="22" customFormat="1" ht="15.75" thickBot="1" x14ac:dyDescent="0.3">
      <c r="C19" s="50" t="s">
        <v>80</v>
      </c>
    </row>
    <row r="20" spans="3:54" s="22" customFormat="1" ht="15.75" thickBot="1" x14ac:dyDescent="0.3">
      <c r="C20" s="2" t="s">
        <v>16</v>
      </c>
      <c r="D20" s="45">
        <v>0.05</v>
      </c>
      <c r="E20" s="56">
        <v>0.1</v>
      </c>
      <c r="F20" s="56">
        <v>0.15</v>
      </c>
      <c r="G20" s="56">
        <v>0.2</v>
      </c>
      <c r="H20" s="56">
        <v>0.25</v>
      </c>
      <c r="I20" s="56">
        <v>0.3</v>
      </c>
      <c r="J20" s="56">
        <v>0.35</v>
      </c>
      <c r="K20" s="56">
        <v>0.4</v>
      </c>
      <c r="L20" s="56">
        <v>0.45</v>
      </c>
      <c r="M20" s="56">
        <v>0.5</v>
      </c>
      <c r="N20" s="56">
        <v>0.55000000000000004</v>
      </c>
      <c r="O20" s="56">
        <v>0.6</v>
      </c>
      <c r="P20" s="56">
        <v>0.65</v>
      </c>
      <c r="Q20" s="56">
        <v>0.7</v>
      </c>
      <c r="R20" s="56">
        <v>0.75</v>
      </c>
      <c r="S20" s="56">
        <v>0.8</v>
      </c>
      <c r="T20" s="56">
        <v>0.85</v>
      </c>
      <c r="U20" s="56">
        <v>0.9</v>
      </c>
      <c r="V20" s="57">
        <v>0.95</v>
      </c>
    </row>
    <row r="21" spans="3:54" ht="15.75" thickBot="1" x14ac:dyDescent="0.3">
      <c r="C21" s="58" t="s">
        <v>179</v>
      </c>
      <c r="D21" s="105" t="s">
        <v>115</v>
      </c>
      <c r="E21" s="105" t="s">
        <v>116</v>
      </c>
      <c r="F21" s="105" t="s">
        <v>117</v>
      </c>
      <c r="G21" s="105" t="s">
        <v>118</v>
      </c>
      <c r="H21" s="105" t="s">
        <v>120</v>
      </c>
      <c r="I21" s="105" t="s">
        <v>119</v>
      </c>
      <c r="J21" s="105" t="s">
        <v>121</v>
      </c>
      <c r="K21" s="105" t="s">
        <v>122</v>
      </c>
      <c r="L21" s="105" t="s">
        <v>123</v>
      </c>
      <c r="M21" s="105" t="s">
        <v>124</v>
      </c>
      <c r="N21" s="105" t="s">
        <v>125</v>
      </c>
      <c r="O21" s="105" t="s">
        <v>126</v>
      </c>
      <c r="P21" s="105" t="s">
        <v>127</v>
      </c>
      <c r="Q21" s="105" t="s">
        <v>128</v>
      </c>
      <c r="R21" s="105" t="s">
        <v>129</v>
      </c>
      <c r="S21" s="105" t="s">
        <v>130</v>
      </c>
      <c r="T21" s="105" t="s">
        <v>131</v>
      </c>
      <c r="U21" s="105" t="s">
        <v>132</v>
      </c>
      <c r="V21" s="105" t="s">
        <v>133</v>
      </c>
      <c r="W21" s="105" t="s">
        <v>134</v>
      </c>
      <c r="X21" s="105" t="s">
        <v>135</v>
      </c>
      <c r="Y21" s="105" t="s">
        <v>141</v>
      </c>
      <c r="Z21" s="105" t="s">
        <v>140</v>
      </c>
      <c r="AA21" s="105" t="s">
        <v>136</v>
      </c>
      <c r="AB21" s="105" t="s">
        <v>137</v>
      </c>
      <c r="AC21" s="105" t="s">
        <v>138</v>
      </c>
      <c r="AD21" s="105" t="s">
        <v>139</v>
      </c>
      <c r="AE21" s="105" t="s">
        <v>142</v>
      </c>
      <c r="AF21" s="105" t="s">
        <v>143</v>
      </c>
      <c r="AG21" s="105" t="s">
        <v>144</v>
      </c>
      <c r="AH21" s="105" t="s">
        <v>145</v>
      </c>
      <c r="AI21" s="105" t="s">
        <v>146</v>
      </c>
      <c r="AJ21" s="105" t="s">
        <v>147</v>
      </c>
      <c r="AK21" s="105" t="s">
        <v>148</v>
      </c>
      <c r="AL21" s="105" t="s">
        <v>114</v>
      </c>
      <c r="AM21" s="105" t="s">
        <v>149</v>
      </c>
      <c r="AN21" s="105" t="s">
        <v>150</v>
      </c>
      <c r="AO21" s="105" t="s">
        <v>151</v>
      </c>
      <c r="AP21" s="105" t="s">
        <v>152</v>
      </c>
      <c r="AQ21" s="105" t="s">
        <v>153</v>
      </c>
      <c r="AR21" s="105" t="s">
        <v>154</v>
      </c>
      <c r="AS21" s="105" t="s">
        <v>155</v>
      </c>
      <c r="AT21" s="105" t="s">
        <v>156</v>
      </c>
      <c r="AU21" s="105" t="s">
        <v>157</v>
      </c>
      <c r="AV21" s="105" t="s">
        <v>158</v>
      </c>
      <c r="AW21" s="105" t="s">
        <v>159</v>
      </c>
      <c r="AX21" s="105" t="s">
        <v>160</v>
      </c>
      <c r="AY21" s="105" t="s">
        <v>162</v>
      </c>
      <c r="AZ21" s="105" t="s">
        <v>161</v>
      </c>
      <c r="BA21" s="101" t="s">
        <v>163</v>
      </c>
    </row>
    <row r="22" spans="3:54" s="22" customFormat="1" ht="15.75" thickBot="1" x14ac:dyDescent="0.3">
      <c r="C22" s="2" t="s">
        <v>180</v>
      </c>
      <c r="D22" s="106" t="s">
        <v>181</v>
      </c>
      <c r="E22" s="106" t="s">
        <v>182</v>
      </c>
      <c r="F22" s="106" t="s">
        <v>183</v>
      </c>
      <c r="G22" s="106" t="s">
        <v>184</v>
      </c>
      <c r="H22" s="106" t="s">
        <v>203</v>
      </c>
      <c r="I22" s="106" t="s">
        <v>204</v>
      </c>
      <c r="J22" s="106" t="s">
        <v>205</v>
      </c>
      <c r="K22" s="106" t="s">
        <v>206</v>
      </c>
      <c r="L22" s="106" t="s">
        <v>207</v>
      </c>
      <c r="M22" s="106" t="s">
        <v>208</v>
      </c>
      <c r="N22" s="106" t="s">
        <v>209</v>
      </c>
      <c r="O22" s="106" t="s">
        <v>210</v>
      </c>
      <c r="P22" s="106" t="s">
        <v>211</v>
      </c>
      <c r="Q22" s="106" t="s">
        <v>212</v>
      </c>
      <c r="R22" s="106" t="s">
        <v>213</v>
      </c>
      <c r="S22" s="106" t="s">
        <v>214</v>
      </c>
      <c r="T22" s="106" t="s">
        <v>215</v>
      </c>
      <c r="U22" s="106" t="s">
        <v>216</v>
      </c>
      <c r="V22" s="106" t="s">
        <v>217</v>
      </c>
      <c r="W22" s="106" t="s">
        <v>218</v>
      </c>
      <c r="X22" s="106" t="s">
        <v>219</v>
      </c>
      <c r="Y22" s="106" t="s">
        <v>220</v>
      </c>
      <c r="Z22" s="106" t="s">
        <v>221</v>
      </c>
      <c r="AA22" s="106" t="s">
        <v>222</v>
      </c>
      <c r="AB22" s="106" t="s">
        <v>223</v>
      </c>
      <c r="AC22" s="106" t="s">
        <v>224</v>
      </c>
      <c r="AD22" s="106" t="s">
        <v>225</v>
      </c>
      <c r="AE22" s="106" t="s">
        <v>226</v>
      </c>
      <c r="AF22" s="106" t="s">
        <v>227</v>
      </c>
      <c r="AG22" s="106" t="s">
        <v>228</v>
      </c>
      <c r="AH22" s="106" t="s">
        <v>229</v>
      </c>
      <c r="AI22" s="106" t="s">
        <v>230</v>
      </c>
      <c r="AJ22" s="106" t="s">
        <v>231</v>
      </c>
      <c r="AK22" s="106" t="s">
        <v>232</v>
      </c>
      <c r="AL22" s="106" t="s">
        <v>233</v>
      </c>
      <c r="AM22" s="106" t="s">
        <v>234</v>
      </c>
      <c r="AN22" s="106" t="s">
        <v>235</v>
      </c>
      <c r="AO22" s="106" t="s">
        <v>236</v>
      </c>
      <c r="AP22" s="106" t="s">
        <v>237</v>
      </c>
      <c r="AQ22" s="106" t="s">
        <v>238</v>
      </c>
      <c r="AR22" s="106" t="s">
        <v>239</v>
      </c>
      <c r="AS22" s="106" t="s">
        <v>240</v>
      </c>
      <c r="AT22" s="106" t="s">
        <v>241</v>
      </c>
      <c r="AU22" s="106" t="s">
        <v>242</v>
      </c>
      <c r="AV22" s="106" t="s">
        <v>243</v>
      </c>
      <c r="AW22" s="106" t="s">
        <v>244</v>
      </c>
      <c r="AX22" s="106" t="s">
        <v>245</v>
      </c>
      <c r="AY22" s="106" t="s">
        <v>246</v>
      </c>
      <c r="AZ22" s="106" t="s">
        <v>247</v>
      </c>
      <c r="BA22" s="130" t="s">
        <v>248</v>
      </c>
    </row>
    <row r="23" spans="3:54" s="22" customFormat="1" ht="15.75" thickBot="1" x14ac:dyDescent="0.3">
      <c r="C23" s="58" t="s">
        <v>177</v>
      </c>
      <c r="D23" s="103">
        <v>43106</v>
      </c>
      <c r="E23" s="102">
        <v>43113</v>
      </c>
      <c r="F23" s="102">
        <v>43120</v>
      </c>
      <c r="G23" s="102">
        <v>43127</v>
      </c>
      <c r="H23" s="102">
        <v>43134</v>
      </c>
      <c r="I23" s="102">
        <v>43141</v>
      </c>
      <c r="J23" s="102">
        <v>43148</v>
      </c>
      <c r="K23" s="102">
        <v>43155</v>
      </c>
      <c r="L23" s="102">
        <v>43162</v>
      </c>
      <c r="M23" s="102">
        <v>43169</v>
      </c>
      <c r="N23" s="102">
        <v>43176</v>
      </c>
      <c r="O23" s="102">
        <v>43183</v>
      </c>
      <c r="P23" s="102">
        <v>43190</v>
      </c>
      <c r="Q23" s="102">
        <v>43197</v>
      </c>
      <c r="R23" s="102">
        <v>43204</v>
      </c>
      <c r="S23" s="102">
        <v>43211</v>
      </c>
      <c r="T23" s="102">
        <v>43218</v>
      </c>
      <c r="U23" s="102">
        <v>43225</v>
      </c>
      <c r="V23" s="102">
        <v>43232</v>
      </c>
      <c r="W23" s="102">
        <v>43239</v>
      </c>
      <c r="X23" s="102">
        <v>43246</v>
      </c>
      <c r="Y23" s="102">
        <v>43253</v>
      </c>
      <c r="Z23" s="102">
        <v>43260</v>
      </c>
      <c r="AA23" s="102">
        <v>43267</v>
      </c>
      <c r="AB23" s="102">
        <v>43274</v>
      </c>
      <c r="AC23" s="102">
        <v>43281</v>
      </c>
      <c r="AD23" s="102">
        <v>43288</v>
      </c>
      <c r="AE23" s="102">
        <v>43295</v>
      </c>
      <c r="AF23" s="102">
        <v>43302</v>
      </c>
      <c r="AG23" s="102">
        <v>43309</v>
      </c>
      <c r="AH23" s="102">
        <v>43316</v>
      </c>
      <c r="AI23" s="102">
        <v>43323</v>
      </c>
      <c r="AJ23" s="102">
        <v>43330</v>
      </c>
      <c r="AK23" s="102">
        <v>43337</v>
      </c>
      <c r="AL23" s="102">
        <v>43344</v>
      </c>
      <c r="AM23" s="102">
        <v>43351</v>
      </c>
      <c r="AN23" s="102">
        <v>43358</v>
      </c>
      <c r="AO23" s="102">
        <v>43365</v>
      </c>
      <c r="AP23" s="102">
        <v>43372</v>
      </c>
      <c r="AQ23" s="102">
        <v>43379</v>
      </c>
      <c r="AR23" s="102">
        <v>43386</v>
      </c>
      <c r="AS23" s="102">
        <v>43393</v>
      </c>
      <c r="AT23" s="102">
        <v>43400</v>
      </c>
      <c r="AU23" s="102">
        <v>43407</v>
      </c>
      <c r="AV23" s="102">
        <v>43414</v>
      </c>
      <c r="AW23" s="102">
        <v>43421</v>
      </c>
      <c r="AX23" s="102">
        <v>43428</v>
      </c>
      <c r="AY23" s="102">
        <v>43435</v>
      </c>
      <c r="AZ23" s="102">
        <v>43442</v>
      </c>
      <c r="BA23" s="104">
        <v>43449</v>
      </c>
    </row>
    <row r="24" spans="3:54" s="22" customFormat="1" ht="15.75" thickBot="1" x14ac:dyDescent="0.3">
      <c r="C24" s="2" t="s">
        <v>178</v>
      </c>
      <c r="D24" s="231">
        <v>43470</v>
      </c>
      <c r="E24" s="233">
        <v>43477</v>
      </c>
      <c r="F24" s="233">
        <v>43484</v>
      </c>
      <c r="G24" s="233">
        <v>43491</v>
      </c>
      <c r="H24" s="233">
        <v>43498</v>
      </c>
      <c r="I24" s="233">
        <v>43505</v>
      </c>
      <c r="J24" s="233">
        <v>43512</v>
      </c>
      <c r="K24" s="233">
        <v>43519</v>
      </c>
      <c r="L24" s="233">
        <v>43526</v>
      </c>
      <c r="M24" s="233">
        <v>43533</v>
      </c>
      <c r="N24" s="233">
        <v>43540</v>
      </c>
      <c r="O24" s="233">
        <v>43547</v>
      </c>
      <c r="P24" s="233">
        <v>43554</v>
      </c>
      <c r="Q24" s="233">
        <v>43561</v>
      </c>
      <c r="R24" s="233">
        <v>43568</v>
      </c>
      <c r="S24" s="233">
        <v>43575</v>
      </c>
      <c r="T24" s="233">
        <v>43582</v>
      </c>
      <c r="U24" s="233">
        <v>43589</v>
      </c>
      <c r="V24" s="233">
        <v>43596</v>
      </c>
      <c r="W24" s="233">
        <v>43603</v>
      </c>
      <c r="X24" s="233">
        <v>43610</v>
      </c>
      <c r="Y24" s="233">
        <v>43617</v>
      </c>
      <c r="Z24" s="233">
        <v>43624</v>
      </c>
      <c r="AA24" s="233">
        <v>43631</v>
      </c>
      <c r="AB24" s="233">
        <v>43638</v>
      </c>
      <c r="AC24" s="233">
        <v>43645</v>
      </c>
      <c r="AD24" s="233">
        <v>43652</v>
      </c>
      <c r="AE24" s="233">
        <v>43659</v>
      </c>
      <c r="AF24" s="233">
        <v>43666</v>
      </c>
      <c r="AG24" s="233">
        <v>43673</v>
      </c>
      <c r="AH24" s="233">
        <v>43680</v>
      </c>
      <c r="AI24" s="233">
        <v>43687</v>
      </c>
      <c r="AJ24" s="233">
        <v>43694</v>
      </c>
      <c r="AK24" s="233">
        <v>43701</v>
      </c>
      <c r="AL24" s="233">
        <v>43708</v>
      </c>
      <c r="AM24" s="233">
        <v>43715</v>
      </c>
      <c r="AN24" s="233">
        <v>43722</v>
      </c>
      <c r="AO24" s="233">
        <v>43729</v>
      </c>
      <c r="AP24" s="233">
        <v>43736</v>
      </c>
      <c r="AQ24" s="233">
        <v>43743</v>
      </c>
      <c r="AR24" s="233">
        <v>43750</v>
      </c>
      <c r="AS24" s="233">
        <v>43757</v>
      </c>
      <c r="AT24" s="233">
        <v>43764</v>
      </c>
      <c r="AU24" s="233">
        <v>43771</v>
      </c>
      <c r="AV24" s="233">
        <v>43778</v>
      </c>
      <c r="AW24" s="233">
        <v>43785</v>
      </c>
      <c r="AX24" s="233">
        <v>43792</v>
      </c>
      <c r="AY24" s="233">
        <v>43799</v>
      </c>
      <c r="AZ24" s="233">
        <v>43806</v>
      </c>
      <c r="BA24" s="234">
        <v>43813</v>
      </c>
    </row>
    <row r="25" spans="3:54" s="4" customFormat="1" ht="15.75" thickBot="1" x14ac:dyDescent="0.3">
      <c r="C25" s="230" t="s">
        <v>100</v>
      </c>
      <c r="D25" s="98" t="str">
        <f>IF(YEAR('CALLER Portal'!$AB$33)=2018,IF(AND(D$23&gt;='CALLER Portal'!$AB$33,D$23&lt;='CALLER Portal'!$AB$34),"18."&amp;D21,"-"),IF(YEAR('CALLER Portal'!$AB$33)=2019,IF(AND(D$24&gt;='CALLER Portal'!$AB$33,D$24&lt;='CALLER Portal'!$AB$34),"19."&amp;D22,"-"),"-"))</f>
        <v>19.Jan.05</v>
      </c>
      <c r="E25" s="99" t="str">
        <f>IF(YEAR('CALLER Portal'!$AB$33)=2018,IF(AND(E$23&gt;='CALLER Portal'!$AB$33,E$23&lt;='CALLER Portal'!$AB$34),"18."&amp;E21,"-"),IF(YEAR('CALLER Portal'!$AB$33)=2019,IF(AND(E$24&gt;='CALLER Portal'!$AB$33,E$24&lt;='CALLER Portal'!$AB$34),"19."&amp;E22,"-"),"-"))</f>
        <v>19.Jan.12</v>
      </c>
      <c r="F25" s="99" t="str">
        <f>IF(YEAR('CALLER Portal'!$AB$33)=2018,IF(AND(F$23&gt;='CALLER Portal'!$AB$33,F$23&lt;='CALLER Portal'!$AB$34),"18."&amp;F21,"-"),IF(YEAR('CALLER Portal'!$AB$33)=2019,IF(AND(F$24&gt;='CALLER Portal'!$AB$33,F$24&lt;='CALLER Portal'!$AB$34),"19."&amp;F22,"-"),"-"))</f>
        <v>19.Jan.19</v>
      </c>
      <c r="G25" s="99" t="str">
        <f>IF(YEAR('CALLER Portal'!$AB$33)=2018,IF(AND(G$23&gt;='CALLER Portal'!$AB$33,G$23&lt;='CALLER Portal'!$AB$34),"18."&amp;G21,"-"),IF(YEAR('CALLER Portal'!$AB$33)=2019,IF(AND(G$24&gt;='CALLER Portal'!$AB$33,G$24&lt;='CALLER Portal'!$AB$34),"19."&amp;G22,"-"),"-"))</f>
        <v>19.Jan.26</v>
      </c>
      <c r="H25" s="99" t="str">
        <f>IF(YEAR('CALLER Portal'!$AB$33)=2018,IF(AND(H$23&gt;='CALLER Portal'!$AB$33,H$23&lt;='CALLER Portal'!$AB$34),"18."&amp;H21,"-"),IF(YEAR('CALLER Portal'!$AB$33)=2019,IF(AND(H$24&gt;='CALLER Portal'!$AB$33,H$24&lt;='CALLER Portal'!$AB$34),"19."&amp;H22,"-"),"-"))</f>
        <v>19.Feb.02</v>
      </c>
      <c r="I25" s="99" t="str">
        <f>IF(YEAR('CALLER Portal'!$AB$33)=2018,IF(AND(I$23&gt;='CALLER Portal'!$AB$33,I$23&lt;='CALLER Portal'!$AB$34),"18."&amp;I21,"-"),IF(YEAR('CALLER Portal'!$AB$33)=2019,IF(AND(I$24&gt;='CALLER Portal'!$AB$33,I$24&lt;='CALLER Portal'!$AB$34),"19."&amp;I22,"-"),"-"))</f>
        <v>19.Feb.09</v>
      </c>
      <c r="J25" s="99" t="str">
        <f>IF(YEAR('CALLER Portal'!$AB$33)=2018,IF(AND(J$23&gt;='CALLER Portal'!$AB$33,J$23&lt;='CALLER Portal'!$AB$34),"18."&amp;J21,"-"),IF(YEAR('CALLER Portal'!$AB$33)=2019,IF(AND(J$24&gt;='CALLER Portal'!$AB$33,J$24&lt;='CALLER Portal'!$AB$34),"19."&amp;J22,"-"),"-"))</f>
        <v>19.Feb.16</v>
      </c>
      <c r="K25" s="99" t="str">
        <f>IF(YEAR('CALLER Portal'!$AB$33)=2018,IF(AND(K$23&gt;='CALLER Portal'!$AB$33,K$23&lt;='CALLER Portal'!$AB$34),"18."&amp;K21,"-"),IF(YEAR('CALLER Portal'!$AB$33)=2019,IF(AND(K$24&gt;='CALLER Portal'!$AB$33,K$24&lt;='CALLER Portal'!$AB$34),"19."&amp;K22,"-"),"-"))</f>
        <v>19.Feb.23</v>
      </c>
      <c r="L25" s="99" t="str">
        <f>IF(YEAR('CALLER Portal'!$AB$33)=2018,IF(AND(L$23&gt;='CALLER Portal'!$AB$33,L$23&lt;='CALLER Portal'!$AB$34),"18."&amp;L21,"-"),IF(YEAR('CALLER Portal'!$AB$33)=2019,IF(AND(L$24&gt;='CALLER Portal'!$AB$33,L$24&lt;='CALLER Portal'!$AB$34),"19."&amp;L22,"-"),"-"))</f>
        <v>19.Mar.02</v>
      </c>
      <c r="M25" s="99" t="str">
        <f>IF(YEAR('CALLER Portal'!$AB$33)=2018,IF(AND(M$23&gt;='CALLER Portal'!$AB$33,M$23&lt;='CALLER Portal'!$AB$34),"18."&amp;M21,"-"),IF(YEAR('CALLER Portal'!$AB$33)=2019,IF(AND(M$24&gt;='CALLER Portal'!$AB$33,M$24&lt;='CALLER Portal'!$AB$34),"19."&amp;M22,"-"),"-"))</f>
        <v>19.Mar.09</v>
      </c>
      <c r="N25" s="99" t="str">
        <f>IF(YEAR('CALLER Portal'!$AB$33)=2018,IF(AND(N$23&gt;='CALLER Portal'!$AB$33,N$23&lt;='CALLER Portal'!$AB$34),"18."&amp;N21,"-"),IF(YEAR('CALLER Portal'!$AB$33)=2019,IF(AND(N$24&gt;='CALLER Portal'!$AB$33,N$24&lt;='CALLER Portal'!$AB$34),"19."&amp;N22,"-"),"-"))</f>
        <v>19.Mar.16</v>
      </c>
      <c r="O25" s="99" t="str">
        <f>IF(YEAR('CALLER Portal'!$AB$33)=2018,IF(AND(O$23&gt;='CALLER Portal'!$AB$33,O$23&lt;='CALLER Portal'!$AB$34),"18."&amp;O21,"-"),IF(YEAR('CALLER Portal'!$AB$33)=2019,IF(AND(O$24&gt;='CALLER Portal'!$AB$33,O$24&lt;='CALLER Portal'!$AB$34),"19."&amp;O22,"-"),"-"))</f>
        <v>19.Mar.23</v>
      </c>
      <c r="P25" s="99" t="str">
        <f>IF(YEAR('CALLER Portal'!$AB$33)=2018,IF(AND(P$23&gt;='CALLER Portal'!$AB$33,P$23&lt;='CALLER Portal'!$AB$34),"18."&amp;P21,"-"),IF(YEAR('CALLER Portal'!$AB$33)=2019,IF(AND(P$24&gt;='CALLER Portal'!$AB$33,P$24&lt;='CALLER Portal'!$AB$34),"19."&amp;P22,"-"),"-"))</f>
        <v>19.Mar.30</v>
      </c>
      <c r="Q25" s="99" t="str">
        <f>IF(YEAR('CALLER Portal'!$AB$33)=2018,IF(AND(Q$23&gt;='CALLER Portal'!$AB$33,Q$23&lt;='CALLER Portal'!$AB$34),"18."&amp;Q21,"-"),IF(YEAR('CALLER Portal'!$AB$33)=2019,IF(AND(Q$24&gt;='CALLER Portal'!$AB$33,Q$24&lt;='CALLER Portal'!$AB$34),"19."&amp;Q22,"-"),"-"))</f>
        <v>19.Apr.06</v>
      </c>
      <c r="R25" s="99" t="str">
        <f>IF(YEAR('CALLER Portal'!$AB$33)=2018,IF(AND(R$23&gt;='CALLER Portal'!$AB$33,R$23&lt;='CALLER Portal'!$AB$34),"18."&amp;R21,"-"),IF(YEAR('CALLER Portal'!$AB$33)=2019,IF(AND(R$24&gt;='CALLER Portal'!$AB$33,R$24&lt;='CALLER Portal'!$AB$34),"19."&amp;R22,"-"),"-"))</f>
        <v>19.Apr.13</v>
      </c>
      <c r="S25" s="99" t="str">
        <f>IF(YEAR('CALLER Portal'!$AB$33)=2018,IF(AND(S$23&gt;='CALLER Portal'!$AB$33,S$23&lt;='CALLER Portal'!$AB$34),"18."&amp;S21,"-"),IF(YEAR('CALLER Portal'!$AB$33)=2019,IF(AND(S$24&gt;='CALLER Portal'!$AB$33,S$24&lt;='CALLER Portal'!$AB$34),"19."&amp;S22,"-"),"-"))</f>
        <v>19.Apr.20</v>
      </c>
      <c r="T25" s="99" t="str">
        <f>IF(YEAR('CALLER Portal'!$AB$33)=2018,IF(AND(T$23&gt;='CALLER Portal'!$AB$33,T$23&lt;='CALLER Portal'!$AB$34),"18."&amp;T21,"-"),IF(YEAR('CALLER Portal'!$AB$33)=2019,IF(AND(T$24&gt;='CALLER Portal'!$AB$33,T$24&lt;='CALLER Portal'!$AB$34),"19."&amp;T22,"-"),"-"))</f>
        <v>19.Apr.27</v>
      </c>
      <c r="U25" s="99" t="str">
        <f>IF(YEAR('CALLER Portal'!$AB$33)=2018,IF(AND(U$23&gt;='CALLER Portal'!$AB$33,U$23&lt;='CALLER Portal'!$AB$34),"18."&amp;U21,"-"),IF(YEAR('CALLER Portal'!$AB$33)=2019,IF(AND(U$24&gt;='CALLER Portal'!$AB$33,U$24&lt;='CALLER Portal'!$AB$34),"19."&amp;U22,"-"),"-"))</f>
        <v>19.May.04</v>
      </c>
      <c r="V25" s="99" t="str">
        <f>IF(YEAR('CALLER Portal'!$AB$33)=2018,IF(AND(V$23&gt;='CALLER Portal'!$AB$33,V$23&lt;='CALLER Portal'!$AB$34),"18."&amp;V21,"-"),IF(YEAR('CALLER Portal'!$AB$33)=2019,IF(AND(V$24&gt;='CALLER Portal'!$AB$33,V$24&lt;='CALLER Portal'!$AB$34),"19."&amp;V22,"-"),"-"))</f>
        <v>19.May.11</v>
      </c>
      <c r="W25" s="99" t="str">
        <f>IF(YEAR('CALLER Portal'!$AB$33)=2018,IF(AND(W$23&gt;='CALLER Portal'!$AB$33,W$23&lt;='CALLER Portal'!$AB$34),"18."&amp;W21,"-"),IF(YEAR('CALLER Portal'!$AB$33)=2019,IF(AND(W$24&gt;='CALLER Portal'!$AB$33,W$24&lt;='CALLER Portal'!$AB$34),"19."&amp;W22,"-"),"-"))</f>
        <v>19.May.18</v>
      </c>
      <c r="X25" s="99" t="str">
        <f>IF(YEAR('CALLER Portal'!$AB$33)=2018,IF(AND(X$23&gt;='CALLER Portal'!$AB$33,X$23&lt;='CALLER Portal'!$AB$34),"18."&amp;X21,"-"),IF(YEAR('CALLER Portal'!$AB$33)=2019,IF(AND(X$24&gt;='CALLER Portal'!$AB$33,X$24&lt;='CALLER Portal'!$AB$34),"19."&amp;X22,"-"),"-"))</f>
        <v>19.May.25</v>
      </c>
      <c r="Y25" s="99" t="str">
        <f>IF(YEAR('CALLER Portal'!$AB$33)=2018,IF(AND(Y$23&gt;='CALLER Portal'!$AB$33,Y$23&lt;='CALLER Portal'!$AB$34),"18."&amp;Y21,"-"),IF(YEAR('CALLER Portal'!$AB$33)=2019,IF(AND(Y$24&gt;='CALLER Portal'!$AB$33,Y$24&lt;='CALLER Portal'!$AB$34),"19."&amp;Y22,"-"),"-"))</f>
        <v>19.Jun.01</v>
      </c>
      <c r="Z25" s="99" t="str">
        <f>IF(YEAR('CALLER Portal'!$AB$33)=2018,IF(AND(Z$23&gt;='CALLER Portal'!$AB$33,Z$23&lt;='CALLER Portal'!$AB$34),"18."&amp;Z21,"-"),IF(YEAR('CALLER Portal'!$AB$33)=2019,IF(AND(Z$24&gt;='CALLER Portal'!$AB$33,Z$24&lt;='CALLER Portal'!$AB$34),"19."&amp;Z22,"-"),"-"))</f>
        <v>19.Jun.08</v>
      </c>
      <c r="AA25" s="99" t="str">
        <f>IF(YEAR('CALLER Portal'!$AB$33)=2018,IF(AND(AA$23&gt;='CALLER Portal'!$AB$33,AA$23&lt;='CALLER Portal'!$AB$34),"18."&amp;AA21,"-"),IF(YEAR('CALLER Portal'!$AB$33)=2019,IF(AND(AA$24&gt;='CALLER Portal'!$AB$33,AA$24&lt;='CALLER Portal'!$AB$34),"19."&amp;AA22,"-"),"-"))</f>
        <v>19.Jun.15</v>
      </c>
      <c r="AB25" s="99" t="str">
        <f>IF(YEAR('CALLER Portal'!$AB$33)=2018,IF(AND(AB$23&gt;='CALLER Portal'!$AB$33,AB$23&lt;='CALLER Portal'!$AB$34),"18."&amp;AB21,"-"),IF(YEAR('CALLER Portal'!$AB$33)=2019,IF(AND(AB$24&gt;='CALLER Portal'!$AB$33,AB$24&lt;='CALLER Portal'!$AB$34),"19."&amp;AB22,"-"),"-"))</f>
        <v>19.Jun.22</v>
      </c>
      <c r="AC25" s="99" t="str">
        <f>IF(YEAR('CALLER Portal'!$AB$33)=2018,IF(AND(AC$23&gt;='CALLER Portal'!$AB$33,AC$23&lt;='CALLER Portal'!$AB$34),"18."&amp;AC21,"-"),IF(YEAR('CALLER Portal'!$AB$33)=2019,IF(AND(AC$24&gt;='CALLER Portal'!$AB$33,AC$24&lt;='CALLER Portal'!$AB$34),"19."&amp;AC22,"-"),"-"))</f>
        <v>19.Jun.29</v>
      </c>
      <c r="AD25" s="99" t="str">
        <f>IF(YEAR('CALLER Portal'!$AB$33)=2018,IF(AND(AD$23&gt;='CALLER Portal'!$AB$33,AD$23&lt;='CALLER Portal'!$AB$34),"18."&amp;AD21,"-"),IF(YEAR('CALLER Portal'!$AB$33)=2019,IF(AND(AD$24&gt;='CALLER Portal'!$AB$33,AD$24&lt;='CALLER Portal'!$AB$34),"19."&amp;AD22,"-"),"-"))</f>
        <v>19.Jul.06</v>
      </c>
      <c r="AE25" s="99" t="str">
        <f>IF(YEAR('CALLER Portal'!$AB$33)=2018,IF(AND(AE$23&gt;='CALLER Portal'!$AB$33,AE$23&lt;='CALLER Portal'!$AB$34),"18."&amp;AE21,"-"),IF(YEAR('CALLER Portal'!$AB$33)=2019,IF(AND(AE$24&gt;='CALLER Portal'!$AB$33,AE$24&lt;='CALLER Portal'!$AB$34),"19."&amp;AE22,"-"),"-"))</f>
        <v>19.Jul.13</v>
      </c>
      <c r="AF25" s="99" t="str">
        <f>IF(YEAR('CALLER Portal'!$AB$33)=2018,IF(AND(AF$23&gt;='CALLER Portal'!$AB$33,AF$23&lt;='CALLER Portal'!$AB$34),"18."&amp;AF21,"-"),IF(YEAR('CALLER Portal'!$AB$33)=2019,IF(AND(AF$24&gt;='CALLER Portal'!$AB$33,AF$24&lt;='CALLER Portal'!$AB$34),"19."&amp;AF22,"-"),"-"))</f>
        <v>19.Jul.20</v>
      </c>
      <c r="AG25" s="99" t="str">
        <f>IF(YEAR('CALLER Portal'!$AB$33)=2018,IF(AND(AG$23&gt;='CALLER Portal'!$AB$33,AG$23&lt;='CALLER Portal'!$AB$34),"18."&amp;AG21,"-"),IF(YEAR('CALLER Portal'!$AB$33)=2019,IF(AND(AG$24&gt;='CALLER Portal'!$AB$33,AG$24&lt;='CALLER Portal'!$AB$34),"19."&amp;AG22,"-"),"-"))</f>
        <v>19.Jul.27</v>
      </c>
      <c r="AH25" s="99" t="str">
        <f>IF(YEAR('CALLER Portal'!$AB$33)=2018,IF(AND(AH$23&gt;='CALLER Portal'!$AB$33,AH$23&lt;='CALLER Portal'!$AB$34),"18."&amp;AH21,"-"),IF(YEAR('CALLER Portal'!$AB$33)=2019,IF(AND(AH$24&gt;='CALLER Portal'!$AB$33,AH$24&lt;='CALLER Portal'!$AB$34),"19."&amp;AH22,"-"),"-"))</f>
        <v>19.Aug.03</v>
      </c>
      <c r="AI25" s="99" t="str">
        <f>IF(YEAR('CALLER Portal'!$AB$33)=2018,IF(AND(AI$23&gt;='CALLER Portal'!$AB$33,AI$23&lt;='CALLER Portal'!$AB$34),"18."&amp;AI21,"-"),IF(YEAR('CALLER Portal'!$AB$33)=2019,IF(AND(AI$24&gt;='CALLER Portal'!$AB$33,AI$24&lt;='CALLER Portal'!$AB$34),"19."&amp;AI22,"-"),"-"))</f>
        <v>19.Aug.10</v>
      </c>
      <c r="AJ25" s="99" t="str">
        <f>IF(YEAR('CALLER Portal'!$AB$33)=2018,IF(AND(AJ$23&gt;='CALLER Portal'!$AB$33,AJ$23&lt;='CALLER Portal'!$AB$34),"18."&amp;AJ21,"-"),IF(YEAR('CALLER Portal'!$AB$33)=2019,IF(AND(AJ$24&gt;='CALLER Portal'!$AB$33,AJ$24&lt;='CALLER Portal'!$AB$34),"19."&amp;AJ22,"-"),"-"))</f>
        <v>19.Aug.17</v>
      </c>
      <c r="AK25" s="99" t="str">
        <f>IF(YEAR('CALLER Portal'!$AB$33)=2018,IF(AND(AK$23&gt;='CALLER Portal'!$AB$33,AK$23&lt;='CALLER Portal'!$AB$34),"18."&amp;AK21,"-"),IF(YEAR('CALLER Portal'!$AB$33)=2019,IF(AND(AK$24&gt;='CALLER Portal'!$AB$33,AK$24&lt;='CALLER Portal'!$AB$34),"19."&amp;AK22,"-"),"-"))</f>
        <v>19.Aug.24</v>
      </c>
      <c r="AL25" s="99" t="str">
        <f>IF(YEAR('CALLER Portal'!$AB$33)=2018,IF(AND(AL$23&gt;='CALLER Portal'!$AB$33,AL$23&lt;='CALLER Portal'!$AB$34),"18."&amp;AL21,"-"),IF(YEAR('CALLER Portal'!$AB$33)=2019,IF(AND(AL$24&gt;='CALLER Portal'!$AB$33,AL$24&lt;='CALLER Portal'!$AB$34),"19."&amp;AL22,"-"),"-"))</f>
        <v>19.Aug.31</v>
      </c>
      <c r="AM25" s="99" t="str">
        <f>IF(YEAR('CALLER Portal'!$AB$33)=2018,IF(AND(AM$23&gt;='CALLER Portal'!$AB$33,AM$23&lt;='CALLER Portal'!$AB$34),"18."&amp;AM21,"-"),IF(YEAR('CALLER Portal'!$AB$33)=2019,IF(AND(AM$24&gt;='CALLER Portal'!$AB$33,AM$24&lt;='CALLER Portal'!$AB$34),"19."&amp;AM22,"-"),"-"))</f>
        <v>19.Sep.07</v>
      </c>
      <c r="AN25" s="99" t="str">
        <f>IF(YEAR('CALLER Portal'!$AB$33)=2018,IF(AND(AN$23&gt;='CALLER Portal'!$AB$33,AN$23&lt;='CALLER Portal'!$AB$34),"18."&amp;AN21,"-"),IF(YEAR('CALLER Portal'!$AB$33)=2019,IF(AND(AN$24&gt;='CALLER Portal'!$AB$33,AN$24&lt;='CALLER Portal'!$AB$34),"19."&amp;AN22,"-"),"-"))</f>
        <v>19.Sep.14</v>
      </c>
      <c r="AO25" s="99" t="str">
        <f>IF(YEAR('CALLER Portal'!$AB$33)=2018,IF(AND(AO$23&gt;='CALLER Portal'!$AB$33,AO$23&lt;='CALLER Portal'!$AB$34),"18."&amp;AO21,"-"),IF(YEAR('CALLER Portal'!$AB$33)=2019,IF(AND(AO$24&gt;='CALLER Portal'!$AB$33,AO$24&lt;='CALLER Portal'!$AB$34),"19."&amp;AO22,"-"),"-"))</f>
        <v>19.Sep.21</v>
      </c>
      <c r="AP25" s="99" t="str">
        <f>IF(YEAR('CALLER Portal'!$AB$33)=2018,IF(AND(AP$23&gt;='CALLER Portal'!$AB$33,AP$23&lt;='CALLER Portal'!$AB$34),"18."&amp;AP21,"-"),IF(YEAR('CALLER Portal'!$AB$33)=2019,IF(AND(AP$24&gt;='CALLER Portal'!$AB$33,AP$24&lt;='CALLER Portal'!$AB$34),"19."&amp;AP22,"-"),"-"))</f>
        <v>19.Sep.28</v>
      </c>
      <c r="AQ25" s="99" t="str">
        <f>IF(YEAR('CALLER Portal'!$AB$33)=2018,IF(AND(AQ$23&gt;='CALLER Portal'!$AB$33,AQ$23&lt;='CALLER Portal'!$AB$34),"18."&amp;AQ21,"-"),IF(YEAR('CALLER Portal'!$AB$33)=2019,IF(AND(AQ$24&gt;='CALLER Portal'!$AB$33,AQ$24&lt;='CALLER Portal'!$AB$34),"19."&amp;AQ22,"-"),"-"))</f>
        <v>19.Oct.05</v>
      </c>
      <c r="AR25" s="99" t="str">
        <f>IF(YEAR('CALLER Portal'!$AB$33)=2018,IF(AND(AR$23&gt;='CALLER Portal'!$AB$33,AR$23&lt;='CALLER Portal'!$AB$34),"18."&amp;AR21,"-"),IF(YEAR('CALLER Portal'!$AB$33)=2019,IF(AND(AR$24&gt;='CALLER Portal'!$AB$33,AR$24&lt;='CALLER Portal'!$AB$34),"19."&amp;AR22,"-"),"-"))</f>
        <v>19.Oct.12</v>
      </c>
      <c r="AS25" s="99" t="str">
        <f>IF(YEAR('CALLER Portal'!$AB$33)=2018,IF(AND(AS$23&gt;='CALLER Portal'!$AB$33,AS$23&lt;='CALLER Portal'!$AB$34),"18."&amp;AS21,"-"),IF(YEAR('CALLER Portal'!$AB$33)=2019,IF(AND(AS$24&gt;='CALLER Portal'!$AB$33,AS$24&lt;='CALLER Portal'!$AB$34),"19."&amp;AS22,"-"),"-"))</f>
        <v>19.Oct.19</v>
      </c>
      <c r="AT25" s="99" t="str">
        <f>IF(YEAR('CALLER Portal'!$AB$33)=2018,IF(AND(AT$23&gt;='CALLER Portal'!$AB$33,AT$23&lt;='CALLER Portal'!$AB$34),"18."&amp;AT21,"-"),IF(YEAR('CALLER Portal'!$AB$33)=2019,IF(AND(AT$24&gt;='CALLER Portal'!$AB$33,AT$24&lt;='CALLER Portal'!$AB$34),"19."&amp;AT22,"-"),"-"))</f>
        <v>19.Oct.26</v>
      </c>
      <c r="AU25" s="99" t="str">
        <f>IF(YEAR('CALLER Portal'!$AB$33)=2018,IF(AND(AU$23&gt;='CALLER Portal'!$AB$33,AU$23&lt;='CALLER Portal'!$AB$34),"18."&amp;AU21,"-"),IF(YEAR('CALLER Portal'!$AB$33)=2019,IF(AND(AU$24&gt;='CALLER Portal'!$AB$33,AU$24&lt;='CALLER Portal'!$AB$34),"19."&amp;AU22,"-"),"-"))</f>
        <v>19.Nov.02</v>
      </c>
      <c r="AV25" s="99" t="str">
        <f>IF(YEAR('CALLER Portal'!$AB$33)=2018,IF(AND(AV$23&gt;='CALLER Portal'!$AB$33,AV$23&lt;='CALLER Portal'!$AB$34),"18."&amp;AV21,"-"),IF(YEAR('CALLER Portal'!$AB$33)=2019,IF(AND(AV$24&gt;='CALLER Portal'!$AB$33,AV$24&lt;='CALLER Portal'!$AB$34),"19."&amp;AV22,"-"),"-"))</f>
        <v>19.Nov.09</v>
      </c>
      <c r="AW25" s="99" t="str">
        <f>IF(YEAR('CALLER Portal'!$AB$33)=2018,IF(AND(AW$23&gt;='CALLER Portal'!$AB$33,AW$23&lt;='CALLER Portal'!$AB$34),"18."&amp;AW21,"-"),IF(YEAR('CALLER Portal'!$AB$33)=2019,IF(AND(AW$24&gt;='CALLER Portal'!$AB$33,AW$24&lt;='CALLER Portal'!$AB$34),"19."&amp;AW22,"-"),"-"))</f>
        <v>19.Nov.16</v>
      </c>
      <c r="AX25" s="99" t="str">
        <f>IF(YEAR('CALLER Portal'!$AB$33)=2018,IF(AND(AX$23&gt;='CALLER Portal'!$AB$33,AX$23&lt;='CALLER Portal'!$AB$34),"18."&amp;AX21,"-"),IF(YEAR('CALLER Portal'!$AB$33)=2019,IF(AND(AX$24&gt;='CALLER Portal'!$AB$33,AX$24&lt;='CALLER Portal'!$AB$34),"19."&amp;AX22,"-"),"-"))</f>
        <v>19.Nov.23</v>
      </c>
      <c r="AY25" s="99" t="str">
        <f>IF(YEAR('CALLER Portal'!$AB$33)=2018,IF(AND(AY$23&gt;='CALLER Portal'!$AB$33,AY$23&lt;='CALLER Portal'!$AB$34),"18."&amp;AY21,"-"),IF(YEAR('CALLER Portal'!$AB$33)=2019,IF(AND(AY$24&gt;='CALLER Portal'!$AB$33,AY$24&lt;='CALLER Portal'!$AB$34),"19."&amp;AY22,"-"),"-"))</f>
        <v>19.Nov.30</v>
      </c>
      <c r="AZ25" s="99" t="str">
        <f>IF(YEAR('CALLER Portal'!$AB$33)=2018,IF(AND(AZ$23&gt;='CALLER Portal'!$AB$33,AZ$23&lt;='CALLER Portal'!$AB$34),"18."&amp;AZ21,"-"),IF(YEAR('CALLER Portal'!$AB$33)=2019,IF(AND(AZ$24&gt;='CALLER Portal'!$AB$33,AZ$24&lt;='CALLER Portal'!$AB$34),"19."&amp;AZ22,"-"),"-"))</f>
        <v>19.Dec.07</v>
      </c>
      <c r="BA25" s="100" t="str">
        <f>IF(YEAR('CALLER Portal'!$AB$33)=2018,IF(AND(BA$23&gt;='CALLER Portal'!$AB$33,BA$23&lt;='CALLER Portal'!$AB$34),"18."&amp;BA21,"-"),IF(YEAR('CALLER Portal'!$AB$33)=2019,IF(AND(BA$24&gt;='CALLER Portal'!$AB$33,BA$24&lt;='CALLER Portal'!$AB$34),"19."&amp;BA22,"-"),"-"))</f>
        <v>19.Dec.14</v>
      </c>
    </row>
    <row r="26" spans="3:54" s="22" customFormat="1" ht="15.75" thickBot="1" x14ac:dyDescent="0.3">
      <c r="C26" s="122" t="s">
        <v>79</v>
      </c>
      <c r="D26" s="232" t="s">
        <v>23</v>
      </c>
      <c r="E26" s="235" t="s">
        <v>24</v>
      </c>
      <c r="F26" s="235" t="s">
        <v>25</v>
      </c>
      <c r="G26" s="235" t="s">
        <v>26</v>
      </c>
      <c r="H26" s="235" t="s">
        <v>27</v>
      </c>
      <c r="I26" s="235" t="s">
        <v>28</v>
      </c>
      <c r="J26" s="235" t="s">
        <v>29</v>
      </c>
      <c r="K26" s="235" t="s">
        <v>30</v>
      </c>
      <c r="L26" s="236" t="s">
        <v>31</v>
      </c>
      <c r="M26" s="236" t="s">
        <v>32</v>
      </c>
      <c r="N26" s="236" t="s">
        <v>33</v>
      </c>
      <c r="O26" s="236" t="s">
        <v>34</v>
      </c>
      <c r="P26" s="236" t="s">
        <v>35</v>
      </c>
      <c r="Q26" s="236" t="s">
        <v>36</v>
      </c>
      <c r="R26" s="236" t="s">
        <v>37</v>
      </c>
      <c r="S26" s="236" t="s">
        <v>38</v>
      </c>
      <c r="T26" s="236" t="s">
        <v>39</v>
      </c>
      <c r="U26" s="236" t="s">
        <v>40</v>
      </c>
      <c r="V26" s="236" t="s">
        <v>41</v>
      </c>
      <c r="W26" s="236" t="s">
        <v>42</v>
      </c>
      <c r="X26" s="236" t="s">
        <v>43</v>
      </c>
      <c r="Y26" s="236" t="s">
        <v>44</v>
      </c>
      <c r="Z26" s="236" t="s">
        <v>45</v>
      </c>
      <c r="AA26" s="236" t="s">
        <v>46</v>
      </c>
      <c r="AB26" s="236" t="s">
        <v>47</v>
      </c>
      <c r="AC26" s="236" t="s">
        <v>48</v>
      </c>
      <c r="AD26" s="236" t="s">
        <v>49</v>
      </c>
      <c r="AE26" s="236" t="s">
        <v>50</v>
      </c>
      <c r="AF26" s="236" t="s">
        <v>51</v>
      </c>
      <c r="AG26" s="236" t="s">
        <v>52</v>
      </c>
      <c r="AH26" s="236" t="s">
        <v>53</v>
      </c>
      <c r="AI26" s="236" t="s">
        <v>54</v>
      </c>
      <c r="AJ26" s="236" t="s">
        <v>55</v>
      </c>
      <c r="AK26" s="236" t="s">
        <v>56</v>
      </c>
      <c r="AL26" s="236" t="s">
        <v>57</v>
      </c>
      <c r="AM26" s="236" t="s">
        <v>58</v>
      </c>
      <c r="AN26" s="236" t="s">
        <v>59</v>
      </c>
      <c r="AO26" s="236" t="s">
        <v>60</v>
      </c>
      <c r="AP26" s="236" t="s">
        <v>61</v>
      </c>
      <c r="AQ26" s="236" t="s">
        <v>62</v>
      </c>
      <c r="AR26" s="236" t="s">
        <v>63</v>
      </c>
      <c r="AS26" s="236" t="s">
        <v>64</v>
      </c>
      <c r="AT26" s="236" t="s">
        <v>65</v>
      </c>
      <c r="AU26" s="236" t="s">
        <v>66</v>
      </c>
      <c r="AV26" s="236" t="s">
        <v>67</v>
      </c>
      <c r="AW26" s="236" t="s">
        <v>68</v>
      </c>
      <c r="AX26" s="236" t="s">
        <v>69</v>
      </c>
      <c r="AY26" s="236" t="s">
        <v>70</v>
      </c>
      <c r="AZ26" s="236" t="s">
        <v>71</v>
      </c>
      <c r="BA26" s="237" t="s">
        <v>72</v>
      </c>
    </row>
    <row r="27" spans="3:54" s="22" customFormat="1" ht="15.75" thickBot="1" x14ac:dyDescent="0.3">
      <c r="C27" s="58" t="s">
        <v>17</v>
      </c>
      <c r="D27" s="124" t="s">
        <v>108</v>
      </c>
      <c r="E27" s="125" t="s">
        <v>109</v>
      </c>
      <c r="F27" s="124" t="s">
        <v>110</v>
      </c>
      <c r="G27" s="125" t="s">
        <v>113</v>
      </c>
      <c r="H27" s="124" t="s">
        <v>112</v>
      </c>
      <c r="I27" s="125" t="s">
        <v>111</v>
      </c>
      <c r="J27" s="125"/>
      <c r="K27" s="126"/>
      <c r="L27" s="42"/>
      <c r="M27" s="42"/>
      <c r="N27" s="42"/>
      <c r="O27" s="42"/>
      <c r="P27" s="42"/>
      <c r="Q27" s="42"/>
      <c r="R27" s="42"/>
      <c r="S27" s="42"/>
      <c r="T27" s="42"/>
      <c r="U27" s="42"/>
      <c r="V27" s="42"/>
      <c r="W27" s="42"/>
      <c r="X27" s="42"/>
      <c r="Y27" s="42"/>
      <c r="Z27" s="42"/>
      <c r="AA27" s="42"/>
      <c r="AB27" s="42"/>
      <c r="AC27" s="42"/>
      <c r="AD27" s="42"/>
      <c r="AE27" s="42"/>
      <c r="AF27" s="42"/>
      <c r="AG27" s="42"/>
      <c r="AH27" s="42"/>
      <c r="AI27" s="42"/>
      <c r="AJ27" s="42"/>
      <c r="AK27" s="42"/>
      <c r="AL27" s="42"/>
      <c r="AM27" s="42"/>
      <c r="AN27" s="42"/>
      <c r="AO27" s="42"/>
      <c r="AP27" s="42"/>
      <c r="AQ27" s="42"/>
      <c r="AR27" s="42"/>
      <c r="AS27" s="42"/>
      <c r="AT27" s="42"/>
      <c r="AU27" s="42"/>
      <c r="AV27" s="42"/>
      <c r="AW27" s="42"/>
      <c r="AX27" s="42"/>
      <c r="AY27" s="42"/>
      <c r="AZ27" s="42"/>
      <c r="BA27" s="42"/>
      <c r="BB27" s="42"/>
    </row>
    <row r="28" spans="3:54" s="22" customFormat="1" ht="15.75" thickBot="1" x14ac:dyDescent="0.3">
      <c r="C28" s="123" t="s">
        <v>251</v>
      </c>
      <c r="D28" s="95">
        <v>0.05</v>
      </c>
      <c r="E28" s="96">
        <v>0.1</v>
      </c>
      <c r="F28" s="96">
        <v>0.15</v>
      </c>
      <c r="G28" s="96">
        <v>0.2</v>
      </c>
      <c r="H28" s="96">
        <v>0.25</v>
      </c>
      <c r="I28" s="96">
        <v>0.3</v>
      </c>
      <c r="J28" s="96">
        <v>0.35</v>
      </c>
      <c r="K28" s="96">
        <v>0.4</v>
      </c>
      <c r="L28" s="97">
        <v>0.45</v>
      </c>
      <c r="M28" s="42"/>
      <c r="N28" s="42"/>
      <c r="O28" s="42"/>
      <c r="P28" s="42"/>
      <c r="Q28" s="42"/>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row>
    <row r="29" spans="3:54" s="22" customFormat="1" ht="15.75" thickBot="1" x14ac:dyDescent="0.3">
      <c r="C29" s="55" t="s">
        <v>255</v>
      </c>
      <c r="D29" s="143" t="s">
        <v>256</v>
      </c>
      <c r="E29" s="101" t="s">
        <v>257</v>
      </c>
      <c r="M29" s="42"/>
      <c r="N29" s="42"/>
      <c r="O29" s="42"/>
      <c r="P29" s="42"/>
      <c r="Q29" s="42"/>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42"/>
      <c r="AY29" s="42"/>
      <c r="AZ29" s="42"/>
      <c r="BA29" s="42"/>
    </row>
    <row r="30" spans="3:54" s="22" customFormat="1" ht="15.75" thickBot="1" x14ac:dyDescent="0.3">
      <c r="C30" s="144" t="s">
        <v>101</v>
      </c>
      <c r="D30" s="145">
        <v>2018</v>
      </c>
      <c r="E30" s="146">
        <v>2019</v>
      </c>
      <c r="F30"/>
      <c r="G30"/>
      <c r="H30"/>
      <c r="I30"/>
      <c r="J30"/>
      <c r="K30"/>
      <c r="L30"/>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row>
    <row r="31" spans="3:54" s="22" customFormat="1" ht="15.75" thickBot="1" x14ac:dyDescent="0.3">
      <c r="C31" s="58" t="s">
        <v>199</v>
      </c>
      <c r="D31" s="147">
        <v>0.2</v>
      </c>
      <c r="E31" s="148">
        <v>0.2</v>
      </c>
      <c r="F31" s="99">
        <v>0.1</v>
      </c>
      <c r="G31" s="99">
        <v>0.2</v>
      </c>
      <c r="H31" s="99">
        <v>0.2</v>
      </c>
      <c r="I31" s="100">
        <v>0.1</v>
      </c>
      <c r="M31" s="42"/>
      <c r="N31" s="42"/>
      <c r="O31" s="42"/>
      <c r="P31" s="42"/>
      <c r="Q31" s="42"/>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row>
    <row r="32" spans="3:54" ht="15.75" thickBot="1" x14ac:dyDescent="0.3">
      <c r="C32" s="24" t="s">
        <v>3</v>
      </c>
      <c r="D32" s="22"/>
      <c r="E32" s="22"/>
      <c r="F32" s="22"/>
      <c r="G32" s="22"/>
      <c r="H32" s="22"/>
      <c r="I32" s="22"/>
      <c r="K32" s="59"/>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5"/>
      <c r="AO32" s="4"/>
      <c r="AP32" s="5"/>
      <c r="AQ32" s="5"/>
      <c r="AR32" s="5"/>
      <c r="AS32" s="5"/>
      <c r="AT32" s="22"/>
      <c r="AU32" s="22"/>
      <c r="AV32" s="22"/>
      <c r="AW32" s="22"/>
      <c r="AX32" s="22"/>
      <c r="AY32" s="22"/>
      <c r="AZ32" s="22"/>
    </row>
    <row r="33" spans="1:53" s="22" customFormat="1" ht="15.75" thickBot="1" x14ac:dyDescent="0.3">
      <c r="A33" s="603" t="s">
        <v>98</v>
      </c>
      <c r="C33" s="50" t="s">
        <v>97</v>
      </c>
      <c r="K33" s="3"/>
      <c r="N33" s="77"/>
      <c r="AN33" s="5"/>
      <c r="AO33" s="4"/>
      <c r="AP33" s="5"/>
      <c r="AQ33" s="5"/>
      <c r="AR33" s="5"/>
      <c r="AS33" s="5"/>
    </row>
    <row r="34" spans="1:53" ht="15.75" thickBot="1" x14ac:dyDescent="0.3">
      <c r="A34" s="604"/>
      <c r="C34" s="1" t="s">
        <v>0</v>
      </c>
      <c r="D34" s="120">
        <f>IF(YEAR('CALLER Portal'!$AB$33)=2018,D23,IF(YEAR('CALLER Portal'!$AB$33)=2019,D24,"-"))</f>
        <v>43470</v>
      </c>
      <c r="E34" s="120">
        <f>IF(YEAR('CALLER Portal'!$AB$33)=2018,E23,IF(YEAR('CALLER Portal'!$AB$33)=2019,E24,"-"))</f>
        <v>43477</v>
      </c>
      <c r="F34" s="120">
        <f>IF(YEAR('CALLER Portal'!$AB$33)=2018,F23,IF(YEAR('CALLER Portal'!$AB$33)=2019,F24,"-"))</f>
        <v>43484</v>
      </c>
      <c r="G34" s="120">
        <f>IF(YEAR('CALLER Portal'!$AB$33)=2018,G23,IF(YEAR('CALLER Portal'!$AB$33)=2019,G24,"-"))</f>
        <v>43491</v>
      </c>
      <c r="H34" s="120">
        <f>IF(YEAR('CALLER Portal'!$AB$33)=2018,H23,IF(YEAR('CALLER Portal'!$AB$33)=2019,H24,"-"))</f>
        <v>43498</v>
      </c>
      <c r="I34" s="120">
        <f>IF(YEAR('CALLER Portal'!$AB$33)=2018,I23,IF(YEAR('CALLER Portal'!$AB$33)=2019,I24,"-"))</f>
        <v>43505</v>
      </c>
      <c r="J34" s="120">
        <f>IF(YEAR('CALLER Portal'!$AB$33)=2018,J23,IF(YEAR('CALLER Portal'!$AB$33)=2019,J24,"-"))</f>
        <v>43512</v>
      </c>
      <c r="K34" s="120">
        <f>IF(YEAR('CALLER Portal'!$AB$33)=2018,K23,IF(YEAR('CALLER Portal'!$AB$33)=2019,K24,"-"))</f>
        <v>43519</v>
      </c>
      <c r="L34" s="120">
        <f>IF(YEAR('CALLER Portal'!$AB$33)=2018,L23,IF(YEAR('CALLER Portal'!$AB$33)=2019,L24,"-"))</f>
        <v>43526</v>
      </c>
      <c r="M34" s="120">
        <f>IF(YEAR('CALLER Portal'!$AB$33)=2018,M23,IF(YEAR('CALLER Portal'!$AB$33)=2019,M24,"-"))</f>
        <v>43533</v>
      </c>
      <c r="N34" s="120">
        <f>IF(YEAR('CALLER Portal'!$AB$33)=2018,N23,IF(YEAR('CALLER Portal'!$AB$33)=2019,N24,"-"))</f>
        <v>43540</v>
      </c>
      <c r="O34" s="120">
        <f>IF(YEAR('CALLER Portal'!$AB$33)=2018,O23,IF(YEAR('CALLER Portal'!$AB$33)=2019,O24,"-"))</f>
        <v>43547</v>
      </c>
      <c r="P34" s="120">
        <f>IF(YEAR('CALLER Portal'!$AB$33)=2018,P23,IF(YEAR('CALLER Portal'!$AB$33)=2019,P24,"-"))</f>
        <v>43554</v>
      </c>
      <c r="Q34" s="120">
        <f>IF(YEAR('CALLER Portal'!$AB$33)=2018,Q23,IF(YEAR('CALLER Portal'!$AB$33)=2019,Q24,"-"))</f>
        <v>43561</v>
      </c>
      <c r="R34" s="120">
        <f>IF(YEAR('CALLER Portal'!$AB$33)=2018,R23,IF(YEAR('CALLER Portal'!$AB$33)=2019,R24,"-"))</f>
        <v>43568</v>
      </c>
      <c r="S34" s="120">
        <f>IF(YEAR('CALLER Portal'!$AB$33)=2018,S23,IF(YEAR('CALLER Portal'!$AB$33)=2019,S24,"-"))</f>
        <v>43575</v>
      </c>
      <c r="T34" s="120">
        <f>IF(YEAR('CALLER Portal'!$AB$33)=2018,T23,IF(YEAR('CALLER Portal'!$AB$33)=2019,T24,"-"))</f>
        <v>43582</v>
      </c>
      <c r="U34" s="120">
        <f>IF(YEAR('CALLER Portal'!$AB$33)=2018,U23,IF(YEAR('CALLER Portal'!$AB$33)=2019,U24,"-"))</f>
        <v>43589</v>
      </c>
      <c r="V34" s="120">
        <f>IF(YEAR('CALLER Portal'!$AB$33)=2018,V23,IF(YEAR('CALLER Portal'!$AB$33)=2019,V24,"-"))</f>
        <v>43596</v>
      </c>
      <c r="W34" s="120">
        <f>IF(YEAR('CALLER Portal'!$AB$33)=2018,W23,IF(YEAR('CALLER Portal'!$AB$33)=2019,W24,"-"))</f>
        <v>43603</v>
      </c>
      <c r="X34" s="120">
        <f>IF(YEAR('CALLER Portal'!$AB$33)=2018,X23,IF(YEAR('CALLER Portal'!$AB$33)=2019,X24,"-"))</f>
        <v>43610</v>
      </c>
      <c r="Y34" s="120">
        <f>IF(YEAR('CALLER Portal'!$AB$33)=2018,Y23,IF(YEAR('CALLER Portal'!$AB$33)=2019,Y24,"-"))</f>
        <v>43617</v>
      </c>
      <c r="Z34" s="120">
        <f>IF(YEAR('CALLER Portal'!$AB$33)=2018,Z23,IF(YEAR('CALLER Portal'!$AB$33)=2019,Z24,"-"))</f>
        <v>43624</v>
      </c>
      <c r="AA34" s="120">
        <f>IF(YEAR('CALLER Portal'!$AB$33)=2018,AA23,IF(YEAR('CALLER Portal'!$AB$33)=2019,AA24,"-"))</f>
        <v>43631</v>
      </c>
      <c r="AB34" s="120">
        <f>IF(YEAR('CALLER Portal'!$AB$33)=2018,AB23,IF(YEAR('CALLER Portal'!$AB$33)=2019,AB24,"-"))</f>
        <v>43638</v>
      </c>
      <c r="AC34" s="120">
        <f>IF(YEAR('CALLER Portal'!$AB$33)=2018,AC23,IF(YEAR('CALLER Portal'!$AB$33)=2019,AC24,"-"))</f>
        <v>43645</v>
      </c>
      <c r="AD34" s="120">
        <f>IF(YEAR('CALLER Portal'!$AB$33)=2018,AD23,IF(YEAR('CALLER Portal'!$AB$33)=2019,AD24,"-"))</f>
        <v>43652</v>
      </c>
      <c r="AE34" s="120">
        <f>IF(YEAR('CALLER Portal'!$AB$33)=2018,AE23,IF(YEAR('CALLER Portal'!$AB$33)=2019,AE24,"-"))</f>
        <v>43659</v>
      </c>
      <c r="AF34" s="120">
        <f>IF(YEAR('CALLER Portal'!$AB$33)=2018,AF23,IF(YEAR('CALLER Portal'!$AB$33)=2019,AF24,"-"))</f>
        <v>43666</v>
      </c>
      <c r="AG34" s="120">
        <f>IF(YEAR('CALLER Portal'!$AB$33)=2018,AG23,IF(YEAR('CALLER Portal'!$AB$33)=2019,AG24,"-"))</f>
        <v>43673</v>
      </c>
      <c r="AH34" s="120">
        <f>IF(YEAR('CALLER Portal'!$AB$33)=2018,AH23,IF(YEAR('CALLER Portal'!$AB$33)=2019,AH24,"-"))</f>
        <v>43680</v>
      </c>
      <c r="AI34" s="120">
        <f>IF(YEAR('CALLER Portal'!$AB$33)=2018,AI23,IF(YEAR('CALLER Portal'!$AB$33)=2019,AI24,"-"))</f>
        <v>43687</v>
      </c>
      <c r="AJ34" s="120">
        <f>IF(YEAR('CALLER Portal'!$AB$33)=2018,AJ23,IF(YEAR('CALLER Portal'!$AB$33)=2019,AJ24,"-"))</f>
        <v>43694</v>
      </c>
      <c r="AK34" s="120">
        <f>IF(YEAR('CALLER Portal'!$AB$33)=2018,AK23,IF(YEAR('CALLER Portal'!$AB$33)=2019,AK24,"-"))</f>
        <v>43701</v>
      </c>
      <c r="AL34" s="120">
        <f>IF(YEAR('CALLER Portal'!$AB$33)=2018,AL23,IF(YEAR('CALLER Portal'!$AB$33)=2019,AL24,"-"))</f>
        <v>43708</v>
      </c>
      <c r="AM34" s="120">
        <f>IF(YEAR('CALLER Portal'!$AB$33)=2018,AM23,IF(YEAR('CALLER Portal'!$AB$33)=2019,AM24,"-"))</f>
        <v>43715</v>
      </c>
      <c r="AN34" s="120">
        <f>IF(YEAR('CALLER Portal'!$AB$33)=2018,AN23,IF(YEAR('CALLER Portal'!$AB$33)=2019,AN24,"-"))</f>
        <v>43722</v>
      </c>
      <c r="AO34" s="120">
        <f>IF(YEAR('CALLER Portal'!$AB$33)=2018,AO23,IF(YEAR('CALLER Portal'!$AB$33)=2019,AO24,"-"))</f>
        <v>43729</v>
      </c>
      <c r="AP34" s="120">
        <f>IF(YEAR('CALLER Portal'!$AB$33)=2018,AP23,IF(YEAR('CALLER Portal'!$AB$33)=2019,AP24,"-"))</f>
        <v>43736</v>
      </c>
      <c r="AQ34" s="120">
        <f>IF(YEAR('CALLER Portal'!$AB$33)=2018,AQ23,IF(YEAR('CALLER Portal'!$AB$33)=2019,AQ24,"-"))</f>
        <v>43743</v>
      </c>
      <c r="AR34" s="120">
        <f>IF(YEAR('CALLER Portal'!$AB$33)=2018,AR23,IF(YEAR('CALLER Portal'!$AB$33)=2019,AR24,"-"))</f>
        <v>43750</v>
      </c>
      <c r="AS34" s="120">
        <f>IF(YEAR('CALLER Portal'!$AB$33)=2018,AS23,IF(YEAR('CALLER Portal'!$AB$33)=2019,AS24,"-"))</f>
        <v>43757</v>
      </c>
      <c r="AT34" s="120">
        <f>IF(YEAR('CALLER Portal'!$AB$33)=2018,AT23,IF(YEAR('CALLER Portal'!$AB$33)=2019,AT24,"-"))</f>
        <v>43764</v>
      </c>
      <c r="AU34" s="120">
        <f>IF(YEAR('CALLER Portal'!$AB$33)=2018,AU23,IF(YEAR('CALLER Portal'!$AB$33)=2019,AU24,"-"))</f>
        <v>43771</v>
      </c>
      <c r="AV34" s="120">
        <f>IF(YEAR('CALLER Portal'!$AB$33)=2018,AV23,IF(YEAR('CALLER Portal'!$AB$33)=2019,AV24,"-"))</f>
        <v>43778</v>
      </c>
      <c r="AW34" s="120">
        <f>IF(YEAR('CALLER Portal'!$AB$33)=2018,AW23,IF(YEAR('CALLER Portal'!$AB$33)=2019,AW24,"-"))</f>
        <v>43785</v>
      </c>
      <c r="AX34" s="120">
        <f>IF(YEAR('CALLER Portal'!$AB$33)=2018,AX23,IF(YEAR('CALLER Portal'!$AB$33)=2019,AX24,"-"))</f>
        <v>43792</v>
      </c>
      <c r="AY34" s="120">
        <f>IF(YEAR('CALLER Portal'!$AB$33)=2018,AY23,IF(YEAR('CALLER Portal'!$AB$33)=2019,AY24,"-"))</f>
        <v>43799</v>
      </c>
      <c r="AZ34" s="120">
        <f>IF(YEAR('CALLER Portal'!$AB$33)=2018,AZ23,IF(YEAR('CALLER Portal'!$AB$33)=2019,AZ24,"-"))</f>
        <v>43806</v>
      </c>
      <c r="BA34" s="120">
        <f>IF(YEAR('CALLER Portal'!$AB$33)=2018,BA23,IF(YEAR('CALLER Portal'!$AB$33)=2019,BA24,"-"))</f>
        <v>43813</v>
      </c>
    </row>
    <row r="35" spans="1:53" ht="15.75" thickBot="1" x14ac:dyDescent="0.3">
      <c r="A35" s="604"/>
      <c r="B35" s="43">
        <v>1</v>
      </c>
      <c r="C35" s="2" t="s">
        <v>108</v>
      </c>
      <c r="D35" s="11">
        <f ca="1">IFERROR(IF(AND(D$34  &gt;= 'CALLER Portal'!$AB$33, D$34 &lt;= 'CALLER Portal'!$AB$34),_xlfn.PERCENTILE.EXC(INDIRECT("'" &amp;D$25 &amp;"'!$K$4:$K$200"),0.5),""),"")</f>
        <v>3.39E-2</v>
      </c>
      <c r="E35" s="11">
        <f ca="1">IFERROR(IF(AND(E$34  &gt;= 'CALLER Portal'!$AB$33, E$34 &lt;= 'CALLER Portal'!$AB$34),_xlfn.PERCENTILE.EXC(INDIRECT("'" &amp;E$25 &amp;"'!$K$4:$K$200"),0.5),""),"")</f>
        <v>0.1038</v>
      </c>
      <c r="F35" s="11">
        <f ca="1">IFERROR(IF(AND(F$34  &gt;= 'CALLER Portal'!$AB$33, F$34 &lt;= 'CALLER Portal'!$AB$34),_xlfn.PERCENTILE.EXC(INDIRECT("'" &amp;F$25 &amp;"'!$K$4:$K$200"),0.5),""),"")</f>
        <v>0.11435000000000001</v>
      </c>
      <c r="G35" s="11">
        <f ca="1">IFERROR(IF(AND(G$34  &gt;= 'CALLER Portal'!$AB$33, G$34 &lt;= 'CALLER Portal'!$AB$34),_xlfn.PERCENTILE.EXC(INDIRECT("'" &amp;G$25 &amp;"'!$K$4:$K$200"),0.5),""),"")</f>
        <v>3.2300000000000002E-2</v>
      </c>
      <c r="H35" s="11">
        <f ca="1">IFERROR(IF(AND(H$34  &gt;= 'CALLER Portal'!$AB$33, H$34 &lt;= 'CALLER Portal'!$AB$34),_xlfn.PERCENTILE.EXC(INDIRECT("'" &amp;H$25 &amp;"'!$K$4:$K$200"),0.5),""),"")</f>
        <v>7.6899999999999996E-2</v>
      </c>
      <c r="I35" s="11">
        <f ca="1">IFERROR(IF(AND(I$34  &gt;= 'CALLER Portal'!$AB$33, I$34 &lt;= 'CALLER Portal'!$AB$34),_xlfn.PERCENTILE.EXC(INDIRECT("'" &amp;I$25 &amp;"'!$K$4:$K$200"),0.5),""),"")</f>
        <v>0.33329999999999999</v>
      </c>
      <c r="J35" s="11">
        <f ca="1">IFERROR(IF(AND(J$34  &gt;= 'CALLER Portal'!$AB$33, J$34 &lt;= 'CALLER Portal'!$AB$34),_xlfn.PERCENTILE.EXC(INDIRECT("'" &amp;J$25 &amp;"'!$K$4:$K$200"),0.5),""),"")</f>
        <v>0.44740000000000002</v>
      </c>
      <c r="K35" s="11">
        <f ca="1">IFERROR(IF(AND(K$34  &gt;= 'CALLER Portal'!$AB$33, K$34 &lt;= 'CALLER Portal'!$AB$34),_xlfn.PERCENTILE.EXC(INDIRECT("'" &amp;K$25 &amp;"'!$K$4:$K$200"),0.5),""),"")</f>
        <v>0.625</v>
      </c>
      <c r="L35" s="11">
        <f ca="1">IFERROR(IF(AND(L$34  &gt;= 'CALLER Portal'!$AB$33, L$34 &lt;= 'CALLER Portal'!$AB$34),_xlfn.PERCENTILE.EXC(INDIRECT("'" &amp;L$25 &amp;"'!$K$4:$K$200"),0.5),""),"")</f>
        <v>0.63160000000000005</v>
      </c>
      <c r="M35" s="11">
        <f ca="1">IFERROR(IF(AND(M$34  &gt;= 'CALLER Portal'!$AB$33, M$34 &lt;= 'CALLER Portal'!$AB$34),_xlfn.PERCENTILE.EXC(INDIRECT("'" &amp;M$25 &amp;"'!$K$4:$K$200"),0.5),""),"")</f>
        <v>0.30769999999999997</v>
      </c>
      <c r="N35" s="11">
        <f ca="1">IFERROR(IF(AND(N$34  &gt;= 'CALLER Portal'!$AB$33, N$34 &lt;= 'CALLER Portal'!$AB$34),_xlfn.PERCENTILE.EXC(INDIRECT("'" &amp;N$25 &amp;"'!$K$4:$K$200"),0.5),""),"")</f>
        <v>8.9549999999999991E-2</v>
      </c>
      <c r="O35" s="11">
        <f ca="1">IFERROR(IF(AND(O$34  &gt;= 'CALLER Portal'!$AB$33, O$34 &lt;= 'CALLER Portal'!$AB$34),_xlfn.PERCENTILE.EXC(INDIRECT("'" &amp;O$25 &amp;"'!$K$4:$K$200"),0.5),""),"")</f>
        <v>0.1724</v>
      </c>
      <c r="P35" s="11" t="str">
        <f ca="1">IFERROR(IF(AND(P$34  &gt;= 'CALLER Portal'!$AB$33, P$34 &lt;= 'CALLER Portal'!$AB$34),_xlfn.PERCENTILE.EXC(INDIRECT("'" &amp;P$25 &amp;"'!$K$4:$K$200"),0.5),""),"")</f>
        <v/>
      </c>
      <c r="Q35" s="11" t="str">
        <f ca="1">IFERROR(IF(AND(Q$34  &gt;= 'CALLER Portal'!$AB$33, Q$34 &lt;= 'CALLER Portal'!$AB$34),_xlfn.PERCENTILE.EXC(INDIRECT("'" &amp;Q$25 &amp;"'!$K$4:$K$200"),0.5),""),"")</f>
        <v/>
      </c>
      <c r="R35" s="11" t="str">
        <f ca="1">IFERROR(IF(AND(R$34  &gt;= 'CALLER Portal'!$AB$33, R$34 &lt;= 'CALLER Portal'!$AB$34),_xlfn.PERCENTILE.EXC(INDIRECT("'" &amp;R$25 &amp;"'!$K$4:$K$200"),0.5),""),"")</f>
        <v/>
      </c>
      <c r="S35" s="11" t="str">
        <f ca="1">IFERROR(IF(AND(S$34  &gt;= 'CALLER Portal'!$AB$33, S$34 &lt;= 'CALLER Portal'!$AB$34),_xlfn.PERCENTILE.EXC(INDIRECT("'" &amp;S$25 &amp;"'!$K$4:$K$200"),0.5),""),"")</f>
        <v/>
      </c>
      <c r="T35" s="11" t="str">
        <f ca="1">IFERROR(IF(AND(T$34  &gt;= 'CALLER Portal'!$AB$33, T$34 &lt;= 'CALLER Portal'!$AB$34),_xlfn.PERCENTILE.EXC(INDIRECT("'" &amp;T$25 &amp;"'!$K$4:$K$200"),0.5),""),"")</f>
        <v/>
      </c>
      <c r="U35" s="11" t="str">
        <f ca="1">IFERROR(IF(AND(U$34  &gt;= 'CALLER Portal'!$AB$33, U$34 &lt;= 'CALLER Portal'!$AB$34),_xlfn.PERCENTILE.EXC(INDIRECT("'" &amp;U$25 &amp;"'!$K$4:$K$200"),0.5),""),"")</f>
        <v/>
      </c>
      <c r="V35" s="11" t="str">
        <f ca="1">IFERROR(IF(AND(V$34  &gt;= 'CALLER Portal'!$AB$33, V$34 &lt;= 'CALLER Portal'!$AB$34),_xlfn.PERCENTILE.EXC(INDIRECT("'" &amp;V$25 &amp;"'!$K$4:$K$200"),0.5),""),"")</f>
        <v/>
      </c>
      <c r="W35" s="11" t="str">
        <f ca="1">IFERROR(IF(AND(W$34  &gt;= 'CALLER Portal'!$AB$33, W$34 &lt;= 'CALLER Portal'!$AB$34),_xlfn.PERCENTILE.EXC(INDIRECT("'" &amp;W$25 &amp;"'!$K$4:$K$200"),0.5),""),"")</f>
        <v/>
      </c>
      <c r="X35" s="11" t="str">
        <f ca="1">IFERROR(IF(AND(X$34  &gt;= 'CALLER Portal'!$AB$33, X$34 &lt;= 'CALLER Portal'!$AB$34),_xlfn.PERCENTILE.EXC(INDIRECT("'" &amp;X$25 &amp;"'!$K$4:$K$200"),0.5),""),"")</f>
        <v/>
      </c>
      <c r="Y35" s="11" t="str">
        <f ca="1">IFERROR(IF(AND(Y$34  &gt;= 'CALLER Portal'!$AB$33, Y$34 &lt;= 'CALLER Portal'!$AB$34),_xlfn.PERCENTILE.EXC(INDIRECT("'" &amp;Y$25 &amp;"'!$K$4:$K$200"),0.5),""),"")</f>
        <v/>
      </c>
      <c r="Z35" s="11" t="str">
        <f ca="1">IFERROR(IF(AND(Z$34  &gt;= 'CALLER Portal'!$AB$33, Z$34 &lt;= 'CALLER Portal'!$AB$34),_xlfn.PERCENTILE.EXC(INDIRECT("'" &amp;Z$25 &amp;"'!$K$4:$K$200"),0.5),""),"")</f>
        <v/>
      </c>
      <c r="AA35" s="11" t="str">
        <f ca="1">IFERROR(IF(AND(AA$34  &gt;= 'CALLER Portal'!$AB$33, AA$34 &lt;= 'CALLER Portal'!$AB$34),_xlfn.PERCENTILE.EXC(INDIRECT("'" &amp;AA$25 &amp;"'!$K$4:$K$200"),0.5),""),"")</f>
        <v/>
      </c>
      <c r="AB35" s="11" t="str">
        <f ca="1">IFERROR(IF(AND(AB$34  &gt;= 'CALLER Portal'!$AB$33, AB$34 &lt;= 'CALLER Portal'!$AB$34),_xlfn.PERCENTILE.EXC(INDIRECT("'" &amp;AB$25 &amp;"'!$K$4:$K$200"),0.5),""),"")</f>
        <v/>
      </c>
      <c r="AC35" s="11" t="str">
        <f ca="1">IFERROR(IF(AND(AC$34  &gt;= 'CALLER Portal'!$AB$33, AC$34 &lt;= 'CALLER Portal'!$AB$34),_xlfn.PERCENTILE.EXC(INDIRECT("'" &amp;AC$25 &amp;"'!$K$4:$K$200"),0.5),""),"")</f>
        <v/>
      </c>
      <c r="AD35" s="11" t="str">
        <f ca="1">IFERROR(IF(AND(AD$34  &gt;= 'CALLER Portal'!$AB$33, AD$34 &lt;= 'CALLER Portal'!$AB$34),_xlfn.PERCENTILE.EXC(INDIRECT("'" &amp;AD$25 &amp;"'!$K$4:$K$200"),0.5),""),"")</f>
        <v/>
      </c>
      <c r="AE35" s="11" t="str">
        <f ca="1">IFERROR(IF(AND(AE$34  &gt;= 'CALLER Portal'!$AB$33, AE$34 &lt;= 'CALLER Portal'!$AB$34),_xlfn.PERCENTILE.EXC(INDIRECT("'" &amp;AE$25 &amp;"'!$K$4:$K$200"),0.5),""),"")</f>
        <v/>
      </c>
      <c r="AF35" s="11" t="str">
        <f ca="1">IFERROR(IF(AND(AF$34  &gt;= 'CALLER Portal'!$AB$33, AF$34 &lt;= 'CALLER Portal'!$AB$34),_xlfn.PERCENTILE.EXC(INDIRECT("'" &amp;AF$25 &amp;"'!$K$4:$K$200"),0.5),""),"")</f>
        <v/>
      </c>
      <c r="AG35" s="11" t="str">
        <f ca="1">IFERROR(IF(AND(AG$34  &gt;= 'CALLER Portal'!$AB$33, AG$34 &lt;= 'CALLER Portal'!$AB$34),_xlfn.PERCENTILE.EXC(INDIRECT("'" &amp;AG$25 &amp;"'!$K$4:$K$200"),0.5),""),"")</f>
        <v/>
      </c>
      <c r="AH35" s="11" t="str">
        <f ca="1">IFERROR(IF(AND(AH$34  &gt;= 'CALLER Portal'!$AB$33, AH$34 &lt;= 'CALLER Portal'!$AB$34),_xlfn.PERCENTILE.EXC(INDIRECT("'" &amp;AH$25 &amp;"'!$K$4:$K$200"),0.5),""),"")</f>
        <v/>
      </c>
      <c r="AI35" s="11" t="str">
        <f ca="1">IFERROR(IF(AND(AI$34  &gt;= 'CALLER Portal'!$AB$33, AI$34 &lt;= 'CALLER Portal'!$AB$34),_xlfn.PERCENTILE.EXC(INDIRECT("'" &amp;AI$25 &amp;"'!$K$4:$K$200"),0.5),""),"")</f>
        <v/>
      </c>
      <c r="AJ35" s="11" t="str">
        <f ca="1">IFERROR(IF(AND(AJ$34  &gt;= 'CALLER Portal'!$AB$33, AJ$34 &lt;= 'CALLER Portal'!$AB$34),_xlfn.PERCENTILE.EXC(INDIRECT("'" &amp;AJ$25 &amp;"'!$K$4:$K$200"),0.5),""),"")</f>
        <v/>
      </c>
      <c r="AK35" s="11" t="str">
        <f ca="1">IFERROR(IF(AND(AK$34  &gt;= 'CALLER Portal'!$AB$33, AK$34 &lt;= 'CALLER Portal'!$AB$34),_xlfn.PERCENTILE.EXC(INDIRECT("'" &amp;AK$25 &amp;"'!$K$4:$K$200"),0.5),""),"")</f>
        <v/>
      </c>
      <c r="AL35" s="11" t="str">
        <f ca="1">IFERROR(IF(AND(AL$34  &gt;= 'CALLER Portal'!$AB$33, AL$34 &lt;= 'CALLER Portal'!$AB$34),_xlfn.PERCENTILE.EXC(INDIRECT("'" &amp;AL$25 &amp;"'!$K$4:$K$200"),0.5),""),"")</f>
        <v/>
      </c>
      <c r="AM35" s="11" t="str">
        <f ca="1">IFERROR(IF(AND(AM$34  &gt;= 'CALLER Portal'!$AB$33, AM$34 &lt;= 'CALLER Portal'!$AB$34),_xlfn.PERCENTILE.EXC(INDIRECT("'" &amp;AM$25 &amp;"'!$K$4:$K$200"),0.5),""),"")</f>
        <v/>
      </c>
      <c r="AN35" s="11" t="str">
        <f ca="1">IFERROR(IF(AND(AN$34  &gt;= 'CALLER Portal'!$AB$33, AN$34 &lt;= 'CALLER Portal'!$AB$34),_xlfn.PERCENTILE.EXC(INDIRECT("'" &amp;AN$25 &amp;"'!$K$4:$K$200"),0.5),""),"")</f>
        <v/>
      </c>
      <c r="AO35" s="11" t="str">
        <f ca="1">IFERROR(IF(AND(AO$34  &gt;= 'CALLER Portal'!$AB$33, AO$34 &lt;= 'CALLER Portal'!$AB$34),_xlfn.PERCENTILE.EXC(INDIRECT("'" &amp;AO$25 &amp;"'!$K$4:$K$200"),0.5),""),"")</f>
        <v/>
      </c>
      <c r="AP35" s="11" t="str">
        <f ca="1">IFERROR(IF(AND(AP$34  &gt;= 'CALLER Portal'!$AB$33, AP$34 &lt;= 'CALLER Portal'!$AB$34),_xlfn.PERCENTILE.EXC(INDIRECT("'" &amp;AP$25 &amp;"'!$K$4:$K$200"),0.5),""),"")</f>
        <v/>
      </c>
      <c r="AQ35" s="11" t="str">
        <f ca="1">IFERROR(IF(AND(AQ$34  &gt;= 'CALLER Portal'!$AB$33, AQ$34 &lt;= 'CALLER Portal'!$AB$34),_xlfn.PERCENTILE.EXC(INDIRECT("'" &amp;AQ$25 &amp;"'!$K$4:$K$200"),0.5),""),"")</f>
        <v/>
      </c>
      <c r="AR35" s="11" t="str">
        <f ca="1">IFERROR(IF(AND(AR$34  &gt;= 'CALLER Portal'!$AB$33, AR$34 &lt;= 'CALLER Portal'!$AB$34),_xlfn.PERCENTILE.EXC(INDIRECT("'" &amp;AR$25 &amp;"'!$K$4:$K$200"),0.5),""),"")</f>
        <v/>
      </c>
      <c r="AS35" s="11" t="str">
        <f ca="1">IFERROR(IF(AND(AS$34  &gt;= 'CALLER Portal'!$AB$33, AS$34 &lt;= 'CALLER Portal'!$AB$34),_xlfn.PERCENTILE.EXC(INDIRECT("'" &amp;AS$25 &amp;"'!$K$4:$K$200"),0.5),""),"")</f>
        <v/>
      </c>
      <c r="AT35" s="11" t="str">
        <f ca="1">IFERROR(IF(AND(AT$34  &gt;= 'CALLER Portal'!$AB$33, AT$34 &lt;= 'CALLER Portal'!$AB$34),_xlfn.PERCENTILE.EXC(INDIRECT("'" &amp;AT$25 &amp;"'!$K$4:$K$200"),0.5),""),"")</f>
        <v/>
      </c>
      <c r="AU35" s="11" t="str">
        <f ca="1">IFERROR(IF(AND(AU$34  &gt;= 'CALLER Portal'!$AB$33, AU$34 &lt;= 'CALLER Portal'!$AB$34),_xlfn.PERCENTILE.EXC(INDIRECT("'" &amp;AU$25 &amp;"'!$K$4:$K$200"),0.5),""),"")</f>
        <v/>
      </c>
      <c r="AV35" s="11" t="str">
        <f ca="1">IFERROR(IF(AND(AV$34  &gt;= 'CALLER Portal'!$AB$33, AV$34 &lt;= 'CALLER Portal'!$AB$34),_xlfn.PERCENTILE.EXC(INDIRECT("'" &amp;AV$25 &amp;"'!$K$4:$K$200"),0.5),""),"")</f>
        <v/>
      </c>
      <c r="AW35" s="11" t="str">
        <f ca="1">IFERROR(IF(AND(AW$34  &gt;= 'CALLER Portal'!$AB$33, AW$34 &lt;= 'CALLER Portal'!$AB$34),_xlfn.PERCENTILE.EXC(INDIRECT("'" &amp;AW$25 &amp;"'!$K$4:$K$200"),0.5),""),"")</f>
        <v/>
      </c>
      <c r="AX35" s="11" t="str">
        <f ca="1">IFERROR(IF(AND(AX$34  &gt;= 'CALLER Portal'!$AB$33, AX$34 &lt;= 'CALLER Portal'!$AB$34),_xlfn.PERCENTILE.EXC(INDIRECT("'" &amp;AX$25 &amp;"'!$K$4:$K$200"),0.5),""),"")</f>
        <v/>
      </c>
      <c r="AY35" s="11" t="str">
        <f ca="1">IFERROR(IF(AND(AY$34  &gt;= 'CALLER Portal'!$AB$33, AY$34 &lt;= 'CALLER Portal'!$AB$34),_xlfn.PERCENTILE.EXC(INDIRECT("'" &amp;AY$25 &amp;"'!$K$4:$K$200"),0.5),""),"")</f>
        <v/>
      </c>
      <c r="AZ35" s="11" t="str">
        <f ca="1">IFERROR(IF(AND(AZ$34  &gt;= 'CALLER Portal'!$AB$33, AZ$34 &lt;= 'CALLER Portal'!$AB$34),_xlfn.PERCENTILE.EXC(INDIRECT("'" &amp;AZ$25 &amp;"'!$K$4:$K$200"),0.5),""),"")</f>
        <v/>
      </c>
      <c r="BA35" s="11" t="str">
        <f ca="1">IFERROR(IF(AND(BA$34  &gt;= 'CALLER Portal'!$AB$33, BA$34 &lt;= 'CALLER Portal'!$AB$34),_xlfn.PERCENTILE.EXC(INDIRECT("'" &amp;BA$25 &amp;"'!$K$4:$K$200"),0.5),""),"")</f>
        <v/>
      </c>
    </row>
    <row r="36" spans="1:53" ht="15.75" thickBot="1" x14ac:dyDescent="0.3">
      <c r="A36" s="604"/>
      <c r="B36" s="43">
        <v>2</v>
      </c>
      <c r="C36" s="14" t="s">
        <v>109</v>
      </c>
      <c r="D36" s="12">
        <f ca="1">IFERROR(IF(AND(D$34  &gt;= 'CALLER Portal'!$AB$33, D$34 &lt;= 'CALLER Portal'!$AB$34),VLOOKUP($C$32,INDIRECT("'" &amp;D$25 &amp;"'!$B$4:$P$200"),11,),""),"")</f>
        <v>0.47439999999999999</v>
      </c>
      <c r="E36" s="12">
        <f ca="1">IFERROR(IF(AND(E$34  &gt;= 'CALLER Portal'!$AB$33, E$34 &lt;= 'CALLER Portal'!$AB$34),VLOOKUP($C$32,INDIRECT("'" &amp;E$25 &amp;"'!$B$4:$P$200"),11,),""),"")</f>
        <v>0.47060000000000002</v>
      </c>
      <c r="F36" s="12">
        <f ca="1">IFERROR(IF(AND(F$34  &gt;= 'CALLER Portal'!$AB$33, F$34 &lt;= 'CALLER Portal'!$AB$34),VLOOKUP($C$32,INDIRECT("'" &amp;F$25 &amp;"'!$B$4:$P$200"),11,),""),"")</f>
        <v>0.44379999999999997</v>
      </c>
      <c r="G36" s="12">
        <f ca="1">IFERROR(IF(AND(G$34  &gt;= 'CALLER Portal'!$AB$33, G$34 &lt;= 'CALLER Portal'!$AB$34),VLOOKUP($C$32,INDIRECT("'" &amp;G$25 &amp;"'!$B$4:$P$200"),11,),""),"")</f>
        <v>0.53159999999999996</v>
      </c>
      <c r="H36" s="12">
        <f ca="1">IFERROR(IF(AND(H$34  &gt;= 'CALLER Portal'!$AB$33, H$34 &lt;= 'CALLER Portal'!$AB$34),VLOOKUP($C$32,INDIRECT("'" &amp;H$25 &amp;"'!$B$4:$P$200"),11,),""),"")</f>
        <v>0.60870000000000002</v>
      </c>
      <c r="I36" s="12">
        <f ca="1">IFERROR(IF(AND(I$34  &gt;= 'CALLER Portal'!$AB$33, I$34 &lt;= 'CALLER Portal'!$AB$34),VLOOKUP($C$32,INDIRECT("'" &amp;I$25 &amp;"'!$B$4:$P$200"),11,),""),"")</f>
        <v>0.90229999999999999</v>
      </c>
      <c r="J36" s="12">
        <f ca="1">IFERROR(IF(AND(J$34  &gt;= 'CALLER Portal'!$AB$33, J$34 &lt;= 'CALLER Portal'!$AB$34),VLOOKUP($C$32,INDIRECT("'" &amp;J$25 &amp;"'!$B$4:$P$200"),11,),""),"")</f>
        <v>0.61499999999999999</v>
      </c>
      <c r="K36" s="12">
        <f ca="1">IFERROR(IF(AND(K$34  &gt;= 'CALLER Portal'!$AB$33, K$34 &lt;= 'CALLER Portal'!$AB$34),VLOOKUP($C$32,INDIRECT("'" &amp;K$25 &amp;"'!$B$4:$P$200"),11,),""),"")</f>
        <v>0.50590000000000002</v>
      </c>
      <c r="L36" s="12">
        <f ca="1">IFERROR(IF(AND(L$34  &gt;= 'CALLER Portal'!$AB$33, L$34 &lt;= 'CALLER Portal'!$AB$34),VLOOKUP($C$32,INDIRECT("'" &amp;L$25 &amp;"'!$B$4:$P$200"),11,),""),"")</f>
        <v>0.53769999999999996</v>
      </c>
      <c r="M36" s="12">
        <f ca="1">IFERROR(IF(AND(M$34  &gt;= 'CALLER Portal'!$AB$33, M$34 &lt;= 'CALLER Portal'!$AB$34),VLOOKUP($C$32,INDIRECT("'" &amp;M$25 &amp;"'!$B$4:$P$200"),11,),""),"")</f>
        <v>0.60070000000000001</v>
      </c>
      <c r="N36" s="12">
        <f ca="1">IFERROR(IF(AND(N$34  &gt;= 'CALLER Portal'!$AB$33, N$34 &lt;= 'CALLER Portal'!$AB$34),VLOOKUP($C$32,INDIRECT("'" &amp;N$25 &amp;"'!$B$4:$P$200"),11,),""),"")</f>
        <v>0.99399999999999999</v>
      </c>
      <c r="O36" s="12">
        <f ca="1">IFERROR(IF(AND(O$34  &gt;= 'CALLER Portal'!$AB$33, O$34 &lt;= 'CALLER Portal'!$AB$34),VLOOKUP($C$32,INDIRECT("'" &amp;O$25 &amp;"'!$B$4:$P$200"),11,),""),"")</f>
        <v>0.76419999999999999</v>
      </c>
      <c r="P36" s="12" t="str">
        <f ca="1">IFERROR(IF(AND(P$34  &gt;= 'CALLER Portal'!$AB$33, P$34 &lt;= 'CALLER Portal'!$AB$34),VLOOKUP($C$32,INDIRECT("'" &amp;P$25 &amp;"'!$B$4:$P$200"),11,),""),"")</f>
        <v/>
      </c>
      <c r="Q36" s="12" t="str">
        <f ca="1">IFERROR(IF(AND(Q$34  &gt;= 'CALLER Portal'!$AB$33, Q$34 &lt;= 'CALLER Portal'!$AB$34),VLOOKUP($C$32,INDIRECT("'" &amp;Q$25 &amp;"'!$B$4:$P$200"),11,),""),"")</f>
        <v/>
      </c>
      <c r="R36" s="12" t="str">
        <f ca="1">IFERROR(IF(AND(R$34  &gt;= 'CALLER Portal'!$AB$33, R$34 &lt;= 'CALLER Portal'!$AB$34),VLOOKUP($C$32,INDIRECT("'" &amp;R$25 &amp;"'!$B$4:$P$200"),11,),""),"")</f>
        <v/>
      </c>
      <c r="S36" s="12" t="str">
        <f ca="1">IFERROR(IF(AND(S$34  &gt;= 'CALLER Portal'!$AB$33, S$34 &lt;= 'CALLER Portal'!$AB$34),VLOOKUP($C$32,INDIRECT("'" &amp;S$25 &amp;"'!$B$4:$P$200"),11,),""),"")</f>
        <v/>
      </c>
      <c r="T36" s="12" t="str">
        <f ca="1">IFERROR(IF(AND(T$34  &gt;= 'CALLER Portal'!$AB$33, T$34 &lt;= 'CALLER Portal'!$AB$34),VLOOKUP($C$32,INDIRECT("'" &amp;T$25 &amp;"'!$B$4:$P$200"),11,),""),"")</f>
        <v/>
      </c>
      <c r="U36" s="12" t="str">
        <f ca="1">IFERROR(IF(AND(U$34  &gt;= 'CALLER Portal'!$AB$33, U$34 &lt;= 'CALLER Portal'!$AB$34),VLOOKUP($C$32,INDIRECT("'" &amp;U$25 &amp;"'!$B$4:$P$200"),11,),""),"")</f>
        <v/>
      </c>
      <c r="V36" s="12" t="str">
        <f ca="1">IFERROR(IF(AND(V$34  &gt;= 'CALLER Portal'!$AB$33, V$34 &lt;= 'CALLER Portal'!$AB$34),VLOOKUP($C$32,INDIRECT("'" &amp;V$25 &amp;"'!$B$4:$P$200"),11,),""),"")</f>
        <v/>
      </c>
      <c r="W36" s="12" t="str">
        <f ca="1">IFERROR(IF(AND(W$34  &gt;= 'CALLER Portal'!$AB$33, W$34 &lt;= 'CALLER Portal'!$AB$34),VLOOKUP($C$32,INDIRECT("'" &amp;W$25 &amp;"'!$B$4:$P$200"),11,),""),"")</f>
        <v/>
      </c>
      <c r="X36" s="12" t="str">
        <f ca="1">IFERROR(IF(AND(X$34  &gt;= 'CALLER Portal'!$AB$33, X$34 &lt;= 'CALLER Portal'!$AB$34),VLOOKUP($C$32,INDIRECT("'" &amp;X$25 &amp;"'!$B$4:$P$200"),11,),""),"")</f>
        <v/>
      </c>
      <c r="Y36" s="12" t="str">
        <f ca="1">IFERROR(IF(AND(Y$34  &gt;= 'CALLER Portal'!$AB$33, Y$34 &lt;= 'CALLER Portal'!$AB$34),VLOOKUP($C$32,INDIRECT("'" &amp;Y$25 &amp;"'!$B$4:$P$200"),11,),""),"")</f>
        <v/>
      </c>
      <c r="Z36" s="12" t="str">
        <f ca="1">IFERROR(IF(AND(Z$34  &gt;= 'CALLER Portal'!$AB$33, Z$34 &lt;= 'CALLER Portal'!$AB$34),VLOOKUP($C$32,INDIRECT("'" &amp;Z$25 &amp;"'!$B$4:$P$200"),11,),""),"")</f>
        <v/>
      </c>
      <c r="AA36" s="12" t="str">
        <f ca="1">IFERROR(IF(AND(AA$34  &gt;= 'CALLER Portal'!$AB$33, AA$34 &lt;= 'CALLER Portal'!$AB$34),VLOOKUP($C$32,INDIRECT("'" &amp;AA$25 &amp;"'!$B$4:$P$200"),11,),""),"")</f>
        <v/>
      </c>
      <c r="AB36" s="12" t="str">
        <f ca="1">IFERROR(IF(AND(AB$34  &gt;= 'CALLER Portal'!$AB$33, AB$34 &lt;= 'CALLER Portal'!$AB$34),VLOOKUP($C$32,INDIRECT("'" &amp;AB$25 &amp;"'!$B$4:$P$200"),11,),""),"")</f>
        <v/>
      </c>
      <c r="AC36" s="12" t="str">
        <f ca="1">IFERROR(IF(AND(AC$34  &gt;= 'CALLER Portal'!$AB$33, AC$34 &lt;= 'CALLER Portal'!$AB$34),VLOOKUP($C$32,INDIRECT("'" &amp;AC$25 &amp;"'!$B$4:$P$200"),11,),""),"")</f>
        <v/>
      </c>
      <c r="AD36" s="12" t="str">
        <f ca="1">IFERROR(IF(AND(AD$34  &gt;= 'CALLER Portal'!$AB$33, AD$34 &lt;= 'CALLER Portal'!$AB$34),VLOOKUP($C$32,INDIRECT("'" &amp;AD$25 &amp;"'!$B$4:$P$200"),11,),""),"")</f>
        <v/>
      </c>
      <c r="AE36" s="12" t="str">
        <f ca="1">IFERROR(IF(AND(AE$34  &gt;= 'CALLER Portal'!$AB$33, AE$34 &lt;= 'CALLER Portal'!$AB$34),VLOOKUP($C$32,INDIRECT("'" &amp;AE$25 &amp;"'!$B$4:$P$200"),11,),""),"")</f>
        <v/>
      </c>
      <c r="AF36" s="12" t="str">
        <f ca="1">IFERROR(IF(AND(AF$34  &gt;= 'CALLER Portal'!$AB$33, AF$34 &lt;= 'CALLER Portal'!$AB$34),VLOOKUP($C$32,INDIRECT("'" &amp;AF$25 &amp;"'!$B$4:$P$200"),11,),""),"")</f>
        <v/>
      </c>
      <c r="AG36" s="12" t="str">
        <f ca="1">IFERROR(IF(AND(AG$34  &gt;= 'CALLER Portal'!$AB$33, AG$34 &lt;= 'CALLER Portal'!$AB$34),VLOOKUP($C$32,INDIRECT("'" &amp;AG$25 &amp;"'!$B$4:$P$200"),11,),""),"")</f>
        <v/>
      </c>
      <c r="AH36" s="12" t="str">
        <f ca="1">IFERROR(IF(AND(AH$34  &gt;= 'CALLER Portal'!$AB$33, AH$34 &lt;= 'CALLER Portal'!$AB$34),VLOOKUP($C$32,INDIRECT("'" &amp;AH$25 &amp;"'!$B$4:$P$200"),11,),""),"")</f>
        <v/>
      </c>
      <c r="AI36" s="12" t="str">
        <f ca="1">IFERROR(IF(AND(AI$34  &gt;= 'CALLER Portal'!$AB$33, AI$34 &lt;= 'CALLER Portal'!$AB$34),VLOOKUP($C$32,INDIRECT("'" &amp;AI$25 &amp;"'!$B$4:$P$200"),11,),""),"")</f>
        <v/>
      </c>
      <c r="AJ36" s="12" t="str">
        <f ca="1">IFERROR(IF(AND(AJ$34  &gt;= 'CALLER Portal'!$AB$33, AJ$34 &lt;= 'CALLER Portal'!$AB$34),VLOOKUP($C$32,INDIRECT("'" &amp;AJ$25 &amp;"'!$B$4:$P$200"),11,),""),"")</f>
        <v/>
      </c>
      <c r="AK36" s="12" t="str">
        <f ca="1">IFERROR(IF(AND(AK$34  &gt;= 'CALLER Portal'!$AB$33, AK$34 &lt;= 'CALLER Portal'!$AB$34),VLOOKUP($C$32,INDIRECT("'" &amp;AK$25 &amp;"'!$B$4:$P$200"),11,),""),"")</f>
        <v/>
      </c>
      <c r="AL36" s="12" t="str">
        <f ca="1">IFERROR(IF(AND(AL$34  &gt;= 'CALLER Portal'!$AB$33, AL$34 &lt;= 'CALLER Portal'!$AB$34),VLOOKUP($C$32,INDIRECT("'" &amp;AL$25 &amp;"'!$B$4:$P$200"),11,),""),"")</f>
        <v/>
      </c>
      <c r="AM36" s="12" t="str">
        <f ca="1">IFERROR(IF(AND(AM$34  &gt;= 'CALLER Portal'!$AB$33, AM$34 &lt;= 'CALLER Portal'!$AB$34),VLOOKUP($C$32,INDIRECT("'" &amp;AM$25 &amp;"'!$B$4:$P$200"),11,),""),"")</f>
        <v/>
      </c>
      <c r="AN36" s="12" t="str">
        <f ca="1">IFERROR(IF(AND(AN$34  &gt;= 'CALLER Portal'!$AB$33, AN$34 &lt;= 'CALLER Portal'!$AB$34),VLOOKUP($C$32,INDIRECT("'" &amp;AN$25 &amp;"'!$B$4:$P$200"),11,),""),"")</f>
        <v/>
      </c>
      <c r="AO36" s="12" t="str">
        <f ca="1">IFERROR(IF(AND(AO$34  &gt;= 'CALLER Portal'!$AB$33, AO$34 &lt;= 'CALLER Portal'!$AB$34),VLOOKUP($C$32,INDIRECT("'" &amp;AO$25 &amp;"'!$B$4:$P$200"),11,),""),"")</f>
        <v/>
      </c>
      <c r="AP36" s="12" t="str">
        <f ca="1">IFERROR(IF(AND(AP$34  &gt;= 'CALLER Portal'!$AB$33, AP$34 &lt;= 'CALLER Portal'!$AB$34),VLOOKUP($C$32,INDIRECT("'" &amp;AP$25 &amp;"'!$B$4:$P$200"),11,),""),"")</f>
        <v/>
      </c>
      <c r="AQ36" s="12" t="str">
        <f ca="1">IFERROR(IF(AND(AQ$34  &gt;= 'CALLER Portal'!$AB$33, AQ$34 &lt;= 'CALLER Portal'!$AB$34),VLOOKUP($C$32,INDIRECT("'" &amp;AQ$25 &amp;"'!$B$4:$P$200"),11,),""),"")</f>
        <v/>
      </c>
      <c r="AR36" s="12" t="str">
        <f ca="1">IFERROR(IF(AND(AR$34  &gt;= 'CALLER Portal'!$AB$33, AR$34 &lt;= 'CALLER Portal'!$AB$34),VLOOKUP($C$32,INDIRECT("'" &amp;AR$25 &amp;"'!$B$4:$P$200"),11,),""),"")</f>
        <v/>
      </c>
      <c r="AS36" s="12" t="str">
        <f ca="1">IFERROR(IF(AND(AS$34  &gt;= 'CALLER Portal'!$AB$33, AS$34 &lt;= 'CALLER Portal'!$AB$34),VLOOKUP($C$32,INDIRECT("'" &amp;AS$25 &amp;"'!$B$4:$P$200"),11,),""),"")</f>
        <v/>
      </c>
      <c r="AT36" s="12" t="str">
        <f ca="1">IFERROR(IF(AND(AT$34  &gt;= 'CALLER Portal'!$AB$33, AT$34 &lt;= 'CALLER Portal'!$AB$34),VLOOKUP($C$32,INDIRECT("'" &amp;AT$25 &amp;"'!$B$4:$P$200"),11,),""),"")</f>
        <v/>
      </c>
      <c r="AU36" s="12" t="str">
        <f ca="1">IFERROR(IF(AND(AU$34  &gt;= 'CALLER Portal'!$AB$33, AU$34 &lt;= 'CALLER Portal'!$AB$34),VLOOKUP($C$32,INDIRECT("'" &amp;AU$25 &amp;"'!$B$4:$P$200"),11,),""),"")</f>
        <v/>
      </c>
      <c r="AV36" s="12" t="str">
        <f ca="1">IFERROR(IF(AND(AV$34  &gt;= 'CALLER Portal'!$AB$33, AV$34 &lt;= 'CALLER Portal'!$AB$34),VLOOKUP($C$32,INDIRECT("'" &amp;AV$25 &amp;"'!$B$4:$P$200"),11,),""),"")</f>
        <v/>
      </c>
      <c r="AW36" s="12" t="str">
        <f ca="1">IFERROR(IF(AND(AW$34  &gt;= 'CALLER Portal'!$AB$33, AW$34 &lt;= 'CALLER Portal'!$AB$34),VLOOKUP($C$32,INDIRECT("'" &amp;AW$25 &amp;"'!$B$4:$P$200"),11,),""),"")</f>
        <v/>
      </c>
      <c r="AX36" s="12" t="str">
        <f ca="1">IFERROR(IF(AND(AX$34  &gt;= 'CALLER Portal'!$AB$33, AX$34 &lt;= 'CALLER Portal'!$AB$34),VLOOKUP($C$32,INDIRECT("'" &amp;AX$25 &amp;"'!$B$4:$P$200"),11,),""),"")</f>
        <v/>
      </c>
      <c r="AY36" s="12" t="str">
        <f ca="1">IFERROR(IF(AND(AY$34  &gt;= 'CALLER Portal'!$AB$33, AY$34 &lt;= 'CALLER Portal'!$AB$34),VLOOKUP($C$32,INDIRECT("'" &amp;AY$25 &amp;"'!$B$4:$P$200"),11,),""),"")</f>
        <v/>
      </c>
      <c r="AZ36" s="12" t="str">
        <f ca="1">IFERROR(IF(AND(AZ$34  &gt;= 'CALLER Portal'!$AB$33, AZ$34 &lt;= 'CALLER Portal'!$AB$34),VLOOKUP($C$32,INDIRECT("'" &amp;AZ$25 &amp;"'!$B$4:$P$200"),11,),""),"")</f>
        <v/>
      </c>
      <c r="BA36" s="12" t="str">
        <f ca="1">IFERROR(IF(AND(BA$34  &gt;= 'CALLER Portal'!$AB$33, BA$34 &lt;= 'CALLER Portal'!$AB$34),VLOOKUP($C$32,INDIRECT("'" &amp;BA$25 &amp;"'!$B$4:$P$200"),11,),""),"")</f>
        <v/>
      </c>
    </row>
    <row r="37" spans="1:53" ht="15.75" thickBot="1" x14ac:dyDescent="0.3">
      <c r="A37" s="604"/>
      <c r="B37" s="34">
        <v>3</v>
      </c>
      <c r="C37" s="2" t="s">
        <v>110</v>
      </c>
      <c r="D37" s="11">
        <f ca="1">IFERROR(IF(AND(D$34  &gt;= 'CALLER Portal'!$AB$33, D$34 &lt;= 'CALLER Portal'!$AB$34),VLOOKUP($C$32,INDIRECT("'" &amp;D$25 &amp;"'!$B$4:$P$200"),12,),""),"")</f>
        <v>8.8900000000000007E-2</v>
      </c>
      <c r="E37" s="11">
        <f ca="1">IFERROR(IF(AND(E$34  &gt;= 'CALLER Portal'!$AB$33, E$34 &lt;= 'CALLER Portal'!$AB$34),VLOOKUP($C$32,INDIRECT("'" &amp;E$25 &amp;"'!$B$4:$P$200"),12,),""),"")</f>
        <v>0.1081</v>
      </c>
      <c r="F37" s="11">
        <f ca="1">IFERROR(IF(AND(F$34  &gt;= 'CALLER Portal'!$AB$33, F$34 &lt;= 'CALLER Portal'!$AB$34),VLOOKUP($C$32,INDIRECT("'" &amp;F$25 &amp;"'!$B$4:$P$200"),12,),""),"")</f>
        <v>0.1</v>
      </c>
      <c r="G37" s="11">
        <f ca="1">IFERROR(IF(AND(G$34  &gt;= 'CALLER Portal'!$AB$33, G$34 &lt;= 'CALLER Portal'!$AB$34),VLOOKUP($C$32,INDIRECT("'" &amp;G$25 &amp;"'!$B$4:$P$200"),12,),""),"")</f>
        <v>0</v>
      </c>
      <c r="H37" s="11">
        <f ca="1">IFERROR(IF(AND(H$34  &gt;= 'CALLER Portal'!$AB$33, H$34 &lt;= 'CALLER Portal'!$AB$34),VLOOKUP($C$32,INDIRECT("'" &amp;H$25 &amp;"'!$B$4:$P$200"),12,),""),"")</f>
        <v>0.15090000000000001</v>
      </c>
      <c r="I37" s="11">
        <f ca="1">IFERROR(IF(AND(I$34  &gt;= 'CALLER Portal'!$AB$33, I$34 &lt;= 'CALLER Portal'!$AB$34),VLOOKUP($C$32,INDIRECT("'" &amp;I$25 &amp;"'!$B$4:$P$200"),12,),""),"")</f>
        <v>0.58930000000000005</v>
      </c>
      <c r="J37" s="11">
        <f ca="1">IFERROR(IF(AND(J$34  &gt;= 'CALLER Portal'!$AB$33, J$34 &lt;= 'CALLER Portal'!$AB$34),VLOOKUP($C$32,INDIRECT("'" &amp;J$25 &amp;"'!$B$4:$P$200"),12,),""),"")</f>
        <v>0.21049999999999999</v>
      </c>
      <c r="K37" s="11">
        <f ca="1">IFERROR(IF(AND(K$34  &gt;= 'CALLER Portal'!$AB$33, K$34 &lt;= 'CALLER Portal'!$AB$34),VLOOKUP($C$32,INDIRECT("'" &amp;K$25 &amp;"'!$B$4:$P$200"),12,),""),"")</f>
        <v>0.115</v>
      </c>
      <c r="L37" s="11">
        <f ca="1">IFERROR(IF(AND(L$34  &gt;= 'CALLER Portal'!$AB$33, L$34 &lt;= 'CALLER Portal'!$AB$34),VLOOKUP($C$32,INDIRECT("'" &amp;L$25 &amp;"'!$B$4:$P$200"),12,),""),"")</f>
        <v>0.13569999999999999</v>
      </c>
      <c r="M37" s="11">
        <f ca="1">IFERROR(IF(AND(M$34  &gt;= 'CALLER Portal'!$AB$33, M$34 &lt;= 'CALLER Portal'!$AB$34),VLOOKUP($C$32,INDIRECT("'" &amp;M$25 &amp;"'!$B$4:$P$200"),12,),""),"")</f>
        <v>0.1077</v>
      </c>
      <c r="N37" s="11">
        <f ca="1">IFERROR(IF(AND(N$34  &gt;= 'CALLER Portal'!$AB$33, N$34 &lt;= 'CALLER Portal'!$AB$34),VLOOKUP($C$32,INDIRECT("'" &amp;N$25 &amp;"'!$B$4:$P$200"),12,),""),"")</f>
        <v>0.5</v>
      </c>
      <c r="O37" s="11">
        <f ca="1">IFERROR(IF(AND(O$34  &gt;= 'CALLER Portal'!$AB$33, O$34 &lt;= 'CALLER Portal'!$AB$34),VLOOKUP($C$32,INDIRECT("'" &amp;O$25 &amp;"'!$B$4:$P$200"),12,),""),"")</f>
        <v>0.30559999999999998</v>
      </c>
      <c r="P37" s="11" t="str">
        <f ca="1">IFERROR(IF(AND(P$34  &gt;= 'CALLER Portal'!$AB$33, P$34 &lt;= 'CALLER Portal'!$AB$34),VLOOKUP($C$32,INDIRECT("'" &amp;P$25 &amp;"'!$B$4:$P$200"),12,),""),"")</f>
        <v/>
      </c>
      <c r="Q37" s="11" t="str">
        <f ca="1">IFERROR(IF(AND(Q$34  &gt;= 'CALLER Portal'!$AB$33, Q$34 &lt;= 'CALLER Portal'!$AB$34),VLOOKUP($C$32,INDIRECT("'" &amp;Q$25 &amp;"'!$B$4:$P$200"),12,),""),"")</f>
        <v/>
      </c>
      <c r="R37" s="11" t="str">
        <f ca="1">IFERROR(IF(AND(R$34  &gt;= 'CALLER Portal'!$AB$33, R$34 &lt;= 'CALLER Portal'!$AB$34),VLOOKUP($C$32,INDIRECT("'" &amp;R$25 &amp;"'!$B$4:$P$200"),12,),""),"")</f>
        <v/>
      </c>
      <c r="S37" s="11" t="str">
        <f ca="1">IFERROR(IF(AND(S$34  &gt;= 'CALLER Portal'!$AB$33, S$34 &lt;= 'CALLER Portal'!$AB$34),VLOOKUP($C$32,INDIRECT("'" &amp;S$25 &amp;"'!$B$4:$P$200"),12,),""),"")</f>
        <v/>
      </c>
      <c r="T37" s="11" t="str">
        <f ca="1">IFERROR(IF(AND(T$34  &gt;= 'CALLER Portal'!$AB$33, T$34 &lt;= 'CALLER Portal'!$AB$34),VLOOKUP($C$32,INDIRECT("'" &amp;T$25 &amp;"'!$B$4:$P$200"),12,),""),"")</f>
        <v/>
      </c>
      <c r="U37" s="11" t="str">
        <f ca="1">IFERROR(IF(AND(U$34  &gt;= 'CALLER Portal'!$AB$33, U$34 &lt;= 'CALLER Portal'!$AB$34),VLOOKUP($C$32,INDIRECT("'" &amp;U$25 &amp;"'!$B$4:$P$200"),12,),""),"")</f>
        <v/>
      </c>
      <c r="V37" s="11" t="str">
        <f ca="1">IFERROR(IF(AND(V$34  &gt;= 'CALLER Portal'!$AB$33, V$34 &lt;= 'CALLER Portal'!$AB$34),VLOOKUP($C$32,INDIRECT("'" &amp;V$25 &amp;"'!$B$4:$P$200"),12,),""),"")</f>
        <v/>
      </c>
      <c r="W37" s="11" t="str">
        <f ca="1">IFERROR(IF(AND(W$34  &gt;= 'CALLER Portal'!$AB$33, W$34 &lt;= 'CALLER Portal'!$AB$34),VLOOKUP($C$32,INDIRECT("'" &amp;W$25 &amp;"'!$B$4:$P$200"),12,),""),"")</f>
        <v/>
      </c>
      <c r="X37" s="11" t="str">
        <f ca="1">IFERROR(IF(AND(X$34  &gt;= 'CALLER Portal'!$AB$33, X$34 &lt;= 'CALLER Portal'!$AB$34),VLOOKUP($C$32,INDIRECT("'" &amp;X$25 &amp;"'!$B$4:$P$200"),12,),""),"")</f>
        <v/>
      </c>
      <c r="Y37" s="11" t="str">
        <f ca="1">IFERROR(IF(AND(Y$34  &gt;= 'CALLER Portal'!$AB$33, Y$34 &lt;= 'CALLER Portal'!$AB$34),VLOOKUP($C$32,INDIRECT("'" &amp;Y$25 &amp;"'!$B$4:$P$200"),12,),""),"")</f>
        <v/>
      </c>
      <c r="Z37" s="11" t="str">
        <f ca="1">IFERROR(IF(AND(Z$34  &gt;= 'CALLER Portal'!$AB$33, Z$34 &lt;= 'CALLER Portal'!$AB$34),VLOOKUP($C$32,INDIRECT("'" &amp;Z$25 &amp;"'!$B$4:$P$200"),12,),""),"")</f>
        <v/>
      </c>
      <c r="AA37" s="11" t="str">
        <f ca="1">IFERROR(IF(AND(AA$34  &gt;= 'CALLER Portal'!$AB$33, AA$34 &lt;= 'CALLER Portal'!$AB$34),VLOOKUP($C$32,INDIRECT("'" &amp;AA$25 &amp;"'!$B$4:$P$200"),12,),""),"")</f>
        <v/>
      </c>
      <c r="AB37" s="11" t="str">
        <f ca="1">IFERROR(IF(AND(AB$34  &gt;= 'CALLER Portal'!$AB$33, AB$34 &lt;= 'CALLER Portal'!$AB$34),VLOOKUP($C$32,INDIRECT("'" &amp;AB$25 &amp;"'!$B$4:$P$200"),12,),""),"")</f>
        <v/>
      </c>
      <c r="AC37" s="11" t="str">
        <f ca="1">IFERROR(IF(AND(AC$34  &gt;= 'CALLER Portal'!$AB$33, AC$34 &lt;= 'CALLER Portal'!$AB$34),VLOOKUP($C$32,INDIRECT("'" &amp;AC$25 &amp;"'!$B$4:$P$200"),12,),""),"")</f>
        <v/>
      </c>
      <c r="AD37" s="11" t="str">
        <f ca="1">IFERROR(IF(AND(AD$34  &gt;= 'CALLER Portal'!$AB$33, AD$34 &lt;= 'CALLER Portal'!$AB$34),VLOOKUP($C$32,INDIRECT("'" &amp;AD$25 &amp;"'!$B$4:$P$200"),12,),""),"")</f>
        <v/>
      </c>
      <c r="AE37" s="11" t="str">
        <f ca="1">IFERROR(IF(AND(AE$34  &gt;= 'CALLER Portal'!$AB$33, AE$34 &lt;= 'CALLER Portal'!$AB$34),VLOOKUP($C$32,INDIRECT("'" &amp;AE$25 &amp;"'!$B$4:$P$200"),12,),""),"")</f>
        <v/>
      </c>
      <c r="AF37" s="11" t="str">
        <f ca="1">IFERROR(IF(AND(AF$34  &gt;= 'CALLER Portal'!$AB$33, AF$34 &lt;= 'CALLER Portal'!$AB$34),VLOOKUP($C$32,INDIRECT("'" &amp;AF$25 &amp;"'!$B$4:$P$200"),12,),""),"")</f>
        <v/>
      </c>
      <c r="AG37" s="11" t="str">
        <f ca="1">IFERROR(IF(AND(AG$34  &gt;= 'CALLER Portal'!$AB$33, AG$34 &lt;= 'CALLER Portal'!$AB$34),VLOOKUP($C$32,INDIRECT("'" &amp;AG$25 &amp;"'!$B$4:$P$200"),12,),""),"")</f>
        <v/>
      </c>
      <c r="AH37" s="11" t="str">
        <f ca="1">IFERROR(IF(AND(AH$34  &gt;= 'CALLER Portal'!$AB$33, AH$34 &lt;= 'CALLER Portal'!$AB$34),VLOOKUP($C$32,INDIRECT("'" &amp;AH$25 &amp;"'!$B$4:$P$200"),12,),""),"")</f>
        <v/>
      </c>
      <c r="AI37" s="11" t="str">
        <f ca="1">IFERROR(IF(AND(AI$34  &gt;= 'CALLER Portal'!$AB$33, AI$34 &lt;= 'CALLER Portal'!$AB$34),VLOOKUP($C$32,INDIRECT("'" &amp;AI$25 &amp;"'!$B$4:$P$200"),12,),""),"")</f>
        <v/>
      </c>
      <c r="AJ37" s="11" t="str">
        <f ca="1">IFERROR(IF(AND(AJ$34  &gt;= 'CALLER Portal'!$AB$33, AJ$34 &lt;= 'CALLER Portal'!$AB$34),VLOOKUP($C$32,INDIRECT("'" &amp;AJ$25 &amp;"'!$B$4:$P$200"),12,),""),"")</f>
        <v/>
      </c>
      <c r="AK37" s="11" t="str">
        <f ca="1">IFERROR(IF(AND(AK$34  &gt;= 'CALLER Portal'!$AB$33, AK$34 &lt;= 'CALLER Portal'!$AB$34),VLOOKUP($C$32,INDIRECT("'" &amp;AK$25 &amp;"'!$B$4:$P$200"),12,),""),"")</f>
        <v/>
      </c>
      <c r="AL37" s="11" t="str">
        <f ca="1">IFERROR(IF(AND(AL$34  &gt;= 'CALLER Portal'!$AB$33, AL$34 &lt;= 'CALLER Portal'!$AB$34),VLOOKUP($C$32,INDIRECT("'" &amp;AL$25 &amp;"'!$B$4:$P$200"),12,),""),"")</f>
        <v/>
      </c>
      <c r="AM37" s="11" t="str">
        <f ca="1">IFERROR(IF(AND(AM$34  &gt;= 'CALLER Portal'!$AB$33, AM$34 &lt;= 'CALLER Portal'!$AB$34),VLOOKUP($C$32,INDIRECT("'" &amp;AM$25 &amp;"'!$B$4:$P$200"),12,),""),"")</f>
        <v/>
      </c>
      <c r="AN37" s="11" t="str">
        <f ca="1">IFERROR(IF(AND(AN$34  &gt;= 'CALLER Portal'!$AB$33, AN$34 &lt;= 'CALLER Portal'!$AB$34),VLOOKUP($C$32,INDIRECT("'" &amp;AN$25 &amp;"'!$B$4:$P$200"),12,),""),"")</f>
        <v/>
      </c>
      <c r="AO37" s="11" t="str">
        <f ca="1">IFERROR(IF(AND(AO$34  &gt;= 'CALLER Portal'!$AB$33, AO$34 &lt;= 'CALLER Portal'!$AB$34),VLOOKUP($C$32,INDIRECT("'" &amp;AO$25 &amp;"'!$B$4:$P$200"),12,),""),"")</f>
        <v/>
      </c>
      <c r="AP37" s="11" t="str">
        <f ca="1">IFERROR(IF(AND(AP$34  &gt;= 'CALLER Portal'!$AB$33, AP$34 &lt;= 'CALLER Portal'!$AB$34),VLOOKUP($C$32,INDIRECT("'" &amp;AP$25 &amp;"'!$B$4:$P$200"),12,),""),"")</f>
        <v/>
      </c>
      <c r="AQ37" s="11" t="str">
        <f ca="1">IFERROR(IF(AND(AQ$34  &gt;= 'CALLER Portal'!$AB$33, AQ$34 &lt;= 'CALLER Portal'!$AB$34),VLOOKUP($C$32,INDIRECT("'" &amp;AQ$25 &amp;"'!$B$4:$P$200"),12,),""),"")</f>
        <v/>
      </c>
      <c r="AR37" s="11" t="str">
        <f ca="1">IFERROR(IF(AND(AR$34  &gt;= 'CALLER Portal'!$AB$33, AR$34 &lt;= 'CALLER Portal'!$AB$34),VLOOKUP($C$32,INDIRECT("'" &amp;AR$25 &amp;"'!$B$4:$P$200"),12,),""),"")</f>
        <v/>
      </c>
      <c r="AS37" s="11" t="str">
        <f ca="1">IFERROR(IF(AND(AS$34  &gt;= 'CALLER Portal'!$AB$33, AS$34 &lt;= 'CALLER Portal'!$AB$34),VLOOKUP($C$32,INDIRECT("'" &amp;AS$25 &amp;"'!$B$4:$P$200"),12,),""),"")</f>
        <v/>
      </c>
      <c r="AT37" s="11" t="str">
        <f ca="1">IFERROR(IF(AND(AT$34  &gt;= 'CALLER Portal'!$AB$33, AT$34 &lt;= 'CALLER Portal'!$AB$34),VLOOKUP($C$32,INDIRECT("'" &amp;AT$25 &amp;"'!$B$4:$P$200"),12,),""),"")</f>
        <v/>
      </c>
      <c r="AU37" s="11" t="str">
        <f ca="1">IFERROR(IF(AND(AU$34  &gt;= 'CALLER Portal'!$AB$33, AU$34 &lt;= 'CALLER Portal'!$AB$34),VLOOKUP($C$32,INDIRECT("'" &amp;AU$25 &amp;"'!$B$4:$P$200"),12,),""),"")</f>
        <v/>
      </c>
      <c r="AV37" s="11" t="str">
        <f ca="1">IFERROR(IF(AND(AV$34  &gt;= 'CALLER Portal'!$AB$33, AV$34 &lt;= 'CALLER Portal'!$AB$34),VLOOKUP($C$32,INDIRECT("'" &amp;AV$25 &amp;"'!$B$4:$P$200"),12,),""),"")</f>
        <v/>
      </c>
      <c r="AW37" s="11" t="str">
        <f ca="1">IFERROR(IF(AND(AW$34  &gt;= 'CALLER Portal'!$AB$33, AW$34 &lt;= 'CALLER Portal'!$AB$34),VLOOKUP($C$32,INDIRECT("'" &amp;AW$25 &amp;"'!$B$4:$P$200"),12,),""),"")</f>
        <v/>
      </c>
      <c r="AX37" s="11" t="str">
        <f ca="1">IFERROR(IF(AND(AX$34  &gt;= 'CALLER Portal'!$AB$33, AX$34 &lt;= 'CALLER Portal'!$AB$34),VLOOKUP($C$32,INDIRECT("'" &amp;AX$25 &amp;"'!$B$4:$P$200"),12,),""),"")</f>
        <v/>
      </c>
      <c r="AY37" s="11" t="str">
        <f ca="1">IFERROR(IF(AND(AY$34  &gt;= 'CALLER Portal'!$AB$33, AY$34 &lt;= 'CALLER Portal'!$AB$34),VLOOKUP($C$32,INDIRECT("'" &amp;AY$25 &amp;"'!$B$4:$P$200"),12,),""),"")</f>
        <v/>
      </c>
      <c r="AZ37" s="11" t="str">
        <f ca="1">IFERROR(IF(AND(AZ$34  &gt;= 'CALLER Portal'!$AB$33, AZ$34 &lt;= 'CALLER Portal'!$AB$34),VLOOKUP($C$32,INDIRECT("'" &amp;AZ$25 &amp;"'!$B$4:$P$200"),12,),""),"")</f>
        <v/>
      </c>
      <c r="BA37" s="11" t="str">
        <f ca="1">IFERROR(IF(AND(BA$34  &gt;= 'CALLER Portal'!$AB$33, BA$34 &lt;= 'CALLER Portal'!$AB$34),VLOOKUP($C$32,INDIRECT("'" &amp;BA$25 &amp;"'!$B$4:$P$200"),12,),""),"")</f>
        <v/>
      </c>
    </row>
    <row r="38" spans="1:53" ht="15.75" thickBot="1" x14ac:dyDescent="0.3">
      <c r="A38" s="604"/>
      <c r="B38" s="34">
        <v>4</v>
      </c>
      <c r="C38" s="14" t="s">
        <v>113</v>
      </c>
      <c r="D38" s="25">
        <f ca="1">IFERROR(IF(AND(D$34  &gt;= 'CALLER Portal'!$AB$33, D$34 &lt;= 'CALLER Portal'!$AB$34),_xlfn.PERCENTILE.EXC(INDIRECT("'" &amp;D$25 &amp;"'!$N$4:$N$200"), 0.5),""),"")</f>
        <v>0</v>
      </c>
      <c r="E38" s="25">
        <f ca="1">IFERROR(IF(AND(E$34  &gt;= 'CALLER Portal'!$AB$33, E$34 &lt;= 'CALLER Portal'!$AB$34),_xlfn.PERCENTILE.EXC(INDIRECT("'" &amp;E$25 &amp;"'!$N$4:$N$200"), 0.5),""),"")</f>
        <v>5.76</v>
      </c>
      <c r="F38" s="25">
        <f ca="1">IFERROR(IF(AND(F$34  &gt;= 'CALLER Portal'!$AB$33, F$34 &lt;= 'CALLER Portal'!$AB$34),_xlfn.PERCENTILE.EXC(INDIRECT("'" &amp;F$25 &amp;"'!$N$4:$N$200"), 0.5),""),"")</f>
        <v>5.09</v>
      </c>
      <c r="G38" s="25">
        <f ca="1">IFERROR(IF(AND(G$34  &gt;= 'CALLER Portal'!$AB$33, G$34 &lt;= 'CALLER Portal'!$AB$34),_xlfn.PERCENTILE.EXC(INDIRECT("'" &amp;G$25 &amp;"'!$N$4:$N$200"), 0.5),""),"")</f>
        <v>0</v>
      </c>
      <c r="H38" s="25">
        <f ca="1">IFERROR(IF(AND(H$34  &gt;= 'CALLER Portal'!$AB$33, H$34 &lt;= 'CALLER Portal'!$AB$34),_xlfn.PERCENTILE.EXC(INDIRECT("'" &amp;H$25 &amp;"'!$N$4:$N$200"), 0.5),""),"")</f>
        <v>0.99</v>
      </c>
      <c r="I38" s="25">
        <f ca="1">IFERROR(IF(AND(I$34  &gt;= 'CALLER Portal'!$AB$33, I$34 &lt;= 'CALLER Portal'!$AB$34),_xlfn.PERCENTILE.EXC(INDIRECT("'" &amp;I$25 &amp;"'!$N$4:$N$200"), 0.5),""),"")</f>
        <v>42.37</v>
      </c>
      <c r="J38" s="25">
        <f ca="1">IFERROR(IF(AND(J$34  &gt;= 'CALLER Portal'!$AB$33, J$34 &lt;= 'CALLER Portal'!$AB$34),_xlfn.PERCENTILE.EXC(INDIRECT("'" &amp;J$25 &amp;"'!$N$4:$N$200"), 0.5),""),"")</f>
        <v>84.65</v>
      </c>
      <c r="K38" s="25">
        <f ca="1">IFERROR(IF(AND(K$34  &gt;= 'CALLER Portal'!$AB$33, K$34 &lt;= 'CALLER Portal'!$AB$34),_xlfn.PERCENTILE.EXC(INDIRECT("'" &amp;K$25 &amp;"'!$N$4:$N$200"), 0.5),""),"")</f>
        <v>166.23</v>
      </c>
      <c r="L38" s="25">
        <f ca="1">IFERROR(IF(AND(L$34  &gt;= 'CALLER Portal'!$AB$33, L$34 &lt;= 'CALLER Portal'!$AB$34),_xlfn.PERCENTILE.EXC(INDIRECT("'" &amp;L$25 &amp;"'!$N$4:$N$200"), 0.5),""),"")</f>
        <v>116.815</v>
      </c>
      <c r="M38" s="25">
        <f ca="1">IFERROR(IF(AND(M$34  &gt;= 'CALLER Portal'!$AB$33, M$34 &lt;= 'CALLER Portal'!$AB$34),_xlfn.PERCENTILE.EXC(INDIRECT("'" &amp;M$25 &amp;"'!$N$4:$N$200"), 0.5),""),"")</f>
        <v>60.5</v>
      </c>
      <c r="N38" s="25">
        <f ca="1">IFERROR(IF(AND(N$34  &gt;= 'CALLER Portal'!$AB$33, N$34 &lt;= 'CALLER Portal'!$AB$34),_xlfn.PERCENTILE.EXC(INDIRECT("'" &amp;N$25 &amp;"'!$N$4:$N$200"), 0.5),""),"")</f>
        <v>7.59</v>
      </c>
      <c r="O38" s="25">
        <f ca="1">IFERROR(IF(AND(O$34  &gt;= 'CALLER Portal'!$AB$33, O$34 &lt;= 'CALLER Portal'!$AB$34),_xlfn.PERCENTILE.EXC(INDIRECT("'" &amp;O$25 &amp;"'!$N$4:$N$200"), 0.5),""),"")</f>
        <v>28.53</v>
      </c>
      <c r="P38" s="25" t="str">
        <f ca="1">IFERROR(IF(AND(P$34  &gt;= 'CALLER Portal'!$AB$33, P$34 &lt;= 'CALLER Portal'!$AB$34),_xlfn.PERCENTILE.EXC(INDIRECT("'" &amp;P$25 &amp;"'!$N$4:$N$200"), 0.5),""),"")</f>
        <v/>
      </c>
      <c r="Q38" s="25" t="str">
        <f ca="1">IFERROR(IF(AND(Q$34  &gt;= 'CALLER Portal'!$AB$33, Q$34 &lt;= 'CALLER Portal'!$AB$34),_xlfn.PERCENTILE.EXC(INDIRECT("'" &amp;Q$25 &amp;"'!$N$4:$N$200"), 0.5),""),"")</f>
        <v/>
      </c>
      <c r="R38" s="25" t="str">
        <f ca="1">IFERROR(IF(AND(R$34  &gt;= 'CALLER Portal'!$AB$33, R$34 &lt;= 'CALLER Portal'!$AB$34),_xlfn.PERCENTILE.EXC(INDIRECT("'" &amp;R$25 &amp;"'!$N$4:$N$200"), 0.5),""),"")</f>
        <v/>
      </c>
      <c r="S38" s="25" t="str">
        <f ca="1">IFERROR(IF(AND(S$34  &gt;= 'CALLER Portal'!$AB$33, S$34 &lt;= 'CALLER Portal'!$AB$34),_xlfn.PERCENTILE.EXC(INDIRECT("'" &amp;S$25 &amp;"'!$N$4:$N$200"), 0.5),""),"")</f>
        <v/>
      </c>
      <c r="T38" s="25" t="str">
        <f ca="1">IFERROR(IF(AND(T$34  &gt;= 'CALLER Portal'!$AB$33, T$34 &lt;= 'CALLER Portal'!$AB$34),_xlfn.PERCENTILE.EXC(INDIRECT("'" &amp;T$25 &amp;"'!$N$4:$N$200"), 0.5),""),"")</f>
        <v/>
      </c>
      <c r="U38" s="25" t="str">
        <f ca="1">IFERROR(IF(AND(U$34  &gt;= 'CALLER Portal'!$AB$33, U$34 &lt;= 'CALLER Portal'!$AB$34),_xlfn.PERCENTILE.EXC(INDIRECT("'" &amp;U$25 &amp;"'!$N$4:$N$200"), 0.5),""),"")</f>
        <v/>
      </c>
      <c r="V38" s="25" t="str">
        <f ca="1">IFERROR(IF(AND(V$34  &gt;= 'CALLER Portal'!$AB$33, V$34 &lt;= 'CALLER Portal'!$AB$34),_xlfn.PERCENTILE.EXC(INDIRECT("'" &amp;V$25 &amp;"'!$N$4:$N$200"), 0.5),""),"")</f>
        <v/>
      </c>
      <c r="W38" s="25" t="str">
        <f ca="1">IFERROR(IF(AND(W$34  &gt;= 'CALLER Portal'!$AB$33, W$34 &lt;= 'CALLER Portal'!$AB$34),_xlfn.PERCENTILE.EXC(INDIRECT("'" &amp;W$25 &amp;"'!$N$4:$N$200"), 0.5),""),"")</f>
        <v/>
      </c>
      <c r="X38" s="25" t="str">
        <f ca="1">IFERROR(IF(AND(X$34  &gt;= 'CALLER Portal'!$AB$33, X$34 &lt;= 'CALLER Portal'!$AB$34),_xlfn.PERCENTILE.EXC(INDIRECT("'" &amp;X$25 &amp;"'!$N$4:$N$200"), 0.5),""),"")</f>
        <v/>
      </c>
      <c r="Y38" s="25" t="str">
        <f ca="1">IFERROR(IF(AND(Y$34  &gt;= 'CALLER Portal'!$AB$33, Y$34 &lt;= 'CALLER Portal'!$AB$34),_xlfn.PERCENTILE.EXC(INDIRECT("'" &amp;Y$25 &amp;"'!$N$4:$N$200"), 0.5),""),"")</f>
        <v/>
      </c>
      <c r="Z38" s="25" t="str">
        <f ca="1">IFERROR(IF(AND(Z$34  &gt;= 'CALLER Portal'!$AB$33, Z$34 &lt;= 'CALLER Portal'!$AB$34),_xlfn.PERCENTILE.EXC(INDIRECT("'" &amp;Z$25 &amp;"'!$N$4:$N$200"), 0.5),""),"")</f>
        <v/>
      </c>
      <c r="AA38" s="25" t="str">
        <f ca="1">IFERROR(IF(AND(AA$34  &gt;= 'CALLER Portal'!$AB$33, AA$34 &lt;= 'CALLER Portal'!$AB$34),_xlfn.PERCENTILE.EXC(INDIRECT("'" &amp;AA$25 &amp;"'!$N$4:$N$200"), 0.5),""),"")</f>
        <v/>
      </c>
      <c r="AB38" s="25" t="str">
        <f ca="1">IFERROR(IF(AND(AB$34  &gt;= 'CALLER Portal'!$AB$33, AB$34 &lt;= 'CALLER Portal'!$AB$34),_xlfn.PERCENTILE.EXC(INDIRECT("'" &amp;AB$25 &amp;"'!$N$4:$N$200"), 0.5),""),"")</f>
        <v/>
      </c>
      <c r="AC38" s="25" t="str">
        <f ca="1">IFERROR(IF(AND(AC$34  &gt;= 'CALLER Portal'!$AB$33, AC$34 &lt;= 'CALLER Portal'!$AB$34),_xlfn.PERCENTILE.EXC(INDIRECT("'" &amp;AC$25 &amp;"'!$N$4:$N$200"), 0.5),""),"")</f>
        <v/>
      </c>
      <c r="AD38" s="25" t="str">
        <f ca="1">IFERROR(IF(AND(AD$34  &gt;= 'CALLER Portal'!$AB$33, AD$34 &lt;= 'CALLER Portal'!$AB$34),_xlfn.PERCENTILE.EXC(INDIRECT("'" &amp;AD$25 &amp;"'!$N$4:$N$200"), 0.5),""),"")</f>
        <v/>
      </c>
      <c r="AE38" s="25" t="str">
        <f ca="1">IFERROR(IF(AND(AE$34  &gt;= 'CALLER Portal'!$AB$33, AE$34 &lt;= 'CALLER Portal'!$AB$34),_xlfn.PERCENTILE.EXC(INDIRECT("'" &amp;AE$25 &amp;"'!$N$4:$N$200"), 0.5),""),"")</f>
        <v/>
      </c>
      <c r="AF38" s="25" t="str">
        <f ca="1">IFERROR(IF(AND(AF$34  &gt;= 'CALLER Portal'!$AB$33, AF$34 &lt;= 'CALLER Portal'!$AB$34),_xlfn.PERCENTILE.EXC(INDIRECT("'" &amp;AF$25 &amp;"'!$N$4:$N$200"), 0.5),""),"")</f>
        <v/>
      </c>
      <c r="AG38" s="25" t="str">
        <f ca="1">IFERROR(IF(AND(AG$34  &gt;= 'CALLER Portal'!$AB$33, AG$34 &lt;= 'CALLER Portal'!$AB$34),_xlfn.PERCENTILE.EXC(INDIRECT("'" &amp;AG$25 &amp;"'!$N$4:$N$200"), 0.5),""),"")</f>
        <v/>
      </c>
      <c r="AH38" s="25" t="str">
        <f ca="1">IFERROR(IF(AND(AH$34  &gt;= 'CALLER Portal'!$AB$33, AH$34 &lt;= 'CALLER Portal'!$AB$34),_xlfn.PERCENTILE.EXC(INDIRECT("'" &amp;AH$25 &amp;"'!$N$4:$N$200"), 0.5),""),"")</f>
        <v/>
      </c>
      <c r="AI38" s="25" t="str">
        <f ca="1">IFERROR(IF(AND(AI$34  &gt;= 'CALLER Portal'!$AB$33, AI$34 &lt;= 'CALLER Portal'!$AB$34),_xlfn.PERCENTILE.EXC(INDIRECT("'" &amp;AI$25 &amp;"'!$N$4:$N$200"), 0.5),""),"")</f>
        <v/>
      </c>
      <c r="AJ38" s="25" t="str">
        <f ca="1">IFERROR(IF(AND(AJ$34  &gt;= 'CALLER Portal'!$AB$33, AJ$34 &lt;= 'CALLER Portal'!$AB$34),_xlfn.PERCENTILE.EXC(INDIRECT("'" &amp;AJ$25 &amp;"'!$N$4:$N$200"), 0.5),""),"")</f>
        <v/>
      </c>
      <c r="AK38" s="25" t="str">
        <f ca="1">IFERROR(IF(AND(AK$34  &gt;= 'CALLER Portal'!$AB$33, AK$34 &lt;= 'CALLER Portal'!$AB$34),_xlfn.PERCENTILE.EXC(INDIRECT("'" &amp;AK$25 &amp;"'!$N$4:$N$200"), 0.5),""),"")</f>
        <v/>
      </c>
      <c r="AL38" s="25" t="str">
        <f ca="1">IFERROR(IF(AND(AL$34  &gt;= 'CALLER Portal'!$AB$33, AL$34 &lt;= 'CALLER Portal'!$AB$34),_xlfn.PERCENTILE.EXC(INDIRECT("'" &amp;AL$25 &amp;"'!$N$4:$N$200"), 0.5),""),"")</f>
        <v/>
      </c>
      <c r="AM38" s="25" t="str">
        <f ca="1">IFERROR(IF(AND(AM$34  &gt;= 'CALLER Portal'!$AB$33, AM$34 &lt;= 'CALLER Portal'!$AB$34),_xlfn.PERCENTILE.EXC(INDIRECT("'" &amp;AM$25 &amp;"'!$N$4:$N$200"), 0.5),""),"")</f>
        <v/>
      </c>
      <c r="AN38" s="25" t="str">
        <f ca="1">IFERROR(IF(AND(AN$34  &gt;= 'CALLER Portal'!$AB$33, AN$34 &lt;= 'CALLER Portal'!$AB$34),_xlfn.PERCENTILE.EXC(INDIRECT("'" &amp;AN$25 &amp;"'!$N$4:$N$200"), 0.5),""),"")</f>
        <v/>
      </c>
      <c r="AO38" s="25" t="str">
        <f ca="1">IFERROR(IF(AND(AO$34  &gt;= 'CALLER Portal'!$AB$33, AO$34 &lt;= 'CALLER Portal'!$AB$34),_xlfn.PERCENTILE.EXC(INDIRECT("'" &amp;AO$25 &amp;"'!$N$4:$N$200"), 0.5),""),"")</f>
        <v/>
      </c>
      <c r="AP38" s="25" t="str">
        <f ca="1">IFERROR(IF(AND(AP$34  &gt;= 'CALLER Portal'!$AB$33, AP$34 &lt;= 'CALLER Portal'!$AB$34),_xlfn.PERCENTILE.EXC(INDIRECT("'" &amp;AP$25 &amp;"'!$N$4:$N$200"), 0.5),""),"")</f>
        <v/>
      </c>
      <c r="AQ38" s="25" t="str">
        <f ca="1">IFERROR(IF(AND(AQ$34  &gt;= 'CALLER Portal'!$AB$33, AQ$34 &lt;= 'CALLER Portal'!$AB$34),_xlfn.PERCENTILE.EXC(INDIRECT("'" &amp;AQ$25 &amp;"'!$N$4:$N$200"), 0.5),""),"")</f>
        <v/>
      </c>
      <c r="AR38" s="25" t="str">
        <f ca="1">IFERROR(IF(AND(AR$34  &gt;= 'CALLER Portal'!$AB$33, AR$34 &lt;= 'CALLER Portal'!$AB$34),_xlfn.PERCENTILE.EXC(INDIRECT("'" &amp;AR$25 &amp;"'!$N$4:$N$200"), 0.5),""),"")</f>
        <v/>
      </c>
      <c r="AS38" s="25" t="str">
        <f ca="1">IFERROR(IF(AND(AS$34  &gt;= 'CALLER Portal'!$AB$33, AS$34 &lt;= 'CALLER Portal'!$AB$34),_xlfn.PERCENTILE.EXC(INDIRECT("'" &amp;AS$25 &amp;"'!$N$4:$N$200"), 0.5),""),"")</f>
        <v/>
      </c>
      <c r="AT38" s="25" t="str">
        <f ca="1">IFERROR(IF(AND(AT$34  &gt;= 'CALLER Portal'!$AB$33, AT$34 &lt;= 'CALLER Portal'!$AB$34),_xlfn.PERCENTILE.EXC(INDIRECT("'" &amp;AT$25 &amp;"'!$N$4:$N$200"), 0.5),""),"")</f>
        <v/>
      </c>
      <c r="AU38" s="25" t="str">
        <f ca="1">IFERROR(IF(AND(AU$34  &gt;= 'CALLER Portal'!$AB$33, AU$34 &lt;= 'CALLER Portal'!$AB$34),_xlfn.PERCENTILE.EXC(INDIRECT("'" &amp;AU$25 &amp;"'!$N$4:$N$200"), 0.5),""),"")</f>
        <v/>
      </c>
      <c r="AV38" s="25" t="str">
        <f ca="1">IFERROR(IF(AND(AV$34  &gt;= 'CALLER Portal'!$AB$33, AV$34 &lt;= 'CALLER Portal'!$AB$34),_xlfn.PERCENTILE.EXC(INDIRECT("'" &amp;AV$25 &amp;"'!$N$4:$N$200"), 0.5),""),"")</f>
        <v/>
      </c>
      <c r="AW38" s="25" t="str">
        <f ca="1">IFERROR(IF(AND(AW$34  &gt;= 'CALLER Portal'!$AB$33, AW$34 &lt;= 'CALLER Portal'!$AB$34),_xlfn.PERCENTILE.EXC(INDIRECT("'" &amp;AW$25 &amp;"'!$N$4:$N$200"), 0.5),""),"")</f>
        <v/>
      </c>
      <c r="AX38" s="25" t="str">
        <f ca="1">IFERROR(IF(AND(AX$34  &gt;= 'CALLER Portal'!$AB$33, AX$34 &lt;= 'CALLER Portal'!$AB$34),_xlfn.PERCENTILE.EXC(INDIRECT("'" &amp;AX$25 &amp;"'!$N$4:$N$200"), 0.5),""),"")</f>
        <v/>
      </c>
      <c r="AY38" s="25" t="str">
        <f ca="1">IFERROR(IF(AND(AY$34  &gt;= 'CALLER Portal'!$AB$33, AY$34 &lt;= 'CALLER Portal'!$AB$34),_xlfn.PERCENTILE.EXC(INDIRECT("'" &amp;AY$25 &amp;"'!$N$4:$N$200"), 0.5),""),"")</f>
        <v/>
      </c>
      <c r="AZ38" s="25" t="str">
        <f ca="1">IFERROR(IF(AND(AZ$34  &gt;= 'CALLER Portal'!$AB$33, AZ$34 &lt;= 'CALLER Portal'!$AB$34),_xlfn.PERCENTILE.EXC(INDIRECT("'" &amp;AZ$25 &amp;"'!$N$4:$N$200"), 0.5),""),"")</f>
        <v/>
      </c>
      <c r="BA38" s="25" t="str">
        <f ca="1">IFERROR(IF(AND(BA$34  &gt;= 'CALLER Portal'!$AB$33, BA$34 &lt;= 'CALLER Portal'!$AB$34),_xlfn.PERCENTILE.EXC(INDIRECT("'" &amp;BA$25 &amp;"'!$N$4:$N$200"), 0.5),""),"")</f>
        <v/>
      </c>
    </row>
    <row r="39" spans="1:53" ht="15.75" thickBot="1" x14ac:dyDescent="0.3">
      <c r="A39" s="604"/>
      <c r="B39" s="34">
        <v>5</v>
      </c>
      <c r="C39" s="2" t="s">
        <v>112</v>
      </c>
      <c r="D39" s="13">
        <f ca="1">IFERROR(IF(AND(D$34  &gt;= 'CALLER Portal'!$AB$33, D$34 &lt;= 'CALLER Portal'!$AB$34),_xlfn.PERCENTILE.EXC(INDIRECT("'" &amp;D$25 &amp;"'!$O$4:$O$200"), 0.5),""),"")</f>
        <v>0</v>
      </c>
      <c r="E39" s="13">
        <f ca="1">IFERROR(IF(AND(E$34  &gt;= 'CALLER Portal'!$AB$33, E$34 &lt;= 'CALLER Portal'!$AB$34),_xlfn.PERCENTILE.EXC(INDIRECT("'" &amp;E$25 &amp;"'!$O$4:$O$200"), 0.5),""),"")</f>
        <v>0.15</v>
      </c>
      <c r="F39" s="13">
        <f ca="1">IFERROR(IF(AND(F$34  &gt;= 'CALLER Portal'!$AB$33, F$34 &lt;= 'CALLER Portal'!$AB$34),_xlfn.PERCENTILE.EXC(INDIRECT("'" &amp;F$25 &amp;"'!$O$4:$O$200"), 0.5),""),"")</f>
        <v>0.19500000000000001</v>
      </c>
      <c r="G39" s="13">
        <f ca="1">IFERROR(IF(AND(G$34  &gt;= 'CALLER Portal'!$AB$33, G$34 &lt;= 'CALLER Portal'!$AB$34),_xlfn.PERCENTILE.EXC(INDIRECT("'" &amp;G$25 &amp;"'!$O$4:$O$200"), 0.5),""),"")</f>
        <v>0</v>
      </c>
      <c r="H39" s="13">
        <f ca="1">IFERROR(IF(AND(H$34  &gt;= 'CALLER Portal'!$AB$33, H$34 &lt;= 'CALLER Portal'!$AB$34),_xlfn.PERCENTILE.EXC(INDIRECT("'" &amp;H$25 &amp;"'!$O$4:$O$200"), 0.5),""),"")</f>
        <v>0.12</v>
      </c>
      <c r="I39" s="13">
        <f ca="1">IFERROR(IF(AND(I$34  &gt;= 'CALLER Portal'!$AB$33, I$34 &lt;= 'CALLER Portal'!$AB$34),_xlfn.PERCENTILE.EXC(INDIRECT("'" &amp;I$25 &amp;"'!$O$4:$O$200"), 0.5),""),"")</f>
        <v>1.23</v>
      </c>
      <c r="J39" s="13">
        <f ca="1">IFERROR(IF(AND(J$34  &gt;= 'CALLER Portal'!$AB$33, J$34 &lt;= 'CALLER Portal'!$AB$34),_xlfn.PERCENTILE.EXC(INDIRECT("'" &amp;J$25 &amp;"'!$O$4:$O$200"), 0.5),""),"")</f>
        <v>1.36</v>
      </c>
      <c r="K39" s="13">
        <f ca="1">IFERROR(IF(AND(K$34  &gt;= 'CALLER Portal'!$AB$33, K$34 &lt;= 'CALLER Portal'!$AB$34),_xlfn.PERCENTILE.EXC(INDIRECT("'" &amp;K$25 &amp;"'!$O$4:$O$200"), 0.5),""),"")</f>
        <v>2.0099999999999998</v>
      </c>
      <c r="L39" s="13">
        <f ca="1">IFERROR(IF(AND(L$34  &gt;= 'CALLER Portal'!$AB$33, L$34 &lt;= 'CALLER Portal'!$AB$34),_xlfn.PERCENTILE.EXC(INDIRECT("'" &amp;L$25 &amp;"'!$O$4:$O$200"), 0.5),""),"")</f>
        <v>1.645</v>
      </c>
      <c r="M39" s="13">
        <f ca="1">IFERROR(IF(AND(M$34  &gt;= 'CALLER Portal'!$AB$33, M$34 &lt;= 'CALLER Portal'!$AB$34),_xlfn.PERCENTILE.EXC(INDIRECT("'" &amp;M$25 &amp;"'!$O$4:$O$200"), 0.5),""),"")</f>
        <v>1.04</v>
      </c>
      <c r="N39" s="13">
        <f ca="1">IFERROR(IF(AND(N$34  &gt;= 'CALLER Portal'!$AB$33, N$34 &lt;= 'CALLER Portal'!$AB$34),_xlfn.PERCENTILE.EXC(INDIRECT("'" &amp;N$25 &amp;"'!$O$4:$O$200"), 0.5),""),"")</f>
        <v>0.91</v>
      </c>
      <c r="O39" s="13">
        <f ca="1">IFERROR(IF(AND(O$34  &gt;= 'CALLER Portal'!$AB$33, O$34 &lt;= 'CALLER Portal'!$AB$34),_xlfn.PERCENTILE.EXC(INDIRECT("'" &amp;O$25 &amp;"'!$O$4:$O$200"), 0.5),""),"")</f>
        <v>0.66</v>
      </c>
      <c r="P39" s="13" t="str">
        <f ca="1">IFERROR(IF(AND(P$34  &gt;= 'CALLER Portal'!$AB$33, P$34 &lt;= 'CALLER Portal'!$AB$34),_xlfn.PERCENTILE.EXC(INDIRECT("'" &amp;P$25 &amp;"'!$O$4:$O$200"), 0.5),""),"")</f>
        <v/>
      </c>
      <c r="Q39" s="13" t="str">
        <f ca="1">IFERROR(IF(AND(Q$34  &gt;= 'CALLER Portal'!$AB$33, Q$34 &lt;= 'CALLER Portal'!$AB$34),_xlfn.PERCENTILE.EXC(INDIRECT("'" &amp;Q$25 &amp;"'!$O$4:$O$200"), 0.5),""),"")</f>
        <v/>
      </c>
      <c r="R39" s="13" t="str">
        <f ca="1">IFERROR(IF(AND(R$34  &gt;= 'CALLER Portal'!$AB$33, R$34 &lt;= 'CALLER Portal'!$AB$34),_xlfn.PERCENTILE.EXC(INDIRECT("'" &amp;R$25 &amp;"'!$O$4:$O$200"), 0.5),""),"")</f>
        <v/>
      </c>
      <c r="S39" s="13" t="str">
        <f ca="1">IFERROR(IF(AND(S$34  &gt;= 'CALLER Portal'!$AB$33, S$34 &lt;= 'CALLER Portal'!$AB$34),_xlfn.PERCENTILE.EXC(INDIRECT("'" &amp;S$25 &amp;"'!$O$4:$O$200"), 0.5),""),"")</f>
        <v/>
      </c>
      <c r="T39" s="13" t="str">
        <f ca="1">IFERROR(IF(AND(T$34  &gt;= 'CALLER Portal'!$AB$33, T$34 &lt;= 'CALLER Portal'!$AB$34),_xlfn.PERCENTILE.EXC(INDIRECT("'" &amp;T$25 &amp;"'!$O$4:$O$200"), 0.5),""),"")</f>
        <v/>
      </c>
      <c r="U39" s="13" t="str">
        <f ca="1">IFERROR(IF(AND(U$34  &gt;= 'CALLER Portal'!$AB$33, U$34 &lt;= 'CALLER Portal'!$AB$34),_xlfn.PERCENTILE.EXC(INDIRECT("'" &amp;U$25 &amp;"'!$O$4:$O$200"), 0.5),""),"")</f>
        <v/>
      </c>
      <c r="V39" s="13" t="str">
        <f ca="1">IFERROR(IF(AND(V$34  &gt;= 'CALLER Portal'!$AB$33, V$34 &lt;= 'CALLER Portal'!$AB$34),_xlfn.PERCENTILE.EXC(INDIRECT("'" &amp;V$25 &amp;"'!$O$4:$O$200"), 0.5),""),"")</f>
        <v/>
      </c>
      <c r="W39" s="13" t="str">
        <f ca="1">IFERROR(IF(AND(W$34  &gt;= 'CALLER Portal'!$AB$33, W$34 &lt;= 'CALLER Portal'!$AB$34),_xlfn.PERCENTILE.EXC(INDIRECT("'" &amp;W$25 &amp;"'!$O$4:$O$200"), 0.5),""),"")</f>
        <v/>
      </c>
      <c r="X39" s="13" t="str">
        <f ca="1">IFERROR(IF(AND(X$34  &gt;= 'CALLER Portal'!$AB$33, X$34 &lt;= 'CALLER Portal'!$AB$34),_xlfn.PERCENTILE.EXC(INDIRECT("'" &amp;X$25 &amp;"'!$O$4:$O$200"), 0.5),""),"")</f>
        <v/>
      </c>
      <c r="Y39" s="13" t="str">
        <f ca="1">IFERROR(IF(AND(Y$34  &gt;= 'CALLER Portal'!$AB$33, Y$34 &lt;= 'CALLER Portal'!$AB$34),_xlfn.PERCENTILE.EXC(INDIRECT("'" &amp;Y$25 &amp;"'!$O$4:$O$200"), 0.5),""),"")</f>
        <v/>
      </c>
      <c r="Z39" s="13" t="str">
        <f ca="1">IFERROR(IF(AND(Z$34  &gt;= 'CALLER Portal'!$AB$33, Z$34 &lt;= 'CALLER Portal'!$AB$34),_xlfn.PERCENTILE.EXC(INDIRECT("'" &amp;Z$25 &amp;"'!$O$4:$O$200"), 0.5),""),"")</f>
        <v/>
      </c>
      <c r="AA39" s="13" t="str">
        <f ca="1">IFERROR(IF(AND(AA$34  &gt;= 'CALLER Portal'!$AB$33, AA$34 &lt;= 'CALLER Portal'!$AB$34),_xlfn.PERCENTILE.EXC(INDIRECT("'" &amp;AA$25 &amp;"'!$O$4:$O$200"), 0.5),""),"")</f>
        <v/>
      </c>
      <c r="AB39" s="13" t="str">
        <f ca="1">IFERROR(IF(AND(AB$34  &gt;= 'CALLER Portal'!$AB$33, AB$34 &lt;= 'CALLER Portal'!$AB$34),_xlfn.PERCENTILE.EXC(INDIRECT("'" &amp;AB$25 &amp;"'!$O$4:$O$200"), 0.5),""),"")</f>
        <v/>
      </c>
      <c r="AC39" s="13" t="str">
        <f ca="1">IFERROR(IF(AND(AC$34  &gt;= 'CALLER Portal'!$AB$33, AC$34 &lt;= 'CALLER Portal'!$AB$34),_xlfn.PERCENTILE.EXC(INDIRECT("'" &amp;AC$25 &amp;"'!$O$4:$O$200"), 0.5),""),"")</f>
        <v/>
      </c>
      <c r="AD39" s="13" t="str">
        <f ca="1">IFERROR(IF(AND(AD$34  &gt;= 'CALLER Portal'!$AB$33, AD$34 &lt;= 'CALLER Portal'!$AB$34),_xlfn.PERCENTILE.EXC(INDIRECT("'" &amp;AD$25 &amp;"'!$O$4:$O$200"), 0.5),""),"")</f>
        <v/>
      </c>
      <c r="AE39" s="13" t="str">
        <f ca="1">IFERROR(IF(AND(AE$34  &gt;= 'CALLER Portal'!$AB$33, AE$34 &lt;= 'CALLER Portal'!$AB$34),_xlfn.PERCENTILE.EXC(INDIRECT("'" &amp;AE$25 &amp;"'!$O$4:$O$200"), 0.5),""),"")</f>
        <v/>
      </c>
      <c r="AF39" s="13" t="str">
        <f ca="1">IFERROR(IF(AND(AF$34  &gt;= 'CALLER Portal'!$AB$33, AF$34 &lt;= 'CALLER Portal'!$AB$34),_xlfn.PERCENTILE.EXC(INDIRECT("'" &amp;AF$25 &amp;"'!$O$4:$O$200"), 0.5),""),"")</f>
        <v/>
      </c>
      <c r="AG39" s="13" t="str">
        <f ca="1">IFERROR(IF(AND(AG$34  &gt;= 'CALLER Portal'!$AB$33, AG$34 &lt;= 'CALLER Portal'!$AB$34),_xlfn.PERCENTILE.EXC(INDIRECT("'" &amp;AG$25 &amp;"'!$O$4:$O$200"), 0.5),""),"")</f>
        <v/>
      </c>
      <c r="AH39" s="13" t="str">
        <f ca="1">IFERROR(IF(AND(AH$34  &gt;= 'CALLER Portal'!$AB$33, AH$34 &lt;= 'CALLER Portal'!$AB$34),_xlfn.PERCENTILE.EXC(INDIRECT("'" &amp;AH$25 &amp;"'!$O$4:$O$200"), 0.5),""),"")</f>
        <v/>
      </c>
      <c r="AI39" s="13" t="str">
        <f ca="1">IFERROR(IF(AND(AI$34  &gt;= 'CALLER Portal'!$AB$33, AI$34 &lt;= 'CALLER Portal'!$AB$34),_xlfn.PERCENTILE.EXC(INDIRECT("'" &amp;AI$25 &amp;"'!$O$4:$O$200"), 0.5),""),"")</f>
        <v/>
      </c>
      <c r="AJ39" s="13" t="str">
        <f ca="1">IFERROR(IF(AND(AJ$34  &gt;= 'CALLER Portal'!$AB$33, AJ$34 &lt;= 'CALLER Portal'!$AB$34),_xlfn.PERCENTILE.EXC(INDIRECT("'" &amp;AJ$25 &amp;"'!$O$4:$O$200"), 0.5),""),"")</f>
        <v/>
      </c>
      <c r="AK39" s="13" t="str">
        <f ca="1">IFERROR(IF(AND(AK$34  &gt;= 'CALLER Portal'!$AB$33, AK$34 &lt;= 'CALLER Portal'!$AB$34),_xlfn.PERCENTILE.EXC(INDIRECT("'" &amp;AK$25 &amp;"'!$O$4:$O$200"), 0.5),""),"")</f>
        <v/>
      </c>
      <c r="AL39" s="13" t="str">
        <f ca="1">IFERROR(IF(AND(AL$34  &gt;= 'CALLER Portal'!$AB$33, AL$34 &lt;= 'CALLER Portal'!$AB$34),_xlfn.PERCENTILE.EXC(INDIRECT("'" &amp;AL$25 &amp;"'!$O$4:$O$200"), 0.5),""),"")</f>
        <v/>
      </c>
      <c r="AM39" s="13" t="str">
        <f ca="1">IFERROR(IF(AND(AM$34  &gt;= 'CALLER Portal'!$AB$33, AM$34 &lt;= 'CALLER Portal'!$AB$34),_xlfn.PERCENTILE.EXC(INDIRECT("'" &amp;AM$25 &amp;"'!$O$4:$O$200"), 0.5),""),"")</f>
        <v/>
      </c>
      <c r="AN39" s="13" t="str">
        <f ca="1">IFERROR(IF(AND(AN$34  &gt;= 'CALLER Portal'!$AB$33, AN$34 &lt;= 'CALLER Portal'!$AB$34),_xlfn.PERCENTILE.EXC(INDIRECT("'" &amp;AN$25 &amp;"'!$O$4:$O$200"), 0.5),""),"")</f>
        <v/>
      </c>
      <c r="AO39" s="13" t="str">
        <f ca="1">IFERROR(IF(AND(AO$34  &gt;= 'CALLER Portal'!$AB$33, AO$34 &lt;= 'CALLER Portal'!$AB$34),_xlfn.PERCENTILE.EXC(INDIRECT("'" &amp;AO$25 &amp;"'!$O$4:$O$200"), 0.5),""),"")</f>
        <v/>
      </c>
      <c r="AP39" s="13" t="str">
        <f ca="1">IFERROR(IF(AND(AP$34  &gt;= 'CALLER Portal'!$AB$33, AP$34 &lt;= 'CALLER Portal'!$AB$34),_xlfn.PERCENTILE.EXC(INDIRECT("'" &amp;AP$25 &amp;"'!$O$4:$O$200"), 0.5),""),"")</f>
        <v/>
      </c>
      <c r="AQ39" s="13" t="str">
        <f ca="1">IFERROR(IF(AND(AQ$34  &gt;= 'CALLER Portal'!$AB$33, AQ$34 &lt;= 'CALLER Portal'!$AB$34),_xlfn.PERCENTILE.EXC(INDIRECT("'" &amp;AQ$25 &amp;"'!$O$4:$O$200"), 0.5),""),"")</f>
        <v/>
      </c>
      <c r="AR39" s="13" t="str">
        <f ca="1">IFERROR(IF(AND(AR$34  &gt;= 'CALLER Portal'!$AB$33, AR$34 &lt;= 'CALLER Portal'!$AB$34),_xlfn.PERCENTILE.EXC(INDIRECT("'" &amp;AR$25 &amp;"'!$O$4:$O$200"), 0.5),""),"")</f>
        <v/>
      </c>
      <c r="AS39" s="13" t="str">
        <f ca="1">IFERROR(IF(AND(AS$34  &gt;= 'CALLER Portal'!$AB$33, AS$34 &lt;= 'CALLER Portal'!$AB$34),_xlfn.PERCENTILE.EXC(INDIRECT("'" &amp;AS$25 &amp;"'!$O$4:$O$200"), 0.5),""),"")</f>
        <v/>
      </c>
      <c r="AT39" s="13" t="str">
        <f ca="1">IFERROR(IF(AND(AT$34  &gt;= 'CALLER Portal'!$AB$33, AT$34 &lt;= 'CALLER Portal'!$AB$34),_xlfn.PERCENTILE.EXC(INDIRECT("'" &amp;AT$25 &amp;"'!$O$4:$O$200"), 0.5),""),"")</f>
        <v/>
      </c>
      <c r="AU39" s="13" t="str">
        <f ca="1">IFERROR(IF(AND(AU$34  &gt;= 'CALLER Portal'!$AB$33, AU$34 &lt;= 'CALLER Portal'!$AB$34),_xlfn.PERCENTILE.EXC(INDIRECT("'" &amp;AU$25 &amp;"'!$O$4:$O$200"), 0.5),""),"")</f>
        <v/>
      </c>
      <c r="AV39" s="13" t="str">
        <f ca="1">IFERROR(IF(AND(AV$34  &gt;= 'CALLER Portal'!$AB$33, AV$34 &lt;= 'CALLER Portal'!$AB$34),_xlfn.PERCENTILE.EXC(INDIRECT("'" &amp;AV$25 &amp;"'!$O$4:$O$200"), 0.5),""),"")</f>
        <v/>
      </c>
      <c r="AW39" s="13" t="str">
        <f ca="1">IFERROR(IF(AND(AW$34  &gt;= 'CALLER Portal'!$AB$33, AW$34 &lt;= 'CALLER Portal'!$AB$34),_xlfn.PERCENTILE.EXC(INDIRECT("'" &amp;AW$25 &amp;"'!$O$4:$O$200"), 0.5),""),"")</f>
        <v/>
      </c>
      <c r="AX39" s="13" t="str">
        <f ca="1">IFERROR(IF(AND(AX$34  &gt;= 'CALLER Portal'!$AB$33, AX$34 &lt;= 'CALLER Portal'!$AB$34),_xlfn.PERCENTILE.EXC(INDIRECT("'" &amp;AX$25 &amp;"'!$O$4:$O$200"), 0.5),""),"")</f>
        <v/>
      </c>
      <c r="AY39" s="13" t="str">
        <f ca="1">IFERROR(IF(AND(AY$34  &gt;= 'CALLER Portal'!$AB$33, AY$34 &lt;= 'CALLER Portal'!$AB$34),_xlfn.PERCENTILE.EXC(INDIRECT("'" &amp;AY$25 &amp;"'!$O$4:$O$200"), 0.5),""),"")</f>
        <v/>
      </c>
      <c r="AZ39" s="13" t="str">
        <f ca="1">IFERROR(IF(AND(AZ$34  &gt;= 'CALLER Portal'!$AB$33, AZ$34 &lt;= 'CALLER Portal'!$AB$34),_xlfn.PERCENTILE.EXC(INDIRECT("'" &amp;AZ$25 &amp;"'!$O$4:$O$200"), 0.5),""),"")</f>
        <v/>
      </c>
      <c r="BA39" s="13" t="str">
        <f ca="1">IFERROR(IF(AND(BA$34  &gt;= 'CALLER Portal'!$AB$33, BA$34 &lt;= 'CALLER Portal'!$AB$34),_xlfn.PERCENTILE.EXC(INDIRECT("'" &amp;BA$25 &amp;"'!$O$4:$O$200"), 0.5),""),"")</f>
        <v/>
      </c>
    </row>
    <row r="40" spans="1:53" ht="15.75" thickBot="1" x14ac:dyDescent="0.3">
      <c r="A40" s="604"/>
      <c r="B40" s="34">
        <v>6</v>
      </c>
      <c r="C40" s="14" t="s">
        <v>111</v>
      </c>
      <c r="D40" s="61">
        <f ca="1">IFERROR(IF(AND(D$34  &gt;= 'CALLER Portal'!$AB$33, D$34 &lt;= 'CALLER Portal'!$AB$34),VLOOKUP($C$32,INDIRECT("'" &amp;D$25 &amp;"'!$B$4:$P$200"),15,),""),"")</f>
        <v>0.01</v>
      </c>
      <c r="E40" s="61">
        <f ca="1">IFERROR(IF(AND(E$34  &gt;= 'CALLER Portal'!$AB$33, E$34 &lt;= 'CALLER Portal'!$AB$34),VLOOKUP($C$32,INDIRECT("'" &amp;E$25 &amp;"'!$B$4:$P$200"),15,),""),"")</f>
        <v>0.04</v>
      </c>
      <c r="F40" s="61">
        <f ca="1">IFERROR(IF(AND(F$34  &gt;= 'CALLER Portal'!$AB$33, F$34 &lt;= 'CALLER Portal'!$AB$34),VLOOKUP($C$32,INDIRECT("'" &amp;F$25 &amp;"'!$B$4:$P$200"),15,),""),"")</f>
        <v>0.04</v>
      </c>
      <c r="G40" s="61">
        <f ca="1">IFERROR(IF(AND(G$34  &gt;= 'CALLER Portal'!$AB$33, G$34 &lt;= 'CALLER Portal'!$AB$34),VLOOKUP($C$32,INDIRECT("'" &amp;G$25 &amp;"'!$B$4:$P$200"),15,),""),"")</f>
        <v>0</v>
      </c>
      <c r="H40" s="61">
        <f ca="1">IFERROR(IF(AND(H$34  &gt;= 'CALLER Portal'!$AB$33, H$34 &lt;= 'CALLER Portal'!$AB$34),VLOOKUP($C$32,INDIRECT("'" &amp;H$25 &amp;"'!$B$4:$P$200"),15,),""),"")</f>
        <v>0.02</v>
      </c>
      <c r="I40" s="61">
        <f ca="1">IFERROR(IF(AND(I$34  &gt;= 'CALLER Portal'!$AB$33, I$34 &lt;= 'CALLER Portal'!$AB$34),VLOOKUP($C$32,INDIRECT("'" &amp;I$25 &amp;"'!$B$4:$P$200"),15,),""),"")</f>
        <v>0.2</v>
      </c>
      <c r="J40" s="61">
        <f ca="1">IFERROR(IF(AND(J$34  &gt;= 'CALLER Portal'!$AB$33, J$34 &lt;= 'CALLER Portal'!$AB$34),VLOOKUP($C$32,INDIRECT("'" &amp;J$25 &amp;"'!$B$4:$P$200"),15,),""),"")</f>
        <v>0.24</v>
      </c>
      <c r="K40" s="61">
        <f ca="1">IFERROR(IF(AND(K$34  &gt;= 'CALLER Portal'!$AB$33, K$34 &lt;= 'CALLER Portal'!$AB$34),VLOOKUP($C$32,INDIRECT("'" &amp;K$25 &amp;"'!$B$4:$P$200"),15,),""),"")</f>
        <v>0.26</v>
      </c>
      <c r="L40" s="61">
        <f ca="1">IFERROR(IF(AND(L$34  &gt;= 'CALLER Portal'!$AB$33, L$34 &lt;= 'CALLER Portal'!$AB$34),VLOOKUP($C$32,INDIRECT("'" &amp;L$25 &amp;"'!$B$4:$P$200"),15,),""),"")</f>
        <v>0.22</v>
      </c>
      <c r="M40" s="61">
        <f ca="1">IFERROR(IF(AND(M$34  &gt;= 'CALLER Portal'!$AB$33, M$34 &lt;= 'CALLER Portal'!$AB$34),VLOOKUP($C$32,INDIRECT("'" &amp;M$25 &amp;"'!$B$4:$P$200"),15,),""),"")</f>
        <v>0.08</v>
      </c>
      <c r="N40" s="61">
        <f ca="1">IFERROR(IF(AND(N$34  &gt;= 'CALLER Portal'!$AB$33, N$34 &lt;= 'CALLER Portal'!$AB$34),VLOOKUP($C$32,INDIRECT("'" &amp;N$25 &amp;"'!$B$4:$P$200"),15,),""),"")</f>
        <v>0.01</v>
      </c>
      <c r="O40" s="61">
        <f ca="1">IFERROR(IF(AND(O$34  &gt;= 'CALLER Portal'!$AB$33, O$34 &lt;= 'CALLER Portal'!$AB$34),VLOOKUP($C$32,INDIRECT("'" &amp;O$25 &amp;"'!$B$4:$P$200"),15,),""),"")</f>
        <v>0.1</v>
      </c>
      <c r="P40" s="61" t="str">
        <f ca="1">IFERROR(IF(AND(P$34  &gt;= 'CALLER Portal'!$AB$33, P$34 &lt;= 'CALLER Portal'!$AB$34),VLOOKUP($C$32,INDIRECT("'" &amp;P$25 &amp;"'!$B$4:$P$200"),15,),""),"")</f>
        <v/>
      </c>
      <c r="Q40" s="61" t="str">
        <f ca="1">IFERROR(IF(AND(Q$34  &gt;= 'CALLER Portal'!$AB$33, Q$34 &lt;= 'CALLER Portal'!$AB$34),VLOOKUP($C$32,INDIRECT("'" &amp;Q$25 &amp;"'!$B$4:$P$200"),15,),""),"")</f>
        <v/>
      </c>
      <c r="R40" s="61" t="str">
        <f ca="1">IFERROR(IF(AND(R$34  &gt;= 'CALLER Portal'!$AB$33, R$34 &lt;= 'CALLER Portal'!$AB$34),VLOOKUP($C$32,INDIRECT("'" &amp;R$25 &amp;"'!$B$4:$P$200"),15,),""),"")</f>
        <v/>
      </c>
      <c r="S40" s="61" t="str">
        <f ca="1">IFERROR(IF(AND(S$34  &gt;= 'CALLER Portal'!$AB$33, S$34 &lt;= 'CALLER Portal'!$AB$34),VLOOKUP($C$32,INDIRECT("'" &amp;S$25 &amp;"'!$B$4:$P$200"),15,),""),"")</f>
        <v/>
      </c>
      <c r="T40" s="61" t="str">
        <f ca="1">IFERROR(IF(AND(T$34  &gt;= 'CALLER Portal'!$AB$33, T$34 &lt;= 'CALLER Portal'!$AB$34),VLOOKUP($C$32,INDIRECT("'" &amp;T$25 &amp;"'!$B$4:$P$200"),15,),""),"")</f>
        <v/>
      </c>
      <c r="U40" s="61" t="str">
        <f ca="1">IFERROR(IF(AND(U$34  &gt;= 'CALLER Portal'!$AB$33, U$34 &lt;= 'CALLER Portal'!$AB$34),VLOOKUP($C$32,INDIRECT("'" &amp;U$25 &amp;"'!$B$4:$P$200"),15,),""),"")</f>
        <v/>
      </c>
      <c r="V40" s="61" t="str">
        <f ca="1">IFERROR(IF(AND(V$34  &gt;= 'CALLER Portal'!$AB$33, V$34 &lt;= 'CALLER Portal'!$AB$34),VLOOKUP($C$32,INDIRECT("'" &amp;V$25 &amp;"'!$B$4:$P$200"),15,),""),"")</f>
        <v/>
      </c>
      <c r="W40" s="61" t="str">
        <f ca="1">IFERROR(IF(AND(W$34  &gt;= 'CALLER Portal'!$AB$33, W$34 &lt;= 'CALLER Portal'!$AB$34),VLOOKUP($C$32,INDIRECT("'" &amp;W$25 &amp;"'!$B$4:$P$200"),15,),""),"")</f>
        <v/>
      </c>
      <c r="X40" s="61" t="str">
        <f ca="1">IFERROR(IF(AND(X$34  &gt;= 'CALLER Portal'!$AB$33, X$34 &lt;= 'CALLER Portal'!$AB$34),VLOOKUP($C$32,INDIRECT("'" &amp;X$25 &amp;"'!$B$4:$P$200"),15,),""),"")</f>
        <v/>
      </c>
      <c r="Y40" s="61" t="str">
        <f ca="1">IFERROR(IF(AND(Y$34  &gt;= 'CALLER Portal'!$AB$33, Y$34 &lt;= 'CALLER Portal'!$AB$34),VLOOKUP($C$32,INDIRECT("'" &amp;Y$25 &amp;"'!$B$4:$P$200"),15,),""),"")</f>
        <v/>
      </c>
      <c r="Z40" s="61" t="str">
        <f ca="1">IFERROR(IF(AND(Z$34  &gt;= 'CALLER Portal'!$AB$33, Z$34 &lt;= 'CALLER Portal'!$AB$34),VLOOKUP($C$32,INDIRECT("'" &amp;Z$25 &amp;"'!$B$4:$P$200"),15,),""),"")</f>
        <v/>
      </c>
      <c r="AA40" s="61" t="str">
        <f ca="1">IFERROR(IF(AND(AA$34  &gt;= 'CALLER Portal'!$AB$33, AA$34 &lt;= 'CALLER Portal'!$AB$34),VLOOKUP($C$32,INDIRECT("'" &amp;AA$25 &amp;"'!$B$4:$P$200"),15,),""),"")</f>
        <v/>
      </c>
      <c r="AB40" s="61" t="str">
        <f ca="1">IFERROR(IF(AND(AB$34  &gt;= 'CALLER Portal'!$AB$33, AB$34 &lt;= 'CALLER Portal'!$AB$34),VLOOKUP($C$32,INDIRECT("'" &amp;AB$25 &amp;"'!$B$4:$P$200"),15,),""),"")</f>
        <v/>
      </c>
      <c r="AC40" s="61" t="str">
        <f ca="1">IFERROR(IF(AND(AC$34  &gt;= 'CALLER Portal'!$AB$33, AC$34 &lt;= 'CALLER Portal'!$AB$34),VLOOKUP($C$32,INDIRECT("'" &amp;AC$25 &amp;"'!$B$4:$P$200"),15,),""),"")</f>
        <v/>
      </c>
      <c r="AD40" s="61" t="str">
        <f ca="1">IFERROR(IF(AND(AD$34  &gt;= 'CALLER Portal'!$AB$33, AD$34 &lt;= 'CALLER Portal'!$AB$34),VLOOKUP($C$32,INDIRECT("'" &amp;AD$25 &amp;"'!$B$4:$P$200"),15,),""),"")</f>
        <v/>
      </c>
      <c r="AE40" s="61" t="str">
        <f ca="1">IFERROR(IF(AND(AE$34  &gt;= 'CALLER Portal'!$AB$33, AE$34 &lt;= 'CALLER Portal'!$AB$34),VLOOKUP($C$32,INDIRECT("'" &amp;AE$25 &amp;"'!$B$4:$P$200"),15,),""),"")</f>
        <v/>
      </c>
      <c r="AF40" s="61" t="str">
        <f ca="1">IFERROR(IF(AND(AF$34  &gt;= 'CALLER Portal'!$AB$33, AF$34 &lt;= 'CALLER Portal'!$AB$34),VLOOKUP($C$32,INDIRECT("'" &amp;AF$25 &amp;"'!$B$4:$P$200"),15,),""),"")</f>
        <v/>
      </c>
      <c r="AG40" s="61" t="str">
        <f ca="1">IFERROR(IF(AND(AG$34  &gt;= 'CALLER Portal'!$AB$33, AG$34 &lt;= 'CALLER Portal'!$AB$34),VLOOKUP($C$32,INDIRECT("'" &amp;AG$25 &amp;"'!$B$4:$P$200"),15,),""),"")</f>
        <v/>
      </c>
      <c r="AH40" s="61" t="str">
        <f ca="1">IFERROR(IF(AND(AH$34  &gt;= 'CALLER Portal'!$AB$33, AH$34 &lt;= 'CALLER Portal'!$AB$34),VLOOKUP($C$32,INDIRECT("'" &amp;AH$25 &amp;"'!$B$4:$P$200"),15,),""),"")</f>
        <v/>
      </c>
      <c r="AI40" s="61" t="str">
        <f ca="1">IFERROR(IF(AND(AI$34  &gt;= 'CALLER Portal'!$AB$33, AI$34 &lt;= 'CALLER Portal'!$AB$34),VLOOKUP($C$32,INDIRECT("'" &amp;AI$25 &amp;"'!$B$4:$P$200"),15,),""),"")</f>
        <v/>
      </c>
      <c r="AJ40" s="61" t="str">
        <f ca="1">IFERROR(IF(AND(AJ$34  &gt;= 'CALLER Portal'!$AB$33, AJ$34 &lt;= 'CALLER Portal'!$AB$34),VLOOKUP($C$32,INDIRECT("'" &amp;AJ$25 &amp;"'!$B$4:$P$200"),15,),""),"")</f>
        <v/>
      </c>
      <c r="AK40" s="61" t="str">
        <f ca="1">IFERROR(IF(AND(AK$34  &gt;= 'CALLER Portal'!$AB$33, AK$34 &lt;= 'CALLER Portal'!$AB$34),VLOOKUP($C$32,INDIRECT("'" &amp;AK$25 &amp;"'!$B$4:$P$200"),15,),""),"")</f>
        <v/>
      </c>
      <c r="AL40" s="61" t="str">
        <f ca="1">IFERROR(IF(AND(AL$34  &gt;= 'CALLER Portal'!$AB$33, AL$34 &lt;= 'CALLER Portal'!$AB$34),VLOOKUP($C$32,INDIRECT("'" &amp;AL$25 &amp;"'!$B$4:$P$200"),15,),""),"")</f>
        <v/>
      </c>
      <c r="AM40" s="61" t="str">
        <f ca="1">IFERROR(IF(AND(AM$34  &gt;= 'CALLER Portal'!$AB$33, AM$34 &lt;= 'CALLER Portal'!$AB$34),VLOOKUP($C$32,INDIRECT("'" &amp;AM$25 &amp;"'!$B$4:$P$200"),15,),""),"")</f>
        <v/>
      </c>
      <c r="AN40" s="61" t="str">
        <f ca="1">IFERROR(IF(AND(AN$34  &gt;= 'CALLER Portal'!$AB$33, AN$34 &lt;= 'CALLER Portal'!$AB$34),VLOOKUP($C$32,INDIRECT("'" &amp;AN$25 &amp;"'!$B$4:$P$200"),15,),""),"")</f>
        <v/>
      </c>
      <c r="AO40" s="61" t="str">
        <f ca="1">IFERROR(IF(AND(AO$34  &gt;= 'CALLER Portal'!$AB$33, AO$34 &lt;= 'CALLER Portal'!$AB$34),VLOOKUP($C$32,INDIRECT("'" &amp;AO$25 &amp;"'!$B$4:$P$200"),15,),""),"")</f>
        <v/>
      </c>
      <c r="AP40" s="61" t="str">
        <f ca="1">IFERROR(IF(AND(AP$34  &gt;= 'CALLER Portal'!$AB$33, AP$34 &lt;= 'CALLER Portal'!$AB$34),VLOOKUP($C$32,INDIRECT("'" &amp;AP$25 &amp;"'!$B$4:$P$200"),15,),""),"")</f>
        <v/>
      </c>
      <c r="AQ40" s="61" t="str">
        <f ca="1">IFERROR(IF(AND(AQ$34  &gt;= 'CALLER Portal'!$AB$33, AQ$34 &lt;= 'CALLER Portal'!$AB$34),VLOOKUP($C$32,INDIRECT("'" &amp;AQ$25 &amp;"'!$B$4:$P$200"),15,),""),"")</f>
        <v/>
      </c>
      <c r="AR40" s="61" t="str">
        <f ca="1">IFERROR(IF(AND(AR$34  &gt;= 'CALLER Portal'!$AB$33, AR$34 &lt;= 'CALLER Portal'!$AB$34),VLOOKUP($C$32,INDIRECT("'" &amp;AR$25 &amp;"'!$B$4:$P$200"),15,),""),"")</f>
        <v/>
      </c>
      <c r="AS40" s="61" t="str">
        <f ca="1">IFERROR(IF(AND(AS$34  &gt;= 'CALLER Portal'!$AB$33, AS$34 &lt;= 'CALLER Portal'!$AB$34),VLOOKUP($C$32,INDIRECT("'" &amp;AS$25 &amp;"'!$B$4:$P$200"),15,),""),"")</f>
        <v/>
      </c>
      <c r="AT40" s="61" t="str">
        <f ca="1">IFERROR(IF(AND(AT$34  &gt;= 'CALLER Portal'!$AB$33, AT$34 &lt;= 'CALLER Portal'!$AB$34),VLOOKUP($C$32,INDIRECT("'" &amp;AT$25 &amp;"'!$B$4:$P$200"),15,),""),"")</f>
        <v/>
      </c>
      <c r="AU40" s="61" t="str">
        <f ca="1">IFERROR(IF(AND(AU$34  &gt;= 'CALLER Portal'!$AB$33, AU$34 &lt;= 'CALLER Portal'!$AB$34),VLOOKUP($C$32,INDIRECT("'" &amp;AU$25 &amp;"'!$B$4:$P$200"),15,),""),"")</f>
        <v/>
      </c>
      <c r="AV40" s="61" t="str">
        <f ca="1">IFERROR(IF(AND(AV$34  &gt;= 'CALLER Portal'!$AB$33, AV$34 &lt;= 'CALLER Portal'!$AB$34),VLOOKUP($C$32,INDIRECT("'" &amp;AV$25 &amp;"'!$B$4:$P$200"),15,),""),"")</f>
        <v/>
      </c>
      <c r="AW40" s="61" t="str">
        <f ca="1">IFERROR(IF(AND(AW$34  &gt;= 'CALLER Portal'!$AB$33, AW$34 &lt;= 'CALLER Portal'!$AB$34),VLOOKUP($C$32,INDIRECT("'" &amp;AW$25 &amp;"'!$B$4:$P$200"),15,),""),"")</f>
        <v/>
      </c>
      <c r="AX40" s="61" t="str">
        <f ca="1">IFERROR(IF(AND(AX$34  &gt;= 'CALLER Portal'!$AB$33, AX$34 &lt;= 'CALLER Portal'!$AB$34),VLOOKUP($C$32,INDIRECT("'" &amp;AX$25 &amp;"'!$B$4:$P$200"),15,),""),"")</f>
        <v/>
      </c>
      <c r="AY40" s="61" t="str">
        <f ca="1">IFERROR(IF(AND(AY$34  &gt;= 'CALLER Portal'!$AB$33, AY$34 &lt;= 'CALLER Portal'!$AB$34),VLOOKUP($C$32,INDIRECT("'" &amp;AY$25 &amp;"'!$B$4:$P$200"),15,),""),"")</f>
        <v/>
      </c>
      <c r="AZ40" s="61" t="str">
        <f ca="1">IFERROR(IF(AND(AZ$34  &gt;= 'CALLER Portal'!$AB$33, AZ$34 &lt;= 'CALLER Portal'!$AB$34),VLOOKUP($C$32,INDIRECT("'" &amp;AZ$25 &amp;"'!$B$4:$P$200"),15,),""),"")</f>
        <v/>
      </c>
      <c r="BA40" s="61" t="str">
        <f ca="1">IFERROR(IF(AND(BA$34  &gt;= 'CALLER Portal'!$AB$33, BA$34 &lt;= 'CALLER Portal'!$AB$34),VLOOKUP($C$32,INDIRECT("'" &amp;BA$25 &amp;"'!$B$4:$P$200"),15,),""),"")</f>
        <v/>
      </c>
    </row>
    <row r="41" spans="1:53" s="22" customFormat="1" ht="15.75" thickBot="1" x14ac:dyDescent="0.3">
      <c r="A41" s="604"/>
      <c r="B41" s="34">
        <v>7</v>
      </c>
      <c r="C41" s="39" t="s">
        <v>107</v>
      </c>
      <c r="D41" s="13">
        <f ca="1">IFERROR(IF(AND(D$34  &gt;= 'CALLER Portal'!$AB$33, D$34 &lt;= 'CALLER Portal'!$AB$34),_xlfn.PERCENTILE.EXC(INDIRECT("'" &amp;D$25 &amp;"'!$Q$4:$Q$200"),0.5),""),"")</f>
        <v>0.17</v>
      </c>
      <c r="E41" s="13">
        <f ca="1">IFERROR(IF(AND(E$34  &gt;= 'CALLER Portal'!$AB$33, E$34 &lt;= 'CALLER Portal'!$AB$34),_xlfn.PERCENTILE.EXC(INDIRECT("'" &amp;E$25 &amp;"'!$Q$4:$Q$200"),0.5),""),"")</f>
        <v>0.40500000000000003</v>
      </c>
      <c r="F41" s="13">
        <f ca="1">IFERROR(IF(AND(F$34  &gt;= 'CALLER Portal'!$AB$33, F$34 &lt;= 'CALLER Portal'!$AB$34),_xlfn.PERCENTILE.EXC(INDIRECT("'" &amp;F$25 &amp;"'!$Q$4:$Q$200"),0.5),""),"")</f>
        <v>0.4</v>
      </c>
      <c r="G41" s="13">
        <f ca="1">IFERROR(IF(AND(G$34  &gt;= 'CALLER Portal'!$AB$33, G$34 &lt;= 'CALLER Portal'!$AB$34),_xlfn.PERCENTILE.EXC(INDIRECT("'" &amp;G$25 &amp;"'!$Q$4:$Q$200"),0.5),""),"")</f>
        <v>0.125</v>
      </c>
      <c r="H41" s="13">
        <f ca="1">IFERROR(IF(AND(H$34  &gt;= 'CALLER Portal'!$AB$33, H$34 &lt;= 'CALLER Portal'!$AB$34),_xlfn.PERCENTILE.EXC(INDIRECT("'" &amp;H$25 &amp;"'!$Q$4:$Q$200"),0.5),""),"")</f>
        <v>0.39500000000000002</v>
      </c>
      <c r="I41" s="13">
        <f ca="1">IFERROR(IF(AND(I$34  &gt;= 'CALLER Portal'!$AB$33, I$34 &lt;= 'CALLER Portal'!$AB$34),_xlfn.PERCENTILE.EXC(INDIRECT("'" &amp;I$25 &amp;"'!$Q$4:$Q$200"),0.5),""),"")</f>
        <v>0.44</v>
      </c>
      <c r="J41" s="13">
        <f ca="1">IFERROR(IF(AND(J$34  &gt;= 'CALLER Portal'!$AB$33, J$34 &lt;= 'CALLER Portal'!$AB$34),_xlfn.PERCENTILE.EXC(INDIRECT("'" &amp;J$25 &amp;"'!$Q$4:$Q$200"),0.5),""),"")</f>
        <v>0.505</v>
      </c>
      <c r="K41" s="13">
        <f ca="1">IFERROR(IF(AND(K$34  &gt;= 'CALLER Portal'!$AB$33, K$34 &lt;= 'CALLER Portal'!$AB$34),_xlfn.PERCENTILE.EXC(INDIRECT("'" &amp;K$25 &amp;"'!$Q$4:$Q$200"),0.5),""),"")</f>
        <v>0.495</v>
      </c>
      <c r="L41" s="13">
        <f ca="1">IFERROR(IF(AND(L$34  &gt;= 'CALLER Portal'!$AB$33, L$34 &lt;= 'CALLER Portal'!$AB$34),_xlfn.PERCENTILE.EXC(INDIRECT("'" &amp;L$25 &amp;"'!$Q$4:$Q$200"),0.5),""),"")</f>
        <v>0.48</v>
      </c>
      <c r="M41" s="13">
        <f ca="1">IFERROR(IF(AND(M$34  &gt;= 'CALLER Portal'!$AB$33, M$34 &lt;= 'CALLER Portal'!$AB$34),_xlfn.PERCENTILE.EXC(INDIRECT("'" &amp;M$25 &amp;"'!$Q$4:$Q$200"),0.5),""),"")</f>
        <v>0.42</v>
      </c>
      <c r="N41" s="13">
        <f ca="1">IFERROR(IF(AND(N$34  &gt;= 'CALLER Portal'!$AB$33, N$34 &lt;= 'CALLER Portal'!$AB$34),_xlfn.PERCENTILE.EXC(INDIRECT("'" &amp;N$25 &amp;"'!$Q$4:$Q$200"),0.5),""),"")</f>
        <v>0.32</v>
      </c>
      <c r="O41" s="13">
        <f ca="1">IFERROR(IF(AND(O$34  &gt;= 'CALLER Portal'!$AB$33, O$34 &lt;= 'CALLER Portal'!$AB$34),_xlfn.PERCENTILE.EXC(INDIRECT("'" &amp;O$25 &amp;"'!$Q$4:$Q$200"),0.5),""),"")</f>
        <v>0.46499999999999997</v>
      </c>
      <c r="P41" s="13" t="str">
        <f ca="1">IFERROR(IF(AND(P$34  &gt;= 'CALLER Portal'!$AB$33, P$34 &lt;= 'CALLER Portal'!$AB$34),_xlfn.PERCENTILE.EXC(INDIRECT("'" &amp;P$25 &amp;"'!$Q$4:$Q$200"),0.5),""),"")</f>
        <v/>
      </c>
      <c r="Q41" s="13" t="str">
        <f ca="1">IFERROR(IF(AND(Q$34  &gt;= 'CALLER Portal'!$AB$33, Q$34 &lt;= 'CALLER Portal'!$AB$34),_xlfn.PERCENTILE.EXC(INDIRECT("'" &amp;Q$25 &amp;"'!$Q$4:$Q$200"),0.5),""),"")</f>
        <v/>
      </c>
      <c r="R41" s="13" t="str">
        <f ca="1">IFERROR(IF(AND(R$34  &gt;= 'CALLER Portal'!$AB$33, R$34 &lt;= 'CALLER Portal'!$AB$34),_xlfn.PERCENTILE.EXC(INDIRECT("'" &amp;R$25 &amp;"'!$Q$4:$Q$200"),0.5),""),"")</f>
        <v/>
      </c>
      <c r="S41" s="13" t="str">
        <f ca="1">IFERROR(IF(AND(S$34  &gt;= 'CALLER Portal'!$AB$33, S$34 &lt;= 'CALLER Portal'!$AB$34),_xlfn.PERCENTILE.EXC(INDIRECT("'" &amp;S$25 &amp;"'!$Q$4:$Q$200"),0.5),""),"")</f>
        <v/>
      </c>
      <c r="T41" s="13" t="str">
        <f ca="1">IFERROR(IF(AND(T$34  &gt;= 'CALLER Portal'!$AB$33, T$34 &lt;= 'CALLER Portal'!$AB$34),_xlfn.PERCENTILE.EXC(INDIRECT("'" &amp;T$25 &amp;"'!$Q$4:$Q$200"),0.5),""),"")</f>
        <v/>
      </c>
      <c r="U41" s="13" t="str">
        <f ca="1">IFERROR(IF(AND(U$34  &gt;= 'CALLER Portal'!$AB$33, U$34 &lt;= 'CALLER Portal'!$AB$34),_xlfn.PERCENTILE.EXC(INDIRECT("'" &amp;U$25 &amp;"'!$Q$4:$Q$200"),0.5),""),"")</f>
        <v/>
      </c>
      <c r="V41" s="13" t="str">
        <f ca="1">IFERROR(IF(AND(V$34  &gt;= 'CALLER Portal'!$AB$33, V$34 &lt;= 'CALLER Portal'!$AB$34),_xlfn.PERCENTILE.EXC(INDIRECT("'" &amp;V$25 &amp;"'!$Q$4:$Q$200"),0.5),""),"")</f>
        <v/>
      </c>
      <c r="W41" s="13" t="str">
        <f ca="1">IFERROR(IF(AND(W$34  &gt;= 'CALLER Portal'!$AB$33, W$34 &lt;= 'CALLER Portal'!$AB$34),_xlfn.PERCENTILE.EXC(INDIRECT("'" &amp;W$25 &amp;"'!$Q$4:$Q$200"),0.5),""),"")</f>
        <v/>
      </c>
      <c r="X41" s="13" t="str">
        <f ca="1">IFERROR(IF(AND(X$34  &gt;= 'CALLER Portal'!$AB$33, X$34 &lt;= 'CALLER Portal'!$AB$34),_xlfn.PERCENTILE.EXC(INDIRECT("'" &amp;X$25 &amp;"'!$Q$4:$Q$200"),0.5),""),"")</f>
        <v/>
      </c>
      <c r="Y41" s="13" t="str">
        <f ca="1">IFERROR(IF(AND(Y$34  &gt;= 'CALLER Portal'!$AB$33, Y$34 &lt;= 'CALLER Portal'!$AB$34),_xlfn.PERCENTILE.EXC(INDIRECT("'" &amp;Y$25 &amp;"'!$Q$4:$Q$200"),0.5),""),"")</f>
        <v/>
      </c>
      <c r="Z41" s="13" t="str">
        <f ca="1">IFERROR(IF(AND(Z$34  &gt;= 'CALLER Portal'!$AB$33, Z$34 &lt;= 'CALLER Portal'!$AB$34),_xlfn.PERCENTILE.EXC(INDIRECT("'" &amp;Z$25 &amp;"'!$Q$4:$Q$200"),0.5),""),"")</f>
        <v/>
      </c>
      <c r="AA41" s="13" t="str">
        <f ca="1">IFERROR(IF(AND(AA$34  &gt;= 'CALLER Portal'!$AB$33, AA$34 &lt;= 'CALLER Portal'!$AB$34),_xlfn.PERCENTILE.EXC(INDIRECT("'" &amp;AA$25 &amp;"'!$Q$4:$Q$200"),0.5),""),"")</f>
        <v/>
      </c>
      <c r="AB41" s="13" t="str">
        <f ca="1">IFERROR(IF(AND(AB$34  &gt;= 'CALLER Portal'!$AB$33, AB$34 &lt;= 'CALLER Portal'!$AB$34),_xlfn.PERCENTILE.EXC(INDIRECT("'" &amp;AB$25 &amp;"'!$Q$4:$Q$200"),0.5),""),"")</f>
        <v/>
      </c>
      <c r="AC41" s="13" t="str">
        <f ca="1">IFERROR(IF(AND(AC$34  &gt;= 'CALLER Portal'!$AB$33, AC$34 &lt;= 'CALLER Portal'!$AB$34),_xlfn.PERCENTILE.EXC(INDIRECT("'" &amp;AC$25 &amp;"'!$Q$4:$Q$200"),0.5),""),"")</f>
        <v/>
      </c>
      <c r="AD41" s="13" t="str">
        <f ca="1">IFERROR(IF(AND(AD$34  &gt;= 'CALLER Portal'!$AB$33, AD$34 &lt;= 'CALLER Portal'!$AB$34),_xlfn.PERCENTILE.EXC(INDIRECT("'" &amp;AD$25 &amp;"'!$Q$4:$Q$200"),0.5),""),"")</f>
        <v/>
      </c>
      <c r="AE41" s="13" t="str">
        <f ca="1">IFERROR(IF(AND(AE$34  &gt;= 'CALLER Portal'!$AB$33, AE$34 &lt;= 'CALLER Portal'!$AB$34),_xlfn.PERCENTILE.EXC(INDIRECT("'" &amp;AE$25 &amp;"'!$Q$4:$Q$200"),0.5),""),"")</f>
        <v/>
      </c>
      <c r="AF41" s="13" t="str">
        <f ca="1">IFERROR(IF(AND(AF$34  &gt;= 'CALLER Portal'!$AB$33, AF$34 &lt;= 'CALLER Portal'!$AB$34),_xlfn.PERCENTILE.EXC(INDIRECT("'" &amp;AF$25 &amp;"'!$Q$4:$Q$200"),0.5),""),"")</f>
        <v/>
      </c>
      <c r="AG41" s="13" t="str">
        <f ca="1">IFERROR(IF(AND(AG$34  &gt;= 'CALLER Portal'!$AB$33, AG$34 &lt;= 'CALLER Portal'!$AB$34),_xlfn.PERCENTILE.EXC(INDIRECT("'" &amp;AG$25 &amp;"'!$Q$4:$Q$200"),0.5),""),"")</f>
        <v/>
      </c>
      <c r="AH41" s="13" t="str">
        <f ca="1">IFERROR(IF(AND(AH$34  &gt;= 'CALLER Portal'!$AB$33, AH$34 &lt;= 'CALLER Portal'!$AB$34),_xlfn.PERCENTILE.EXC(INDIRECT("'" &amp;AH$25 &amp;"'!$Q$4:$Q$200"),0.5),""),"")</f>
        <v/>
      </c>
      <c r="AI41" s="13" t="str">
        <f ca="1">IFERROR(IF(AND(AI$34  &gt;= 'CALLER Portal'!$AB$33, AI$34 &lt;= 'CALLER Portal'!$AB$34),_xlfn.PERCENTILE.EXC(INDIRECT("'" &amp;AI$25 &amp;"'!$Q$4:$Q$200"),0.5),""),"")</f>
        <v/>
      </c>
      <c r="AJ41" s="13" t="str">
        <f ca="1">IFERROR(IF(AND(AJ$34  &gt;= 'CALLER Portal'!$AB$33, AJ$34 &lt;= 'CALLER Portal'!$AB$34),_xlfn.PERCENTILE.EXC(INDIRECT("'" &amp;AJ$25 &amp;"'!$Q$4:$Q$200"),0.5),""),"")</f>
        <v/>
      </c>
      <c r="AK41" s="13" t="str">
        <f ca="1">IFERROR(IF(AND(AK$34  &gt;= 'CALLER Portal'!$AB$33, AK$34 &lt;= 'CALLER Portal'!$AB$34),_xlfn.PERCENTILE.EXC(INDIRECT("'" &amp;AK$25 &amp;"'!$Q$4:$Q$200"),0.5),""),"")</f>
        <v/>
      </c>
      <c r="AL41" s="13" t="str">
        <f ca="1">IFERROR(IF(AND(AL$34  &gt;= 'CALLER Portal'!$AB$33, AL$34 &lt;= 'CALLER Portal'!$AB$34),_xlfn.PERCENTILE.EXC(INDIRECT("'" &amp;AL$25 &amp;"'!$Q$4:$Q$200"),0.5),""),"")</f>
        <v/>
      </c>
      <c r="AM41" s="13" t="str">
        <f ca="1">IFERROR(IF(AND(AM$34  &gt;= 'CALLER Portal'!$AB$33, AM$34 &lt;= 'CALLER Portal'!$AB$34),_xlfn.PERCENTILE.EXC(INDIRECT("'" &amp;AM$25 &amp;"'!$Q$4:$Q$200"),0.5),""),"")</f>
        <v/>
      </c>
      <c r="AN41" s="13" t="str">
        <f ca="1">IFERROR(IF(AND(AN$34  &gt;= 'CALLER Portal'!$AB$33, AN$34 &lt;= 'CALLER Portal'!$AB$34),_xlfn.PERCENTILE.EXC(INDIRECT("'" &amp;AN$25 &amp;"'!$Q$4:$Q$200"),0.5),""),"")</f>
        <v/>
      </c>
      <c r="AO41" s="13" t="str">
        <f ca="1">IFERROR(IF(AND(AO$34  &gt;= 'CALLER Portal'!$AB$33, AO$34 &lt;= 'CALLER Portal'!$AB$34),_xlfn.PERCENTILE.EXC(INDIRECT("'" &amp;AO$25 &amp;"'!$Q$4:$Q$200"),0.5),""),"")</f>
        <v/>
      </c>
      <c r="AP41" s="13" t="str">
        <f ca="1">IFERROR(IF(AND(AP$34  &gt;= 'CALLER Portal'!$AB$33, AP$34 &lt;= 'CALLER Portal'!$AB$34),_xlfn.PERCENTILE.EXC(INDIRECT("'" &amp;AP$25 &amp;"'!$Q$4:$Q$200"),0.5),""),"")</f>
        <v/>
      </c>
      <c r="AQ41" s="13" t="str">
        <f ca="1">IFERROR(IF(AND(AQ$34  &gt;= 'CALLER Portal'!$AB$33, AQ$34 &lt;= 'CALLER Portal'!$AB$34),_xlfn.PERCENTILE.EXC(INDIRECT("'" &amp;AQ$25 &amp;"'!$Q$4:$Q$200"),0.5),""),"")</f>
        <v/>
      </c>
      <c r="AR41" s="13" t="str">
        <f ca="1">IFERROR(IF(AND(AR$34  &gt;= 'CALLER Portal'!$AB$33, AR$34 &lt;= 'CALLER Portal'!$AB$34),_xlfn.PERCENTILE.EXC(INDIRECT("'" &amp;AR$25 &amp;"'!$Q$4:$Q$200"),0.5),""),"")</f>
        <v/>
      </c>
      <c r="AS41" s="13" t="str">
        <f ca="1">IFERROR(IF(AND(AS$34  &gt;= 'CALLER Portal'!$AB$33, AS$34 &lt;= 'CALLER Portal'!$AB$34),_xlfn.PERCENTILE.EXC(INDIRECT("'" &amp;AS$25 &amp;"'!$Q$4:$Q$200"),0.5),""),"")</f>
        <v/>
      </c>
      <c r="AT41" s="13" t="str">
        <f ca="1">IFERROR(IF(AND(AT$34  &gt;= 'CALLER Portal'!$AB$33, AT$34 &lt;= 'CALLER Portal'!$AB$34),_xlfn.PERCENTILE.EXC(INDIRECT("'" &amp;AT$25 &amp;"'!$Q$4:$Q$200"),0.5),""),"")</f>
        <v/>
      </c>
      <c r="AU41" s="13" t="str">
        <f ca="1">IFERROR(IF(AND(AU$34  &gt;= 'CALLER Portal'!$AB$33, AU$34 &lt;= 'CALLER Portal'!$AB$34),_xlfn.PERCENTILE.EXC(INDIRECT("'" &amp;AU$25 &amp;"'!$Q$4:$Q$200"),0.5),""),"")</f>
        <v/>
      </c>
      <c r="AV41" s="13" t="str">
        <f ca="1">IFERROR(IF(AND(AV$34  &gt;= 'CALLER Portal'!$AB$33, AV$34 &lt;= 'CALLER Portal'!$AB$34),_xlfn.PERCENTILE.EXC(INDIRECT("'" &amp;AV$25 &amp;"'!$Q$4:$Q$200"),0.5),""),"")</f>
        <v/>
      </c>
      <c r="AW41" s="13" t="str">
        <f ca="1">IFERROR(IF(AND(AW$34  &gt;= 'CALLER Portal'!$AB$33, AW$34 &lt;= 'CALLER Portal'!$AB$34),_xlfn.PERCENTILE.EXC(INDIRECT("'" &amp;AW$25 &amp;"'!$Q$4:$Q$200"),0.5),""),"")</f>
        <v/>
      </c>
      <c r="AX41" s="13" t="str">
        <f ca="1">IFERROR(IF(AND(AX$34  &gt;= 'CALLER Portal'!$AB$33, AX$34 &lt;= 'CALLER Portal'!$AB$34),_xlfn.PERCENTILE.EXC(INDIRECT("'" &amp;AX$25 &amp;"'!$Q$4:$Q$200"),0.5),""),"")</f>
        <v/>
      </c>
      <c r="AY41" s="13" t="str">
        <f ca="1">IFERROR(IF(AND(AY$34  &gt;= 'CALLER Portal'!$AB$33, AY$34 &lt;= 'CALLER Portal'!$AB$34),_xlfn.PERCENTILE.EXC(INDIRECT("'" &amp;AY$25 &amp;"'!$Q$4:$Q$200"),0.5),""),"")</f>
        <v/>
      </c>
      <c r="AZ41" s="13" t="str">
        <f ca="1">IFERROR(IF(AND(AZ$34  &gt;= 'CALLER Portal'!$AB$33, AZ$34 &lt;= 'CALLER Portal'!$AB$34),_xlfn.PERCENTILE.EXC(INDIRECT("'" &amp;AZ$25 &amp;"'!$Q$4:$Q$200"),0.5),""),"")</f>
        <v/>
      </c>
      <c r="BA41" s="13" t="str">
        <f ca="1">IFERROR(IF(AND(BA$34  &gt;= 'CALLER Portal'!$AB$33, BA$34 &lt;= 'CALLER Portal'!$AB$34),_xlfn.PERCENTILE.EXC(INDIRECT("'" &amp;BA$25 &amp;"'!$Q$4:$Q$200"),0.5),""),"")</f>
        <v/>
      </c>
    </row>
    <row r="42" spans="1:53" s="21" customFormat="1" ht="15.75" thickBot="1" x14ac:dyDescent="0.3">
      <c r="A42" s="604"/>
      <c r="C42" s="52"/>
      <c r="D42" s="53"/>
      <c r="E42" s="53"/>
      <c r="F42" s="53"/>
      <c r="G42" s="53"/>
      <c r="H42" s="53"/>
      <c r="I42" s="53"/>
      <c r="J42" s="53"/>
      <c r="K42" s="53"/>
      <c r="L42" s="53"/>
      <c r="M42" s="53"/>
      <c r="N42" s="53"/>
      <c r="O42" s="53"/>
      <c r="P42" s="53"/>
      <c r="Q42" s="53"/>
      <c r="R42" s="53"/>
      <c r="S42" s="53"/>
      <c r="T42" s="53"/>
      <c r="U42" s="53"/>
      <c r="V42" s="53"/>
      <c r="W42" s="53"/>
      <c r="X42" s="53"/>
      <c r="Y42" s="53"/>
      <c r="Z42" s="53"/>
      <c r="AA42" s="53"/>
      <c r="AB42" s="53"/>
      <c r="AC42" s="53"/>
      <c r="AD42" s="53"/>
      <c r="AE42" s="53"/>
      <c r="AF42" s="53"/>
      <c r="AG42" s="53"/>
      <c r="AH42" s="53"/>
      <c r="AI42" s="53"/>
      <c r="AJ42" s="53"/>
      <c r="AK42" s="53"/>
      <c r="AL42" s="53"/>
      <c r="AM42" s="53"/>
      <c r="AN42" s="53"/>
      <c r="AO42" s="53"/>
      <c r="AP42" s="53"/>
      <c r="AQ42" s="53"/>
      <c r="AR42" s="53"/>
      <c r="AS42" s="53"/>
      <c r="AT42" s="53"/>
      <c r="AU42" s="53"/>
      <c r="AV42" s="53"/>
      <c r="AW42" s="53"/>
      <c r="AX42" s="53"/>
      <c r="AY42" s="53"/>
      <c r="AZ42" s="53"/>
      <c r="BA42" s="53"/>
    </row>
    <row r="43" spans="1:53" ht="15.75" thickBot="1" x14ac:dyDescent="0.3">
      <c r="A43" s="604"/>
      <c r="C43" s="50" t="s">
        <v>77</v>
      </c>
    </row>
    <row r="44" spans="1:53" ht="15.75" thickBot="1" x14ac:dyDescent="0.3">
      <c r="A44" s="604"/>
      <c r="C44" s="1" t="s">
        <v>0</v>
      </c>
      <c r="D44" s="120">
        <f>IF(YEAR('CALLER Portal'!$AB$33)=2018,D23,IF(YEAR('CALLER Portal'!$AB$33)=2019,D24,"-"))</f>
        <v>43470</v>
      </c>
      <c r="E44" s="120">
        <f>IF(YEAR('CALLER Portal'!$AB$33)=2018,E23,IF(YEAR('CALLER Portal'!$AB$33)=2019,E24,"-"))</f>
        <v>43477</v>
      </c>
      <c r="F44" s="120">
        <f>IF(YEAR('CALLER Portal'!$AB$33)=2018,F23,IF(YEAR('CALLER Portal'!$AB$33)=2019,F24,"-"))</f>
        <v>43484</v>
      </c>
      <c r="G44" s="120">
        <f>IF(YEAR('CALLER Portal'!$AB$33)=2018,G23,IF(YEAR('CALLER Portal'!$AB$33)=2019,G24,"-"))</f>
        <v>43491</v>
      </c>
      <c r="H44" s="120">
        <f>IF(YEAR('CALLER Portal'!$AB$33)=2018,H23,IF(YEAR('CALLER Portal'!$AB$33)=2019,H24,"-"))</f>
        <v>43498</v>
      </c>
      <c r="I44" s="120">
        <f>IF(YEAR('CALLER Portal'!$AB$33)=2018,I23,IF(YEAR('CALLER Portal'!$AB$33)=2019,I24,"-"))</f>
        <v>43505</v>
      </c>
      <c r="J44" s="120">
        <f>IF(YEAR('CALLER Portal'!$AB$33)=2018,J23,IF(YEAR('CALLER Portal'!$AB$33)=2019,J24,"-"))</f>
        <v>43512</v>
      </c>
      <c r="K44" s="120">
        <f>IF(YEAR('CALLER Portal'!$AB$33)=2018,K23,IF(YEAR('CALLER Portal'!$AB$33)=2019,K24,"-"))</f>
        <v>43519</v>
      </c>
      <c r="L44" s="120">
        <f>IF(YEAR('CALLER Portal'!$AB$33)=2018,L23,IF(YEAR('CALLER Portal'!$AB$33)=2019,L24,"-"))</f>
        <v>43526</v>
      </c>
      <c r="M44" s="120">
        <f>IF(YEAR('CALLER Portal'!$AB$33)=2018,M23,IF(YEAR('CALLER Portal'!$AB$33)=2019,M24,"-"))</f>
        <v>43533</v>
      </c>
      <c r="N44" s="120">
        <f>IF(YEAR('CALLER Portal'!$AB$33)=2018,N23,IF(YEAR('CALLER Portal'!$AB$33)=2019,N24,"-"))</f>
        <v>43540</v>
      </c>
      <c r="O44" s="120">
        <f>IF(YEAR('CALLER Portal'!$AB$33)=2018,O23,IF(YEAR('CALLER Portal'!$AB$33)=2019,O24,"-"))</f>
        <v>43547</v>
      </c>
      <c r="P44" s="120">
        <f>IF(YEAR('CALLER Portal'!$AB$33)=2018,P23,IF(YEAR('CALLER Portal'!$AB$33)=2019,P24,"-"))</f>
        <v>43554</v>
      </c>
      <c r="Q44" s="120">
        <f>IF(YEAR('CALLER Portal'!$AB$33)=2018,Q23,IF(YEAR('CALLER Portal'!$AB$33)=2019,Q24,"-"))</f>
        <v>43561</v>
      </c>
      <c r="R44" s="120">
        <f>IF(YEAR('CALLER Portal'!$AB$33)=2018,R23,IF(YEAR('CALLER Portal'!$AB$33)=2019,R24,"-"))</f>
        <v>43568</v>
      </c>
      <c r="S44" s="120">
        <f>IF(YEAR('CALLER Portal'!$AB$33)=2018,S23,IF(YEAR('CALLER Portal'!$AB$33)=2019,S24,"-"))</f>
        <v>43575</v>
      </c>
      <c r="T44" s="120">
        <f>IF(YEAR('CALLER Portal'!$AB$33)=2018,T23,IF(YEAR('CALLER Portal'!$AB$33)=2019,T24,"-"))</f>
        <v>43582</v>
      </c>
      <c r="U44" s="120">
        <f>IF(YEAR('CALLER Portal'!$AB$33)=2018,U23,IF(YEAR('CALLER Portal'!$AB$33)=2019,U24,"-"))</f>
        <v>43589</v>
      </c>
      <c r="V44" s="120">
        <f>IF(YEAR('CALLER Portal'!$AB$33)=2018,V23,IF(YEAR('CALLER Portal'!$AB$33)=2019,V24,"-"))</f>
        <v>43596</v>
      </c>
      <c r="W44" s="120">
        <f>IF(YEAR('CALLER Portal'!$AB$33)=2018,W23,IF(YEAR('CALLER Portal'!$AB$33)=2019,W24,"-"))</f>
        <v>43603</v>
      </c>
      <c r="X44" s="120">
        <f>IF(YEAR('CALLER Portal'!$AB$33)=2018,X23,IF(YEAR('CALLER Portal'!$AB$33)=2019,X24,"-"))</f>
        <v>43610</v>
      </c>
      <c r="Y44" s="120">
        <f>IF(YEAR('CALLER Portal'!$AB$33)=2018,Y23,IF(YEAR('CALLER Portal'!$AB$33)=2019,Y24,"-"))</f>
        <v>43617</v>
      </c>
      <c r="Z44" s="120">
        <f>IF(YEAR('CALLER Portal'!$AB$33)=2018,Z23,IF(YEAR('CALLER Portal'!$AB$33)=2019,Z24,"-"))</f>
        <v>43624</v>
      </c>
      <c r="AA44" s="120">
        <f>IF(YEAR('CALLER Portal'!$AB$33)=2018,AA23,IF(YEAR('CALLER Portal'!$AB$33)=2019,AA24,"-"))</f>
        <v>43631</v>
      </c>
      <c r="AB44" s="120">
        <f>IF(YEAR('CALLER Portal'!$AB$33)=2018,AB23,IF(YEAR('CALLER Portal'!$AB$33)=2019,AB24,"-"))</f>
        <v>43638</v>
      </c>
      <c r="AC44" s="120">
        <f>IF(YEAR('CALLER Portal'!$AB$33)=2018,AC23,IF(YEAR('CALLER Portal'!$AB$33)=2019,AC24,"-"))</f>
        <v>43645</v>
      </c>
      <c r="AD44" s="120">
        <f>IF(YEAR('CALLER Portal'!$AB$33)=2018,AD23,IF(YEAR('CALLER Portal'!$AB$33)=2019,AD24,"-"))</f>
        <v>43652</v>
      </c>
      <c r="AE44" s="120">
        <f>IF(YEAR('CALLER Portal'!$AB$33)=2018,AE23,IF(YEAR('CALLER Portal'!$AB$33)=2019,AE24,"-"))</f>
        <v>43659</v>
      </c>
      <c r="AF44" s="120">
        <f>IF(YEAR('CALLER Portal'!$AB$33)=2018,AF23,IF(YEAR('CALLER Portal'!$AB$33)=2019,AF24,"-"))</f>
        <v>43666</v>
      </c>
      <c r="AG44" s="120">
        <f>IF(YEAR('CALLER Portal'!$AB$33)=2018,AG23,IF(YEAR('CALLER Portal'!$AB$33)=2019,AG24,"-"))</f>
        <v>43673</v>
      </c>
      <c r="AH44" s="120">
        <f>IF(YEAR('CALLER Portal'!$AB$33)=2018,AH23,IF(YEAR('CALLER Portal'!$AB$33)=2019,AH24,"-"))</f>
        <v>43680</v>
      </c>
      <c r="AI44" s="120">
        <f>IF(YEAR('CALLER Portal'!$AB$33)=2018,AI23,IF(YEAR('CALLER Portal'!$AB$33)=2019,AI24,"-"))</f>
        <v>43687</v>
      </c>
      <c r="AJ44" s="120">
        <f>IF(YEAR('CALLER Portal'!$AB$33)=2018,AJ23,IF(YEAR('CALLER Portal'!$AB$33)=2019,AJ24,"-"))</f>
        <v>43694</v>
      </c>
      <c r="AK44" s="120">
        <f>IF(YEAR('CALLER Portal'!$AB$33)=2018,AK23,IF(YEAR('CALLER Portal'!$AB$33)=2019,AK24,"-"))</f>
        <v>43701</v>
      </c>
      <c r="AL44" s="120">
        <f>IF(YEAR('CALLER Portal'!$AB$33)=2018,AL23,IF(YEAR('CALLER Portal'!$AB$33)=2019,AL24,"-"))</f>
        <v>43708</v>
      </c>
      <c r="AM44" s="120">
        <f>IF(YEAR('CALLER Portal'!$AB$33)=2018,AM23,IF(YEAR('CALLER Portal'!$AB$33)=2019,AM24,"-"))</f>
        <v>43715</v>
      </c>
      <c r="AN44" s="120">
        <f>IF(YEAR('CALLER Portal'!$AB$33)=2018,AN23,IF(YEAR('CALLER Portal'!$AB$33)=2019,AN24,"-"))</f>
        <v>43722</v>
      </c>
      <c r="AO44" s="120">
        <f>IF(YEAR('CALLER Portal'!$AB$33)=2018,AO23,IF(YEAR('CALLER Portal'!$AB$33)=2019,AO24,"-"))</f>
        <v>43729</v>
      </c>
      <c r="AP44" s="120">
        <f>IF(YEAR('CALLER Portal'!$AB$33)=2018,AP23,IF(YEAR('CALLER Portal'!$AB$33)=2019,AP24,"-"))</f>
        <v>43736</v>
      </c>
      <c r="AQ44" s="120">
        <f>IF(YEAR('CALLER Portal'!$AB$33)=2018,AQ23,IF(YEAR('CALLER Portal'!$AB$33)=2019,AQ24,"-"))</f>
        <v>43743</v>
      </c>
      <c r="AR44" s="120">
        <f>IF(YEAR('CALLER Portal'!$AB$33)=2018,AR23,IF(YEAR('CALLER Portal'!$AB$33)=2019,AR24,"-"))</f>
        <v>43750</v>
      </c>
      <c r="AS44" s="120">
        <f>IF(YEAR('CALLER Portal'!$AB$33)=2018,AS23,IF(YEAR('CALLER Portal'!$AB$33)=2019,AS24,"-"))</f>
        <v>43757</v>
      </c>
      <c r="AT44" s="120">
        <f>IF(YEAR('CALLER Portal'!$AB$33)=2018,AT23,IF(YEAR('CALLER Portal'!$AB$33)=2019,AT24,"-"))</f>
        <v>43764</v>
      </c>
      <c r="AU44" s="120">
        <f>IF(YEAR('CALLER Portal'!$AB$33)=2018,AU23,IF(YEAR('CALLER Portal'!$AB$33)=2019,AU24,"-"))</f>
        <v>43771</v>
      </c>
      <c r="AV44" s="120">
        <f>IF(YEAR('CALLER Portal'!$AB$33)=2018,AV23,IF(YEAR('CALLER Portal'!$AB$33)=2019,AV24,"-"))</f>
        <v>43778</v>
      </c>
      <c r="AW44" s="120">
        <f>IF(YEAR('CALLER Portal'!$AB$33)=2018,AW23,IF(YEAR('CALLER Portal'!$AB$33)=2019,AW24,"-"))</f>
        <v>43785</v>
      </c>
      <c r="AX44" s="120">
        <f>IF(YEAR('CALLER Portal'!$AB$33)=2018,AX23,IF(YEAR('CALLER Portal'!$AB$33)=2019,AX24,"-"))</f>
        <v>43792</v>
      </c>
      <c r="AY44" s="120">
        <f>IF(YEAR('CALLER Portal'!$AB$33)=2018,AY23,IF(YEAR('CALLER Portal'!$AB$33)=2019,AY24,"-"))</f>
        <v>43799</v>
      </c>
      <c r="AZ44" s="120">
        <f>IF(YEAR('CALLER Portal'!$AB$33)=2018,AZ23,IF(YEAR('CALLER Portal'!$AB$33)=2019,AZ24,"-"))</f>
        <v>43806</v>
      </c>
      <c r="BA44" s="120">
        <f>IF(YEAR('CALLER Portal'!$AB$33)=2018,BA23,IF(YEAR('CALLER Portal'!$AB$33)=2019,BA24,"-"))</f>
        <v>43813</v>
      </c>
    </row>
    <row r="45" spans="1:53" ht="15.75" thickBot="1" x14ac:dyDescent="0.3">
      <c r="A45" s="604"/>
      <c r="B45" s="43">
        <v>1</v>
      </c>
      <c r="C45" s="2" t="s">
        <v>108</v>
      </c>
      <c r="D45" s="62">
        <f ca="1">IFERROR(_xlfn.PERCENTILE.EXC(INDIRECT("'" &amp;D$25 &amp;"'!$K$4:$K$200"), 'CALLER Portal'!$AB$31),"")</f>
        <v>0</v>
      </c>
      <c r="E45" s="62">
        <f ca="1">IFERROR(_xlfn.PERCENTILE.EXC(INDIRECT("'" &amp;E$25 &amp;"'!$K$4:$K$200"), 'CALLER Portal'!$AB$31),"")</f>
        <v>6.9000000000000006E-2</v>
      </c>
      <c r="F45" s="62">
        <f ca="1">IFERROR(_xlfn.PERCENTILE.EXC(INDIRECT("'" &amp;F$25 &amp;"'!$K$4:$K$200"), 'CALLER Portal'!$AB$31),"")</f>
        <v>7.0530000000000009E-2</v>
      </c>
      <c r="G45" s="62">
        <f ca="1">IFERROR(_xlfn.PERCENTILE.EXC(INDIRECT("'" &amp;G$25 &amp;"'!$K$4:$K$200"), 'CALLER Portal'!$AB$31),"")</f>
        <v>0</v>
      </c>
      <c r="H45" s="62">
        <f ca="1">IFERROR(_xlfn.PERCENTILE.EXC(INDIRECT("'" &amp;H$25 &amp;"'!$K$4:$K$200"), 'CALLER Portal'!$AB$31),"")</f>
        <v>0</v>
      </c>
      <c r="I45" s="62">
        <f ca="1">IFERROR(_xlfn.PERCENTILE.EXC(INDIRECT("'" &amp;I$25 &amp;"'!$K$4:$K$200"), 'CALLER Portal'!$AB$31),"")</f>
        <v>0.25424000000000002</v>
      </c>
      <c r="J45" s="62">
        <f ca="1">IFERROR(_xlfn.PERCENTILE.EXC(INDIRECT("'" &amp;J$25 &amp;"'!$K$4:$K$200"), 'CALLER Portal'!$AB$31),"")</f>
        <v>0.40620000000000001</v>
      </c>
      <c r="K45" s="62">
        <f ca="1">IFERROR(_xlfn.PERCENTILE.EXC(INDIRECT("'" &amp;K$25 &amp;"'!$K$4:$K$200"), 'CALLER Portal'!$AB$31),"")</f>
        <v>0.57845999999999997</v>
      </c>
      <c r="L45" s="62">
        <f ca="1">IFERROR(_xlfn.PERCENTILE.EXC(INDIRECT("'" &amp;L$25 &amp;"'!$K$4:$K$200"), 'CALLER Portal'!$AB$31),"")</f>
        <v>0.57416</v>
      </c>
      <c r="M45" s="62">
        <f ca="1">IFERROR(_xlfn.PERCENTILE.EXC(INDIRECT("'" &amp;M$25 &amp;"'!$K$4:$K$200"), 'CALLER Portal'!$AB$31),"")</f>
        <v>0.2</v>
      </c>
      <c r="N45" s="62">
        <f ca="1">IFERROR(_xlfn.PERCENTILE.EXC(INDIRECT("'" &amp;N$25 &amp;"'!$K$4:$K$200"), 'CALLER Portal'!$AB$31),"")</f>
        <v>6.3119999999999996E-2</v>
      </c>
      <c r="O45" s="62">
        <f ca="1">IFERROR(_xlfn.PERCENTILE.EXC(INDIRECT("'" &amp;O$25 &amp;"'!$K$4:$K$200"), 'CALLER Portal'!$AB$31),"")</f>
        <v>0.13155999999999998</v>
      </c>
      <c r="P45" s="62" t="str">
        <f ca="1">IFERROR(_xlfn.PERCENTILE.EXC(INDIRECT("'" &amp;P$25 &amp;"'!$K$4:$K$200"), 'CALLER Portal'!$AB$31),"")</f>
        <v/>
      </c>
      <c r="Q45" s="62" t="str">
        <f ca="1">IFERROR(_xlfn.PERCENTILE.EXC(INDIRECT("'" &amp;Q$25 &amp;"'!$K$4:$K$200"), 'CALLER Portal'!$AB$31),"")</f>
        <v/>
      </c>
      <c r="R45" s="62" t="str">
        <f ca="1">IFERROR(_xlfn.PERCENTILE.EXC(INDIRECT("'" &amp;R$25 &amp;"'!$K$4:$K$200"), 'CALLER Portal'!$AB$31),"")</f>
        <v/>
      </c>
      <c r="S45" s="62" t="str">
        <f ca="1">IFERROR(_xlfn.PERCENTILE.EXC(INDIRECT("'" &amp;S$25 &amp;"'!$K$4:$K$200"), 'CALLER Portal'!$AB$31),"")</f>
        <v/>
      </c>
      <c r="T45" s="62" t="str">
        <f ca="1">IFERROR(_xlfn.PERCENTILE.EXC(INDIRECT("'" &amp;T$25 &amp;"'!$K$4:$K$200"), 'CALLER Portal'!$AB$31),"")</f>
        <v/>
      </c>
      <c r="U45" s="62" t="str">
        <f ca="1">IFERROR(_xlfn.PERCENTILE.EXC(INDIRECT("'" &amp;U$25 &amp;"'!$K$4:$K$200"), 'CALLER Portal'!$AB$31),"")</f>
        <v/>
      </c>
      <c r="V45" s="62" t="str">
        <f ca="1">IFERROR(_xlfn.PERCENTILE.EXC(INDIRECT("'" &amp;V$25 &amp;"'!$K$4:$K$200"), 'CALLER Portal'!$AB$31),"")</f>
        <v/>
      </c>
      <c r="W45" s="62" t="str">
        <f ca="1">IFERROR(_xlfn.PERCENTILE.EXC(INDIRECT("'" &amp;W$25 &amp;"'!$K$4:$K$200"), 'CALLER Portal'!$AB$31),"")</f>
        <v/>
      </c>
      <c r="X45" s="62" t="str">
        <f ca="1">IFERROR(_xlfn.PERCENTILE.EXC(INDIRECT("'" &amp;X$25 &amp;"'!$K$4:$K$200"), 'CALLER Portal'!$AB$31),"")</f>
        <v/>
      </c>
      <c r="Y45" s="62" t="str">
        <f ca="1">IFERROR(_xlfn.PERCENTILE.EXC(INDIRECT("'" &amp;Y$25 &amp;"'!$K$4:$K$200"), 'CALLER Portal'!$AB$31),"")</f>
        <v/>
      </c>
      <c r="Z45" s="62" t="str">
        <f ca="1">IFERROR(_xlfn.PERCENTILE.EXC(INDIRECT("'" &amp;Z$25 &amp;"'!$K$4:$K$200"), 'CALLER Portal'!$AB$31),"")</f>
        <v/>
      </c>
      <c r="AA45" s="62" t="str">
        <f ca="1">IFERROR(_xlfn.PERCENTILE.EXC(INDIRECT("'" &amp;AA$25 &amp;"'!$K$4:$K$200"), 'CALLER Portal'!$AB$31),"")</f>
        <v/>
      </c>
      <c r="AB45" s="62" t="str">
        <f ca="1">IFERROR(_xlfn.PERCENTILE.EXC(INDIRECT("'" &amp;AB$25 &amp;"'!$K$4:$K$200"), 'CALLER Portal'!$AB$31),"")</f>
        <v/>
      </c>
      <c r="AC45" s="62" t="str">
        <f ca="1">IFERROR(_xlfn.PERCENTILE.EXC(INDIRECT("'" &amp;AC$25 &amp;"'!$K$4:$K$200"), 'CALLER Portal'!$AB$31),"")</f>
        <v/>
      </c>
      <c r="AD45" s="62" t="str">
        <f ca="1">IFERROR(_xlfn.PERCENTILE.EXC(INDIRECT("'" &amp;AD$25 &amp;"'!$K$4:$K$200"), 'CALLER Portal'!$AB$31),"")</f>
        <v/>
      </c>
      <c r="AE45" s="62" t="str">
        <f ca="1">IFERROR(_xlfn.PERCENTILE.EXC(INDIRECT("'" &amp;AE$25 &amp;"'!$K$4:$K$200"), 'CALLER Portal'!$AB$31),"")</f>
        <v/>
      </c>
      <c r="AF45" s="62" t="str">
        <f ca="1">IFERROR(_xlfn.PERCENTILE.EXC(INDIRECT("'" &amp;AF$25 &amp;"'!$K$4:$K$200"), 'CALLER Portal'!$AB$31),"")</f>
        <v/>
      </c>
      <c r="AG45" s="62" t="str">
        <f ca="1">IFERROR(_xlfn.PERCENTILE.EXC(INDIRECT("'" &amp;AG$25 &amp;"'!$K$4:$K$200"), 'CALLER Portal'!$AB$31),"")</f>
        <v/>
      </c>
      <c r="AH45" s="62" t="str">
        <f ca="1">IFERROR(_xlfn.PERCENTILE.EXC(INDIRECT("'" &amp;AH$25 &amp;"'!$K$4:$K$200"), 'CALLER Portal'!$AB$31),"")</f>
        <v/>
      </c>
      <c r="AI45" s="62" t="str">
        <f ca="1">IFERROR(_xlfn.PERCENTILE.EXC(INDIRECT("'" &amp;AI$25 &amp;"'!$K$4:$K$200"), 'CALLER Portal'!$AB$31),"")</f>
        <v/>
      </c>
      <c r="AJ45" s="62" t="str">
        <f ca="1">IFERROR(_xlfn.PERCENTILE.EXC(INDIRECT("'" &amp;AJ$25 &amp;"'!$K$4:$K$200"), 'CALLER Portal'!$AB$31),"")</f>
        <v/>
      </c>
      <c r="AK45" s="62" t="str">
        <f ca="1">IFERROR(_xlfn.PERCENTILE.EXC(INDIRECT("'" &amp;AK$25 &amp;"'!$K$4:$K$200"), 'CALLER Portal'!$AB$31),"")</f>
        <v/>
      </c>
      <c r="AL45" s="62" t="str">
        <f ca="1">IFERROR(_xlfn.PERCENTILE.EXC(INDIRECT("'" &amp;AL$25 &amp;"'!$K$4:$K$200"), 'CALLER Portal'!$AB$31),"")</f>
        <v/>
      </c>
      <c r="AM45" s="62" t="str">
        <f ca="1">IFERROR(_xlfn.PERCENTILE.EXC(INDIRECT("'" &amp;AM$25 &amp;"'!$K$4:$K$200"), 'CALLER Portal'!$AB$31),"")</f>
        <v/>
      </c>
      <c r="AN45" s="62" t="str">
        <f ca="1">IFERROR(_xlfn.PERCENTILE.EXC(INDIRECT("'" &amp;AN$25 &amp;"'!$K$4:$K$200"), 'CALLER Portal'!$AB$31),"")</f>
        <v/>
      </c>
      <c r="AO45" s="62" t="str">
        <f ca="1">IFERROR(_xlfn.PERCENTILE.EXC(INDIRECT("'" &amp;AO$25 &amp;"'!$K$4:$K$200"), 'CALLER Portal'!$AB$31),"")</f>
        <v/>
      </c>
      <c r="AP45" s="62" t="str">
        <f ca="1">IFERROR(_xlfn.PERCENTILE.EXC(INDIRECT("'" &amp;AP$25 &amp;"'!$K$4:$K$200"), 'CALLER Portal'!$AB$31),"")</f>
        <v/>
      </c>
      <c r="AQ45" s="62" t="str">
        <f ca="1">IFERROR(_xlfn.PERCENTILE.EXC(INDIRECT("'" &amp;AQ$25 &amp;"'!$K$4:$K$200"), 'CALLER Portal'!$AB$31),"")</f>
        <v/>
      </c>
      <c r="AR45" s="62" t="str">
        <f ca="1">IFERROR(_xlfn.PERCENTILE.EXC(INDIRECT("'" &amp;AR$25 &amp;"'!$K$4:$K$200"), 'CALLER Portal'!$AB$31),"")</f>
        <v/>
      </c>
      <c r="AS45" s="62" t="str">
        <f ca="1">IFERROR(_xlfn.PERCENTILE.EXC(INDIRECT("'" &amp;AS$25 &amp;"'!$K$4:$K$200"), 'CALLER Portal'!$AB$31),"")</f>
        <v/>
      </c>
      <c r="AT45" s="62" t="str">
        <f ca="1">IFERROR(_xlfn.PERCENTILE.EXC(INDIRECT("'" &amp;AT$25 &amp;"'!$K$4:$K$200"), 'CALLER Portal'!$AB$31),"")</f>
        <v/>
      </c>
      <c r="AU45" s="62" t="str">
        <f ca="1">IFERROR(_xlfn.PERCENTILE.EXC(INDIRECT("'" &amp;AU$25 &amp;"'!$K$4:$K$200"), 'CALLER Portal'!$AB$31),"")</f>
        <v/>
      </c>
      <c r="AV45" s="62" t="str">
        <f ca="1">IFERROR(_xlfn.PERCENTILE.EXC(INDIRECT("'" &amp;AV$25 &amp;"'!$K$4:$K$200"), 'CALLER Portal'!$AB$31),"")</f>
        <v/>
      </c>
      <c r="AW45" s="62" t="str">
        <f ca="1">IFERROR(_xlfn.PERCENTILE.EXC(INDIRECT("'" &amp;AW$25 &amp;"'!$K$4:$K$200"), 'CALLER Portal'!$AB$31),"")</f>
        <v/>
      </c>
      <c r="AX45" s="62" t="str">
        <f ca="1">IFERROR(_xlfn.PERCENTILE.EXC(INDIRECT("'" &amp;AX$25 &amp;"'!$K$4:$K$200"), 'CALLER Portal'!$AB$31),"")</f>
        <v/>
      </c>
      <c r="AY45" s="62" t="str">
        <f ca="1">IFERROR(_xlfn.PERCENTILE.EXC(INDIRECT("'" &amp;AY$25 &amp;"'!$K$4:$K$200"), 'CALLER Portal'!$AB$31),"")</f>
        <v/>
      </c>
      <c r="AZ45" s="62" t="str">
        <f ca="1">IFERROR(_xlfn.PERCENTILE.EXC(INDIRECT("'" &amp;AZ$25 &amp;"'!$K$4:$K$200"), 'CALLER Portal'!$AB$31),"")</f>
        <v/>
      </c>
      <c r="BA45" s="62" t="str">
        <f ca="1">IFERROR(_xlfn.PERCENTILE.EXC(INDIRECT("'" &amp;BA$25 &amp;"'!$K$4:$K$200"), 'CALLER Portal'!$AB$31),"")</f>
        <v/>
      </c>
    </row>
    <row r="46" spans="1:53" s="22" customFormat="1" ht="15.75" thickBot="1" x14ac:dyDescent="0.3">
      <c r="A46" s="604"/>
      <c r="B46" s="43">
        <v>2</v>
      </c>
      <c r="C46" s="14" t="s">
        <v>109</v>
      </c>
      <c r="D46" s="12">
        <f ca="1">IFERROR(IF(D36-'CALLER Portal'!$AB$38 &lt; 0.01, 0.01, D36-'CALLER Portal'!$AB$38), "")</f>
        <v>0.37439999999999996</v>
      </c>
      <c r="E46" s="12">
        <f ca="1">IFERROR(IF(E36-'CALLER Portal'!$AB$38 &lt; 0.01, 0.01, E36-'CALLER Portal'!$AB$38), "")</f>
        <v>0.37060000000000004</v>
      </c>
      <c r="F46" s="12">
        <f ca="1">IFERROR(IF(F36-'CALLER Portal'!$AB$38 &lt; 0.01, 0.01, F36-'CALLER Portal'!$AB$38), "")</f>
        <v>0.34379999999999999</v>
      </c>
      <c r="G46" s="12">
        <f ca="1">IFERROR(IF(G36-'CALLER Portal'!$AB$38 &lt; 0.01, 0.01, G36-'CALLER Portal'!$AB$38), "")</f>
        <v>0.43159999999999998</v>
      </c>
      <c r="H46" s="12">
        <f ca="1">IFERROR(IF(H36-'CALLER Portal'!$AB$38 &lt; 0.01, 0.01, H36-'CALLER Portal'!$AB$38), "")</f>
        <v>0.50870000000000004</v>
      </c>
      <c r="I46" s="12">
        <f ca="1">IFERROR(IF(I36-'CALLER Portal'!$AB$38 &lt; 0.01, 0.01, I36-'CALLER Portal'!$AB$38), "")</f>
        <v>0.80230000000000001</v>
      </c>
      <c r="J46" s="12">
        <f ca="1">IFERROR(IF(J36-'CALLER Portal'!$AB$38 &lt; 0.01, 0.01, J36-'CALLER Portal'!$AB$38), "")</f>
        <v>0.51500000000000001</v>
      </c>
      <c r="K46" s="12">
        <f ca="1">IFERROR(IF(K36-'CALLER Portal'!$AB$38 &lt; 0.01, 0.01, K36-'CALLER Portal'!$AB$38), "")</f>
        <v>0.40590000000000004</v>
      </c>
      <c r="L46" s="12">
        <f ca="1">IFERROR(IF(L36-'CALLER Portal'!$AB$38 &lt; 0.01, 0.01, L36-'CALLER Portal'!$AB$38), "")</f>
        <v>0.43769999999999998</v>
      </c>
      <c r="M46" s="12">
        <f ca="1">IFERROR(IF(M36-'CALLER Portal'!$AB$38 &lt; 0.01, 0.01, M36-'CALLER Portal'!$AB$38), "")</f>
        <v>0.50070000000000003</v>
      </c>
      <c r="N46" s="12">
        <f ca="1">IFERROR(IF(N36-'CALLER Portal'!$AB$38 &lt; 0.01, 0.01, N36-'CALLER Portal'!$AB$38), "")</f>
        <v>0.89400000000000002</v>
      </c>
      <c r="O46" s="12">
        <f ca="1">IFERROR(IF(O36-'CALLER Portal'!$AB$38 &lt; 0.01, 0.01, O36-'CALLER Portal'!$AB$38), "")</f>
        <v>0.66420000000000001</v>
      </c>
      <c r="P46" s="12" t="str">
        <f ca="1">IFERROR(IF(P36-'CALLER Portal'!$AB$38 &lt; 0.01, 0.01, P36-'CALLER Portal'!$AB$38), "")</f>
        <v/>
      </c>
      <c r="Q46" s="12" t="str">
        <f ca="1">IFERROR(IF(Q36-'CALLER Portal'!$AB$38 &lt; 0.01, 0.01, Q36-'CALLER Portal'!$AB$38), "")</f>
        <v/>
      </c>
      <c r="R46" s="12" t="str">
        <f ca="1">IFERROR(IF(R36-'CALLER Portal'!$AB$38 &lt; 0.01, 0.01, R36-'CALLER Portal'!$AB$38), "")</f>
        <v/>
      </c>
      <c r="S46" s="12" t="str">
        <f ca="1">IFERROR(IF(S36-'CALLER Portal'!$AB$38 &lt; 0.01, 0.01, S36-'CALLER Portal'!$AB$38), "")</f>
        <v/>
      </c>
      <c r="T46" s="12" t="str">
        <f ca="1">IFERROR(IF(T36-'CALLER Portal'!$AB$38 &lt; 0.01, 0.01, T36-'CALLER Portal'!$AB$38), "")</f>
        <v/>
      </c>
      <c r="U46" s="12" t="str">
        <f ca="1">IFERROR(IF(U36-'CALLER Portal'!$AB$38 &lt; 0.01, 0.01, U36-'CALLER Portal'!$AB$38), "")</f>
        <v/>
      </c>
      <c r="V46" s="12" t="str">
        <f ca="1">IFERROR(IF(V36-'CALLER Portal'!$AB$38 &lt; 0.01, 0.01, V36-'CALLER Portal'!$AB$38), "")</f>
        <v/>
      </c>
      <c r="W46" s="12" t="str">
        <f ca="1">IFERROR(IF(W36-'CALLER Portal'!$AB$38 &lt; 0.01, 0.01, W36-'CALLER Portal'!$AB$38), "")</f>
        <v/>
      </c>
      <c r="X46" s="12" t="str">
        <f ca="1">IFERROR(IF(X36-'CALLER Portal'!$AB$38 &lt; 0.01, 0.01, X36-'CALLER Portal'!$AB$38), "")</f>
        <v/>
      </c>
      <c r="Y46" s="12" t="str">
        <f ca="1">IFERROR(IF(Y36-'CALLER Portal'!$AB$38 &lt; 0.01, 0.01, Y36-'CALLER Portal'!$AB$38), "")</f>
        <v/>
      </c>
      <c r="Z46" s="12" t="str">
        <f ca="1">IFERROR(IF(Z36-'CALLER Portal'!$AB$38 &lt; 0.01, 0.01, Z36-'CALLER Portal'!$AB$38), "")</f>
        <v/>
      </c>
      <c r="AA46" s="12" t="str">
        <f ca="1">IFERROR(IF(AA36-'CALLER Portal'!$AB$38 &lt; 0.01, 0.01, AA36-'CALLER Portal'!$AB$38), "")</f>
        <v/>
      </c>
      <c r="AB46" s="12" t="str">
        <f ca="1">IFERROR(IF(AB36-'CALLER Portal'!$AB$38 &lt; 0.01, 0.01, AB36-'CALLER Portal'!$AB$38), "")</f>
        <v/>
      </c>
      <c r="AC46" s="12" t="str">
        <f ca="1">IFERROR(IF(AC36-'CALLER Portal'!$AB$38 &lt; 0.01, 0.01, AC36-'CALLER Portal'!$AB$38), "")</f>
        <v/>
      </c>
      <c r="AD46" s="12" t="str">
        <f ca="1">IFERROR(IF(AD36-'CALLER Portal'!$AB$38 &lt; 0.01, 0.01, AD36-'CALLER Portal'!$AB$38), "")</f>
        <v/>
      </c>
      <c r="AE46" s="12" t="str">
        <f ca="1">IFERROR(IF(AE36-'CALLER Portal'!$AB$38 &lt; 0.01, 0.01, AE36-'CALLER Portal'!$AB$38), "")</f>
        <v/>
      </c>
      <c r="AF46" s="12" t="str">
        <f ca="1">IFERROR(IF(AF36-'CALLER Portal'!$AB$38 &lt; 0.01, 0.01, AF36-'CALLER Portal'!$AB$38), "")</f>
        <v/>
      </c>
      <c r="AG46" s="12" t="str">
        <f ca="1">IFERROR(IF(AG36-'CALLER Portal'!$AB$38 &lt; 0.01, 0.01, AG36-'CALLER Portal'!$AB$38), "")</f>
        <v/>
      </c>
      <c r="AH46" s="12" t="str">
        <f ca="1">IFERROR(IF(AH36-'CALLER Portal'!$AB$38 &lt; 0.01, 0.01, AH36-'CALLER Portal'!$AB$38), "")</f>
        <v/>
      </c>
      <c r="AI46" s="12" t="str">
        <f ca="1">IFERROR(IF(AI36-'CALLER Portal'!$AB$38 &lt; 0.01, 0.01, AI36-'CALLER Portal'!$AB$38), "")</f>
        <v/>
      </c>
      <c r="AJ46" s="12" t="str">
        <f ca="1">IFERROR(IF(AJ36-'CALLER Portal'!$AB$38 &lt; 0.01, 0.01, AJ36-'CALLER Portal'!$AB$38), "")</f>
        <v/>
      </c>
      <c r="AK46" s="12" t="str">
        <f ca="1">IFERROR(IF(AK36-'CALLER Portal'!$AB$38 &lt; 0.01, 0.01, AK36-'CALLER Portal'!$AB$38), "")</f>
        <v/>
      </c>
      <c r="AL46" s="12" t="str">
        <f ca="1">IFERROR(IF(AL36-'CALLER Portal'!$AB$38 &lt; 0.01, 0.01, AL36-'CALLER Portal'!$AB$38), "")</f>
        <v/>
      </c>
      <c r="AM46" s="12" t="str">
        <f ca="1">IFERROR(IF(AM36-'CALLER Portal'!$AB$38 &lt; 0.01, 0.01, AM36-'CALLER Portal'!$AB$38), "")</f>
        <v/>
      </c>
      <c r="AN46" s="12" t="str">
        <f ca="1">IFERROR(IF(AN36-'CALLER Portal'!$AB$38 &lt; 0.01, 0.01, AN36-'CALLER Portal'!$AB$38), "")</f>
        <v/>
      </c>
      <c r="AO46" s="12" t="str">
        <f ca="1">IFERROR(IF(AO36-'CALLER Portal'!$AB$38 &lt; 0.01, 0.01, AO36-'CALLER Portal'!$AB$38), "")</f>
        <v/>
      </c>
      <c r="AP46" s="12" t="str">
        <f ca="1">IFERROR(IF(AP36-'CALLER Portal'!$AB$38 &lt; 0.01, 0.01, AP36-'CALLER Portal'!$AB$38), "")</f>
        <v/>
      </c>
      <c r="AQ46" s="12" t="str">
        <f ca="1">IFERROR(IF(AQ36-'CALLER Portal'!$AB$38 &lt; 0.01, 0.01, AQ36-'CALLER Portal'!$AB$38), "")</f>
        <v/>
      </c>
      <c r="AR46" s="12" t="str">
        <f ca="1">IFERROR(IF(AR36-'CALLER Portal'!$AB$38 &lt; 0.01, 0.01, AR36-'CALLER Portal'!$AB$38), "")</f>
        <v/>
      </c>
      <c r="AS46" s="12" t="str">
        <f ca="1">IFERROR(IF(AS36-'CALLER Portal'!$AB$38 &lt; 0.01, 0.01, AS36-'CALLER Portal'!$AB$38), "")</f>
        <v/>
      </c>
      <c r="AT46" s="12" t="str">
        <f ca="1">IFERROR(IF(AT36-'CALLER Portal'!$AB$38 &lt; 0.01, 0.01, AT36-'CALLER Portal'!$AB$38), "")</f>
        <v/>
      </c>
      <c r="AU46" s="12" t="str">
        <f ca="1">IFERROR(IF(AU36-'CALLER Portal'!$AB$38 &lt; 0.01, 0.01, AU36-'CALLER Portal'!$AB$38), "")</f>
        <v/>
      </c>
      <c r="AV46" s="12" t="str">
        <f ca="1">IFERROR(IF(AV36-'CALLER Portal'!$AB$38 &lt; 0.01, 0.01, AV36-'CALLER Portal'!$AB$38), "")</f>
        <v/>
      </c>
      <c r="AW46" s="12" t="str">
        <f ca="1">IFERROR(IF(AW36-'CALLER Portal'!$AB$38 &lt; 0.01, 0.01, AW36-'CALLER Portal'!$AB$38), "")</f>
        <v/>
      </c>
      <c r="AX46" s="12" t="str">
        <f ca="1">IFERROR(IF(AX36-'CALLER Portal'!$AB$38 &lt; 0.01, 0.01, AX36-'CALLER Portal'!$AB$38), "")</f>
        <v/>
      </c>
      <c r="AY46" s="12" t="str">
        <f ca="1">IFERROR(IF(AY36-'CALLER Portal'!$AB$38 &lt; 0.01, 0.01, AY36-'CALLER Portal'!$AB$38), "")</f>
        <v/>
      </c>
      <c r="AZ46" s="12" t="str">
        <f ca="1">IFERROR(IF(AZ36-'CALLER Portal'!$AB$38 &lt; 0.01, 0.01, AZ36-'CALLER Portal'!$AB$38), "")</f>
        <v/>
      </c>
      <c r="BA46" s="12" t="str">
        <f ca="1">IFERROR(IF(BA36-'CALLER Portal'!$AB$38 &lt; 0.01, 0.01, BA36-'CALLER Portal'!$AB$38), "")</f>
        <v/>
      </c>
    </row>
    <row r="47" spans="1:53" s="22" customFormat="1" ht="15.75" thickBot="1" x14ac:dyDescent="0.3">
      <c r="A47" s="604"/>
      <c r="B47" s="34">
        <v>3</v>
      </c>
      <c r="C47" s="2" t="s">
        <v>110</v>
      </c>
      <c r="D47" s="11">
        <f ca="1">IFERROR(IF(D37-'CALLER Portal'!$AB$39 &lt; 0.01, 0.01, D37-'CALLER Portal'!$AB$39), "")</f>
        <v>3.8900000000000004E-2</v>
      </c>
      <c r="E47" s="11">
        <f ca="1">IFERROR(IF(E37-'CALLER Portal'!$AB$39 &lt; 0.01, 0.01, E37-'CALLER Portal'!$AB$39), "")</f>
        <v>5.8099999999999999E-2</v>
      </c>
      <c r="F47" s="11">
        <f ca="1">IFERROR(IF(F37-'CALLER Portal'!$AB$39 &lt; 0.01, 0.01, F37-'CALLER Portal'!$AB$39), "")</f>
        <v>0.05</v>
      </c>
      <c r="G47" s="11">
        <f ca="1">IFERROR(IF(G37-'CALLER Portal'!$AB$39 &lt; 0.01, 0.01, G37-'CALLER Portal'!$AB$39), "")</f>
        <v>0.01</v>
      </c>
      <c r="H47" s="11">
        <f ca="1">IFERROR(IF(H37-'CALLER Portal'!$AB$39 &lt; 0.01, 0.01, H37-'CALLER Portal'!$AB$39), "")</f>
        <v>0.1009</v>
      </c>
      <c r="I47" s="11">
        <f ca="1">IFERROR(IF(I37-'CALLER Portal'!$AB$39 &lt; 0.01, 0.01, I37-'CALLER Portal'!$AB$39), "")</f>
        <v>0.5393</v>
      </c>
      <c r="J47" s="11">
        <f ca="1">IFERROR(IF(J37-'CALLER Portal'!$AB$39 &lt; 0.01, 0.01, J37-'CALLER Portal'!$AB$39), "")</f>
        <v>0.16049999999999998</v>
      </c>
      <c r="K47" s="11">
        <f ca="1">IFERROR(IF(K37-'CALLER Portal'!$AB$39 &lt; 0.01, 0.01, K37-'CALLER Portal'!$AB$39), "")</f>
        <v>6.5000000000000002E-2</v>
      </c>
      <c r="L47" s="11">
        <f ca="1">IFERROR(IF(L37-'CALLER Portal'!$AB$39 &lt; 0.01, 0.01, L37-'CALLER Portal'!$AB$39), "")</f>
        <v>8.5699999999999985E-2</v>
      </c>
      <c r="M47" s="11">
        <f ca="1">IFERROR(IF(M37-'CALLER Portal'!$AB$39 &lt; 0.01, 0.01, M37-'CALLER Portal'!$AB$39), "")</f>
        <v>5.7700000000000001E-2</v>
      </c>
      <c r="N47" s="11">
        <f ca="1">IFERROR(IF(N37-'CALLER Portal'!$AB$39 &lt; 0.01, 0.01, N37-'CALLER Portal'!$AB$39), "")</f>
        <v>0.45</v>
      </c>
      <c r="O47" s="11">
        <f ca="1">IFERROR(IF(O37-'CALLER Portal'!$AB$39 &lt; 0.01, 0.01, O37-'CALLER Portal'!$AB$39), "")</f>
        <v>0.25559999999999999</v>
      </c>
      <c r="P47" s="11" t="str">
        <f ca="1">IFERROR(IF(P37-'CALLER Portal'!$AB$39 &lt; 0.01, 0.01, P37-'CALLER Portal'!$AB$39), "")</f>
        <v/>
      </c>
      <c r="Q47" s="11" t="str">
        <f ca="1">IFERROR(IF(Q37-'CALLER Portal'!$AB$39 &lt; 0.01, 0.01, Q37-'CALLER Portal'!$AB$39), "")</f>
        <v/>
      </c>
      <c r="R47" s="11" t="str">
        <f ca="1">IFERROR(IF(R37-'CALLER Portal'!$AB$39 &lt; 0.01, 0.01, R37-'CALLER Portal'!$AB$39), "")</f>
        <v/>
      </c>
      <c r="S47" s="11" t="str">
        <f ca="1">IFERROR(IF(S37-'CALLER Portal'!$AB$39 &lt; 0.01, 0.01, S37-'CALLER Portal'!$AB$39), "")</f>
        <v/>
      </c>
      <c r="T47" s="11" t="str">
        <f ca="1">IFERROR(IF(T37-'CALLER Portal'!$AB$39 &lt; 0.01, 0.01, T37-'CALLER Portal'!$AB$39), "")</f>
        <v/>
      </c>
      <c r="U47" s="11" t="str">
        <f ca="1">IFERROR(IF(U37-'CALLER Portal'!$AB$39 &lt; 0.01, 0.01, U37-'CALLER Portal'!$AB$39), "")</f>
        <v/>
      </c>
      <c r="V47" s="11" t="str">
        <f ca="1">IFERROR(IF(V37-'CALLER Portal'!$AB$39 &lt; 0.01, 0.01, V37-'CALLER Portal'!$AB$39), "")</f>
        <v/>
      </c>
      <c r="W47" s="11" t="str">
        <f ca="1">IFERROR(IF(W37-'CALLER Portal'!$AB$39 &lt; 0.01, 0.01, W37-'CALLER Portal'!$AB$39), "")</f>
        <v/>
      </c>
      <c r="X47" s="11" t="str">
        <f ca="1">IFERROR(IF(X37-'CALLER Portal'!$AB$39 &lt; 0.01, 0.01, X37-'CALLER Portal'!$AB$39), "")</f>
        <v/>
      </c>
      <c r="Y47" s="11" t="str">
        <f ca="1">IFERROR(IF(Y37-'CALLER Portal'!$AB$39 &lt; 0.01, 0.01, Y37-'CALLER Portal'!$AB$39), "")</f>
        <v/>
      </c>
      <c r="Z47" s="11" t="str">
        <f ca="1">IFERROR(IF(Z37-'CALLER Portal'!$AB$39 &lt; 0.01, 0.01, Z37-'CALLER Portal'!$AB$39), "")</f>
        <v/>
      </c>
      <c r="AA47" s="11" t="str">
        <f ca="1">IFERROR(IF(AA37-'CALLER Portal'!$AB$39 &lt; 0.01, 0.01, AA37-'CALLER Portal'!$AB$39), "")</f>
        <v/>
      </c>
      <c r="AB47" s="11" t="str">
        <f ca="1">IFERROR(IF(AB37-'CALLER Portal'!$AB$39 &lt; 0.01, 0.01, AB37-'CALLER Portal'!$AB$39), "")</f>
        <v/>
      </c>
      <c r="AC47" s="11" t="str">
        <f ca="1">IFERROR(IF(AC37-'CALLER Portal'!$AB$39 &lt; 0.01, 0.01, AC37-'CALLER Portal'!$AB$39), "")</f>
        <v/>
      </c>
      <c r="AD47" s="11" t="str">
        <f ca="1">IFERROR(IF(AD37-'CALLER Portal'!$AB$39 &lt; 0.01, 0.01, AD37-'CALLER Portal'!$AB$39), "")</f>
        <v/>
      </c>
      <c r="AE47" s="11" t="str">
        <f ca="1">IFERROR(IF(AE37-'CALLER Portal'!$AB$39 &lt; 0.01, 0.01, AE37-'CALLER Portal'!$AB$39), "")</f>
        <v/>
      </c>
      <c r="AF47" s="11" t="str">
        <f ca="1">IFERROR(IF(AF37-'CALLER Portal'!$AB$39 &lt; 0.01, 0.01, AF37-'CALLER Portal'!$AB$39), "")</f>
        <v/>
      </c>
      <c r="AG47" s="11" t="str">
        <f ca="1">IFERROR(IF(AG37-'CALLER Portal'!$AB$39 &lt; 0.01, 0.01, AG37-'CALLER Portal'!$AB$39), "")</f>
        <v/>
      </c>
      <c r="AH47" s="11" t="str">
        <f ca="1">IFERROR(IF(AH37-'CALLER Portal'!$AB$39 &lt; 0.01, 0.01, AH37-'CALLER Portal'!$AB$39), "")</f>
        <v/>
      </c>
      <c r="AI47" s="11" t="str">
        <f ca="1">IFERROR(IF(AI37-'CALLER Portal'!$AB$39 &lt; 0.01, 0.01, AI37-'CALLER Portal'!$AB$39), "")</f>
        <v/>
      </c>
      <c r="AJ47" s="11" t="str">
        <f ca="1">IFERROR(IF(AJ37-'CALLER Portal'!$AB$39 &lt; 0.01, 0.01, AJ37-'CALLER Portal'!$AB$39), "")</f>
        <v/>
      </c>
      <c r="AK47" s="11" t="str">
        <f ca="1">IFERROR(IF(AK37-'CALLER Portal'!$AB$39 &lt; 0.01, 0.01, AK37-'CALLER Portal'!$AB$39), "")</f>
        <v/>
      </c>
      <c r="AL47" s="11" t="str">
        <f ca="1">IFERROR(IF(AL37-'CALLER Portal'!$AB$39 &lt; 0.01, 0.01, AL37-'CALLER Portal'!$AB$39), "")</f>
        <v/>
      </c>
      <c r="AM47" s="11" t="str">
        <f ca="1">IFERROR(IF(AM37-'CALLER Portal'!$AB$39 &lt; 0.01, 0.01, AM37-'CALLER Portal'!$AB$39), "")</f>
        <v/>
      </c>
      <c r="AN47" s="11" t="str">
        <f ca="1">IFERROR(IF(AN37-'CALLER Portal'!$AB$39 &lt; 0.01, 0.01, AN37-'CALLER Portal'!$AB$39), "")</f>
        <v/>
      </c>
      <c r="AO47" s="11" t="str">
        <f ca="1">IFERROR(IF(AO37-'CALLER Portal'!$AB$39 &lt; 0.01, 0.01, AO37-'CALLER Portal'!$AB$39), "")</f>
        <v/>
      </c>
      <c r="AP47" s="11" t="str">
        <f ca="1">IFERROR(IF(AP37-'CALLER Portal'!$AB$39 &lt; 0.01, 0.01, AP37-'CALLER Portal'!$AB$39), "")</f>
        <v/>
      </c>
      <c r="AQ47" s="11" t="str">
        <f ca="1">IFERROR(IF(AQ37-'CALLER Portal'!$AB$39 &lt; 0.01, 0.01, AQ37-'CALLER Portal'!$AB$39), "")</f>
        <v/>
      </c>
      <c r="AR47" s="11" t="str">
        <f ca="1">IFERROR(IF(AR37-'CALLER Portal'!$AB$39 &lt; 0.01, 0.01, AR37-'CALLER Portal'!$AB$39), "")</f>
        <v/>
      </c>
      <c r="AS47" s="11" t="str">
        <f ca="1">IFERROR(IF(AS37-'CALLER Portal'!$AB$39 &lt; 0.01, 0.01, AS37-'CALLER Portal'!$AB$39), "")</f>
        <v/>
      </c>
      <c r="AT47" s="11" t="str">
        <f ca="1">IFERROR(IF(AT37-'CALLER Portal'!$AB$39 &lt; 0.01, 0.01, AT37-'CALLER Portal'!$AB$39), "")</f>
        <v/>
      </c>
      <c r="AU47" s="11" t="str">
        <f ca="1">IFERROR(IF(AU37-'CALLER Portal'!$AB$39 &lt; 0.01, 0.01, AU37-'CALLER Portal'!$AB$39), "")</f>
        <v/>
      </c>
      <c r="AV47" s="11" t="str">
        <f ca="1">IFERROR(IF(AV37-'CALLER Portal'!$AB$39 &lt; 0.01, 0.01, AV37-'CALLER Portal'!$AB$39), "")</f>
        <v/>
      </c>
      <c r="AW47" s="11" t="str">
        <f ca="1">IFERROR(IF(AW37-'CALLER Portal'!$AB$39 &lt; 0.01, 0.01, AW37-'CALLER Portal'!$AB$39), "")</f>
        <v/>
      </c>
      <c r="AX47" s="11" t="str">
        <f ca="1">IFERROR(IF(AX37-'CALLER Portal'!$AB$39 &lt; 0.01, 0.01, AX37-'CALLER Portal'!$AB$39), "")</f>
        <v/>
      </c>
      <c r="AY47" s="11" t="str">
        <f ca="1">IFERROR(IF(AY37-'CALLER Portal'!$AB$39 &lt; 0.01, 0.01, AY37-'CALLER Portal'!$AB$39), "")</f>
        <v/>
      </c>
      <c r="AZ47" s="11" t="str">
        <f ca="1">IFERROR(IF(AZ37-'CALLER Portal'!$AB$39 &lt; 0.01, 0.01, AZ37-'CALLER Portal'!$AB$39), "")</f>
        <v/>
      </c>
      <c r="BA47" s="11" t="str">
        <f ca="1">IFERROR(IF(BA37-'CALLER Portal'!$AB$39 &lt; 0.01, 0.01, BA37-'CALLER Portal'!$AB$39), "")</f>
        <v/>
      </c>
    </row>
    <row r="48" spans="1:53" s="22" customFormat="1" ht="15.75" thickBot="1" x14ac:dyDescent="0.3">
      <c r="A48" s="604"/>
      <c r="B48" s="34">
        <v>4</v>
      </c>
      <c r="C48" s="14" t="s">
        <v>113</v>
      </c>
      <c r="D48" s="25">
        <f ca="1">IFERROR(_xlfn.PERCENTILE.EXC(INDIRECT("'" &amp;D$25 &amp;"'!$N$4:$N$200"), 'CALLER Portal'!$AB$31),"")</f>
        <v>0</v>
      </c>
      <c r="E48" s="25">
        <f ca="1">IFERROR(_xlfn.PERCENTILE.EXC(INDIRECT("'" &amp;E$25 &amp;"'!$N$4:$N$200"), 'CALLER Portal'!$AB$31),"")</f>
        <v>0.61</v>
      </c>
      <c r="F48" s="25">
        <f ca="1">IFERROR(_xlfn.PERCENTILE.EXC(INDIRECT("'" &amp;F$25 &amp;"'!$N$4:$N$200"), 'CALLER Portal'!$AB$31),"")</f>
        <v>0.29400000000000071</v>
      </c>
      <c r="G48" s="25">
        <f ca="1">IFERROR(_xlfn.PERCENTILE.EXC(INDIRECT("'" &amp;G$25 &amp;"'!$N$4:$N$200"), 'CALLER Portal'!$AB$31),"")</f>
        <v>0</v>
      </c>
      <c r="H48" s="25">
        <f ca="1">IFERROR(_xlfn.PERCENTILE.EXC(INDIRECT("'" &amp;H$25 &amp;"'!$N$4:$N$200"), 'CALLER Portal'!$AB$31),"")</f>
        <v>0</v>
      </c>
      <c r="I48" s="25">
        <f ca="1">IFERROR(_xlfn.PERCENTILE.EXC(INDIRECT("'" &amp;I$25 &amp;"'!$N$4:$N$200"), 'CALLER Portal'!$AB$31),"")</f>
        <v>24.380000000000003</v>
      </c>
      <c r="J48" s="25">
        <f ca="1">IFERROR(_xlfn.PERCENTILE.EXC(INDIRECT("'" &amp;J$25 &amp;"'!$N$4:$N$200"), 'CALLER Portal'!$AB$31),"")</f>
        <v>58.66</v>
      </c>
      <c r="K48" s="25">
        <f ca="1">IFERROR(_xlfn.PERCENTILE.EXC(INDIRECT("'" &amp;K$25 &amp;"'!$N$4:$N$200"), 'CALLER Portal'!$AB$31),"")</f>
        <v>122.72999999999998</v>
      </c>
      <c r="L48" s="25">
        <f ca="1">IFERROR(_xlfn.PERCENTILE.EXC(INDIRECT("'" &amp;L$25 &amp;"'!$N$4:$N$200"), 'CALLER Portal'!$AB$31),"")</f>
        <v>80.885000000000005</v>
      </c>
      <c r="M48" s="25">
        <f ca="1">IFERROR(_xlfn.PERCENTILE.EXC(INDIRECT("'" &amp;M$25 &amp;"'!$N$4:$N$200"), 'CALLER Portal'!$AB$31),"")</f>
        <v>25.98</v>
      </c>
      <c r="N48" s="25">
        <f ca="1">IFERROR(_xlfn.PERCENTILE.EXC(INDIRECT("'" &amp;N$25 &amp;"'!$N$4:$N$200"), 'CALLER Portal'!$AB$31),"")</f>
        <v>4.6820000000000004</v>
      </c>
      <c r="O48" s="25">
        <f ca="1">IFERROR(_xlfn.PERCENTILE.EXC(INDIRECT("'" &amp;O$25 &amp;"'!$N$4:$N$200"), 'CALLER Portal'!$AB$31),"")</f>
        <v>15.950000000000001</v>
      </c>
      <c r="P48" s="25" t="str">
        <f ca="1">IFERROR(_xlfn.PERCENTILE.EXC(INDIRECT("'" &amp;P$25 &amp;"'!$N$4:$N$200"), 'CALLER Portal'!$AB$31),"")</f>
        <v/>
      </c>
      <c r="Q48" s="25" t="str">
        <f ca="1">IFERROR(_xlfn.PERCENTILE.EXC(INDIRECT("'" &amp;Q$25 &amp;"'!$N$4:$N$200"), 'CALLER Portal'!$AB$31),"")</f>
        <v/>
      </c>
      <c r="R48" s="25" t="str">
        <f ca="1">IFERROR(_xlfn.PERCENTILE.EXC(INDIRECT("'" &amp;R$25 &amp;"'!$N$4:$N$200"), 'CALLER Portal'!$AB$31),"")</f>
        <v/>
      </c>
      <c r="S48" s="25" t="str">
        <f ca="1">IFERROR(_xlfn.PERCENTILE.EXC(INDIRECT("'" &amp;S$25 &amp;"'!$N$4:$N$200"), 'CALLER Portal'!$AB$31),"")</f>
        <v/>
      </c>
      <c r="T48" s="25" t="str">
        <f ca="1">IFERROR(_xlfn.PERCENTILE.EXC(INDIRECT("'" &amp;T$25 &amp;"'!$N$4:$N$200"), 'CALLER Portal'!$AB$31),"")</f>
        <v/>
      </c>
      <c r="U48" s="25" t="str">
        <f ca="1">IFERROR(_xlfn.PERCENTILE.EXC(INDIRECT("'" &amp;U$25 &amp;"'!$N$4:$N$200"), 'CALLER Portal'!$AB$31),"")</f>
        <v/>
      </c>
      <c r="V48" s="25" t="str">
        <f ca="1">IFERROR(_xlfn.PERCENTILE.EXC(INDIRECT("'" &amp;V$25 &amp;"'!$N$4:$N$200"), 'CALLER Portal'!$AB$31),"")</f>
        <v/>
      </c>
      <c r="W48" s="25" t="str">
        <f ca="1">IFERROR(_xlfn.PERCENTILE.EXC(INDIRECT("'" &amp;W$25 &amp;"'!$N$4:$N$200"), 'CALLER Portal'!$AB$31),"")</f>
        <v/>
      </c>
      <c r="X48" s="25" t="str">
        <f ca="1">IFERROR(_xlfn.PERCENTILE.EXC(INDIRECT("'" &amp;X$25 &amp;"'!$N$4:$N$200"), 'CALLER Portal'!$AB$31),"")</f>
        <v/>
      </c>
      <c r="Y48" s="25" t="str">
        <f ca="1">IFERROR(_xlfn.PERCENTILE.EXC(INDIRECT("'" &amp;Y$25 &amp;"'!$N$4:$N$200"), 'CALLER Portal'!$AB$31),"")</f>
        <v/>
      </c>
      <c r="Z48" s="25" t="str">
        <f ca="1">IFERROR(_xlfn.PERCENTILE.EXC(INDIRECT("'" &amp;Z$25 &amp;"'!$N$4:$N$200"), 'CALLER Portal'!$AB$31),"")</f>
        <v/>
      </c>
      <c r="AA48" s="25" t="str">
        <f ca="1">IFERROR(_xlfn.PERCENTILE.EXC(INDIRECT("'" &amp;AA$25 &amp;"'!$N$4:$N$200"), 'CALLER Portal'!$AB$31),"")</f>
        <v/>
      </c>
      <c r="AB48" s="25" t="str">
        <f ca="1">IFERROR(_xlfn.PERCENTILE.EXC(INDIRECT("'" &amp;AB$25 &amp;"'!$N$4:$N$200"), 'CALLER Portal'!$AB$31),"")</f>
        <v/>
      </c>
      <c r="AC48" s="25" t="str">
        <f ca="1">IFERROR(_xlfn.PERCENTILE.EXC(INDIRECT("'" &amp;AC$25 &amp;"'!$N$4:$N$200"), 'CALLER Portal'!$AB$31),"")</f>
        <v/>
      </c>
      <c r="AD48" s="25" t="str">
        <f ca="1">IFERROR(_xlfn.PERCENTILE.EXC(INDIRECT("'" &amp;AD$25 &amp;"'!$N$4:$N$200"), 'CALLER Portal'!$AB$31),"")</f>
        <v/>
      </c>
      <c r="AE48" s="25" t="str">
        <f ca="1">IFERROR(_xlfn.PERCENTILE.EXC(INDIRECT("'" &amp;AE$25 &amp;"'!$N$4:$N$200"), 'CALLER Portal'!$AB$31),"")</f>
        <v/>
      </c>
      <c r="AF48" s="25" t="str">
        <f ca="1">IFERROR(_xlfn.PERCENTILE.EXC(INDIRECT("'" &amp;AF$25 &amp;"'!$N$4:$N$200"), 'CALLER Portal'!$AB$31),"")</f>
        <v/>
      </c>
      <c r="AG48" s="25" t="str">
        <f ca="1">IFERROR(_xlfn.PERCENTILE.EXC(INDIRECT("'" &amp;AG$25 &amp;"'!$N$4:$N$200"), 'CALLER Portal'!$AB$31),"")</f>
        <v/>
      </c>
      <c r="AH48" s="25" t="str">
        <f ca="1">IFERROR(_xlfn.PERCENTILE.EXC(INDIRECT("'" &amp;AH$25 &amp;"'!$N$4:$N$200"), 'CALLER Portal'!$AB$31),"")</f>
        <v/>
      </c>
      <c r="AI48" s="25" t="str">
        <f ca="1">IFERROR(_xlfn.PERCENTILE.EXC(INDIRECT("'" &amp;AI$25 &amp;"'!$N$4:$N$200"), 'CALLER Portal'!$AB$31),"")</f>
        <v/>
      </c>
      <c r="AJ48" s="25" t="str">
        <f ca="1">IFERROR(_xlfn.PERCENTILE.EXC(INDIRECT("'" &amp;AJ$25 &amp;"'!$N$4:$N$200"), 'CALLER Portal'!$AB$31),"")</f>
        <v/>
      </c>
      <c r="AK48" s="25" t="str">
        <f ca="1">IFERROR(_xlfn.PERCENTILE.EXC(INDIRECT("'" &amp;AK$25 &amp;"'!$N$4:$N$200"), 'CALLER Portal'!$AB$31),"")</f>
        <v/>
      </c>
      <c r="AL48" s="25" t="str">
        <f ca="1">IFERROR(_xlfn.PERCENTILE.EXC(INDIRECT("'" &amp;AL$25 &amp;"'!$N$4:$N$200"), 'CALLER Portal'!$AB$31),"")</f>
        <v/>
      </c>
      <c r="AM48" s="25" t="str">
        <f ca="1">IFERROR(_xlfn.PERCENTILE.EXC(INDIRECT("'" &amp;AM$25 &amp;"'!$N$4:$N$200"), 'CALLER Portal'!$AB$31),"")</f>
        <v/>
      </c>
      <c r="AN48" s="25" t="str">
        <f ca="1">IFERROR(_xlfn.PERCENTILE.EXC(INDIRECT("'" &amp;AN$25 &amp;"'!$N$4:$N$200"), 'CALLER Portal'!$AB$31),"")</f>
        <v/>
      </c>
      <c r="AO48" s="25" t="str">
        <f ca="1">IFERROR(_xlfn.PERCENTILE.EXC(INDIRECT("'" &amp;AO$25 &amp;"'!$N$4:$N$200"), 'CALLER Portal'!$AB$31),"")</f>
        <v/>
      </c>
      <c r="AP48" s="25" t="str">
        <f ca="1">IFERROR(_xlfn.PERCENTILE.EXC(INDIRECT("'" &amp;AP$25 &amp;"'!$N$4:$N$200"), 'CALLER Portal'!$AB$31),"")</f>
        <v/>
      </c>
      <c r="AQ48" s="25" t="str">
        <f ca="1">IFERROR(_xlfn.PERCENTILE.EXC(INDIRECT("'" &amp;AQ$25 &amp;"'!$N$4:$N$200"), 'CALLER Portal'!$AB$31),"")</f>
        <v/>
      </c>
      <c r="AR48" s="25" t="str">
        <f ca="1">IFERROR(_xlfn.PERCENTILE.EXC(INDIRECT("'" &amp;AR$25 &amp;"'!$N$4:$N$200"), 'CALLER Portal'!$AB$31),"")</f>
        <v/>
      </c>
      <c r="AS48" s="25" t="str">
        <f ca="1">IFERROR(_xlfn.PERCENTILE.EXC(INDIRECT("'" &amp;AS$25 &amp;"'!$N$4:$N$200"), 'CALLER Portal'!$AB$31),"")</f>
        <v/>
      </c>
      <c r="AT48" s="25" t="str">
        <f ca="1">IFERROR(_xlfn.PERCENTILE.EXC(INDIRECT("'" &amp;AT$25 &amp;"'!$N$4:$N$200"), 'CALLER Portal'!$AB$31),"")</f>
        <v/>
      </c>
      <c r="AU48" s="25" t="str">
        <f ca="1">IFERROR(_xlfn.PERCENTILE.EXC(INDIRECT("'" &amp;AU$25 &amp;"'!$N$4:$N$200"), 'CALLER Portal'!$AB$31),"")</f>
        <v/>
      </c>
      <c r="AV48" s="25" t="str">
        <f ca="1">IFERROR(_xlfn.PERCENTILE.EXC(INDIRECT("'" &amp;AV$25 &amp;"'!$N$4:$N$200"), 'CALLER Portal'!$AB$31),"")</f>
        <v/>
      </c>
      <c r="AW48" s="25" t="str">
        <f ca="1">IFERROR(_xlfn.PERCENTILE.EXC(INDIRECT("'" &amp;AW$25 &amp;"'!$N$4:$N$200"), 'CALLER Portal'!$AB$31),"")</f>
        <v/>
      </c>
      <c r="AX48" s="25" t="str">
        <f ca="1">IFERROR(_xlfn.PERCENTILE.EXC(INDIRECT("'" &amp;AX$25 &amp;"'!$N$4:$N$200"), 'CALLER Portal'!$AB$31),"")</f>
        <v/>
      </c>
      <c r="AY48" s="25" t="str">
        <f ca="1">IFERROR(_xlfn.PERCENTILE.EXC(INDIRECT("'" &amp;AY$25 &amp;"'!$N$4:$N$200"), 'CALLER Portal'!$AB$31),"")</f>
        <v/>
      </c>
      <c r="AZ48" s="25" t="str">
        <f ca="1">IFERROR(_xlfn.PERCENTILE.EXC(INDIRECT("'" &amp;AZ$25 &amp;"'!$N$4:$N$200"), 'CALLER Portal'!$AB$31),"")</f>
        <v/>
      </c>
      <c r="BA48" s="25" t="str">
        <f ca="1">IFERROR(_xlfn.PERCENTILE.EXC(INDIRECT("'" &amp;BA$25 &amp;"'!$N$4:$N$200"), 'CALLER Portal'!$AB$31),"")</f>
        <v/>
      </c>
    </row>
    <row r="49" spans="1:53" s="22" customFormat="1" ht="15.75" thickBot="1" x14ac:dyDescent="0.3">
      <c r="A49" s="604"/>
      <c r="B49" s="34">
        <v>5</v>
      </c>
      <c r="C49" s="2" t="s">
        <v>112</v>
      </c>
      <c r="D49" s="13">
        <f ca="1">IFERROR(_xlfn.PERCENTILE.EXC(INDIRECT("'" &amp;D$25 &amp;"'!$O$4:$O$200"), 'CALLER Portal'!$AB$31),"")</f>
        <v>0</v>
      </c>
      <c r="E49" s="13">
        <f ca="1">IFERROR(_xlfn.PERCENTILE.EXC(INDIRECT("'" &amp;E$25 &amp;"'!$O$4:$O$200"), 'CALLER Portal'!$AB$31),"")</f>
        <v>0.09</v>
      </c>
      <c r="F49" s="13">
        <f ca="1">IFERROR(_xlfn.PERCENTILE.EXC(INDIRECT("'" &amp;F$25 &amp;"'!$O$4:$O$200"), 'CALLER Portal'!$AB$31),"")</f>
        <v>2.7000000000000062E-2</v>
      </c>
      <c r="G49" s="13">
        <f ca="1">IFERROR(_xlfn.PERCENTILE.EXC(INDIRECT("'" &amp;G$25 &amp;"'!$O$4:$O$200"), 'CALLER Portal'!$AB$31),"")</f>
        <v>0</v>
      </c>
      <c r="H49" s="13">
        <f ca="1">IFERROR(_xlfn.PERCENTILE.EXC(INDIRECT("'" &amp;H$25 &amp;"'!$O$4:$O$200"), 'CALLER Portal'!$AB$31),"")</f>
        <v>0</v>
      </c>
      <c r="I49" s="13">
        <f ca="1">IFERROR(_xlfn.PERCENTILE.EXC(INDIRECT("'" &amp;I$25 &amp;"'!$O$4:$O$200"), 'CALLER Portal'!$AB$31),"")</f>
        <v>0.7</v>
      </c>
      <c r="J49" s="13">
        <f ca="1">IFERROR(_xlfn.PERCENTILE.EXC(INDIRECT("'" &amp;J$25 &amp;"'!$O$4:$O$200"), 'CALLER Portal'!$AB$31),"")</f>
        <v>1.02</v>
      </c>
      <c r="K49" s="13">
        <f ca="1">IFERROR(_xlfn.PERCENTILE.EXC(INDIRECT("'" &amp;K$25 &amp;"'!$O$4:$O$200"), 'CALLER Portal'!$AB$31),"")</f>
        <v>1.6379999999999999</v>
      </c>
      <c r="L49" s="13">
        <f ca="1">IFERROR(_xlfn.PERCENTILE.EXC(INDIRECT("'" &amp;L$25 &amp;"'!$O$4:$O$200"), 'CALLER Portal'!$AB$31),"")</f>
        <v>1.3260000000000001</v>
      </c>
      <c r="M49" s="13">
        <f ca="1">IFERROR(_xlfn.PERCENTILE.EXC(INDIRECT("'" &amp;M$25 &amp;"'!$O$4:$O$200"), 'CALLER Portal'!$AB$31),"")</f>
        <v>0.72</v>
      </c>
      <c r="N49" s="13">
        <f ca="1">IFERROR(_xlfn.PERCENTILE.EXC(INDIRECT("'" &amp;N$25 &amp;"'!$O$4:$O$200"), 'CALLER Portal'!$AB$31),"")</f>
        <v>0.57699999999999996</v>
      </c>
      <c r="O49" s="13">
        <f ca="1">IFERROR(_xlfn.PERCENTILE.EXC(INDIRECT("'" &amp;O$25 &amp;"'!$O$4:$O$200"), 'CALLER Portal'!$AB$31),"")</f>
        <v>0.47</v>
      </c>
      <c r="P49" s="13" t="str">
        <f ca="1">IFERROR(_xlfn.PERCENTILE.EXC(INDIRECT("'" &amp;P$25 &amp;"'!$O$4:$O$200"), 'CALLER Portal'!$AB$31),"")</f>
        <v/>
      </c>
      <c r="Q49" s="13" t="str">
        <f ca="1">IFERROR(_xlfn.PERCENTILE.EXC(INDIRECT("'" &amp;Q$25 &amp;"'!$O$4:$O$200"), 'CALLER Portal'!$AB$31),"")</f>
        <v/>
      </c>
      <c r="R49" s="13" t="str">
        <f ca="1">IFERROR(_xlfn.PERCENTILE.EXC(INDIRECT("'" &amp;R$25 &amp;"'!$O$4:$O$200"), 'CALLER Portal'!$AB$31),"")</f>
        <v/>
      </c>
      <c r="S49" s="13" t="str">
        <f ca="1">IFERROR(_xlfn.PERCENTILE.EXC(INDIRECT("'" &amp;S$25 &amp;"'!$O$4:$O$200"), 'CALLER Portal'!$AB$31),"")</f>
        <v/>
      </c>
      <c r="T49" s="13" t="str">
        <f ca="1">IFERROR(_xlfn.PERCENTILE.EXC(INDIRECT("'" &amp;T$25 &amp;"'!$O$4:$O$200"), 'CALLER Portal'!$AB$31),"")</f>
        <v/>
      </c>
      <c r="U49" s="13" t="str">
        <f ca="1">IFERROR(_xlfn.PERCENTILE.EXC(INDIRECT("'" &amp;U$25 &amp;"'!$O$4:$O$200"), 'CALLER Portal'!$AB$31),"")</f>
        <v/>
      </c>
      <c r="V49" s="13" t="str">
        <f ca="1">IFERROR(_xlfn.PERCENTILE.EXC(INDIRECT("'" &amp;V$25 &amp;"'!$O$4:$O$200"), 'CALLER Portal'!$AB$31),"")</f>
        <v/>
      </c>
      <c r="W49" s="13" t="str">
        <f ca="1">IFERROR(_xlfn.PERCENTILE.EXC(INDIRECT("'" &amp;W$25 &amp;"'!$O$4:$O$200"), 'CALLER Portal'!$AB$31),"")</f>
        <v/>
      </c>
      <c r="X49" s="13" t="str">
        <f ca="1">IFERROR(_xlfn.PERCENTILE.EXC(INDIRECT("'" &amp;X$25 &amp;"'!$O$4:$O$200"), 'CALLER Portal'!$AB$31),"")</f>
        <v/>
      </c>
      <c r="Y49" s="13" t="str">
        <f ca="1">IFERROR(_xlfn.PERCENTILE.EXC(INDIRECT("'" &amp;Y$25 &amp;"'!$O$4:$O$200"), 'CALLER Portal'!$AB$31),"")</f>
        <v/>
      </c>
      <c r="Z49" s="13" t="str">
        <f ca="1">IFERROR(_xlfn.PERCENTILE.EXC(INDIRECT("'" &amp;Z$25 &amp;"'!$O$4:$O$200"), 'CALLER Portal'!$AB$31),"")</f>
        <v/>
      </c>
      <c r="AA49" s="13" t="str">
        <f ca="1">IFERROR(_xlfn.PERCENTILE.EXC(INDIRECT("'" &amp;AA$25 &amp;"'!$O$4:$O$200"), 'CALLER Portal'!$AB$31),"")</f>
        <v/>
      </c>
      <c r="AB49" s="13" t="str">
        <f ca="1">IFERROR(_xlfn.PERCENTILE.EXC(INDIRECT("'" &amp;AB$25 &amp;"'!$O$4:$O$200"), 'CALLER Portal'!$AB$31),"")</f>
        <v/>
      </c>
      <c r="AC49" s="13" t="str">
        <f ca="1">IFERROR(_xlfn.PERCENTILE.EXC(INDIRECT("'" &amp;AC$25 &amp;"'!$O$4:$O$200"), 'CALLER Portal'!$AB$31),"")</f>
        <v/>
      </c>
      <c r="AD49" s="13" t="str">
        <f ca="1">IFERROR(_xlfn.PERCENTILE.EXC(INDIRECT("'" &amp;AD$25 &amp;"'!$O$4:$O$200"), 'CALLER Portal'!$AB$31),"")</f>
        <v/>
      </c>
      <c r="AE49" s="13" t="str">
        <f ca="1">IFERROR(_xlfn.PERCENTILE.EXC(INDIRECT("'" &amp;AE$25 &amp;"'!$O$4:$O$200"), 'CALLER Portal'!$AB$31),"")</f>
        <v/>
      </c>
      <c r="AF49" s="13" t="str">
        <f ca="1">IFERROR(_xlfn.PERCENTILE.EXC(INDIRECT("'" &amp;AF$25 &amp;"'!$O$4:$O$200"), 'CALLER Portal'!$AB$31),"")</f>
        <v/>
      </c>
      <c r="AG49" s="13" t="str">
        <f ca="1">IFERROR(_xlfn.PERCENTILE.EXC(INDIRECT("'" &amp;AG$25 &amp;"'!$O$4:$O$200"), 'CALLER Portal'!$AB$31),"")</f>
        <v/>
      </c>
      <c r="AH49" s="13" t="str">
        <f ca="1">IFERROR(_xlfn.PERCENTILE.EXC(INDIRECT("'" &amp;AH$25 &amp;"'!$O$4:$O$200"), 'CALLER Portal'!$AB$31),"")</f>
        <v/>
      </c>
      <c r="AI49" s="13" t="str">
        <f ca="1">IFERROR(_xlfn.PERCENTILE.EXC(INDIRECT("'" &amp;AI$25 &amp;"'!$O$4:$O$200"), 'CALLER Portal'!$AB$31),"")</f>
        <v/>
      </c>
      <c r="AJ49" s="13" t="str">
        <f ca="1">IFERROR(_xlfn.PERCENTILE.EXC(INDIRECT("'" &amp;AJ$25 &amp;"'!$O$4:$O$200"), 'CALLER Portal'!$AB$31),"")</f>
        <v/>
      </c>
      <c r="AK49" s="13" t="str">
        <f ca="1">IFERROR(_xlfn.PERCENTILE.EXC(INDIRECT("'" &amp;AK$25 &amp;"'!$O$4:$O$200"), 'CALLER Portal'!$AB$31),"")</f>
        <v/>
      </c>
      <c r="AL49" s="13" t="str">
        <f ca="1">IFERROR(_xlfn.PERCENTILE.EXC(INDIRECT("'" &amp;AL$25 &amp;"'!$O$4:$O$200"), 'CALLER Portal'!$AB$31),"")</f>
        <v/>
      </c>
      <c r="AM49" s="13" t="str">
        <f ca="1">IFERROR(_xlfn.PERCENTILE.EXC(INDIRECT("'" &amp;AM$25 &amp;"'!$O$4:$O$200"), 'CALLER Portal'!$AB$31),"")</f>
        <v/>
      </c>
      <c r="AN49" s="13" t="str">
        <f ca="1">IFERROR(_xlfn.PERCENTILE.EXC(INDIRECT("'" &amp;AN$25 &amp;"'!$O$4:$O$200"), 'CALLER Portal'!$AB$31),"")</f>
        <v/>
      </c>
      <c r="AO49" s="13" t="str">
        <f ca="1">IFERROR(_xlfn.PERCENTILE.EXC(INDIRECT("'" &amp;AO$25 &amp;"'!$O$4:$O$200"), 'CALLER Portal'!$AB$31),"")</f>
        <v/>
      </c>
      <c r="AP49" s="13" t="str">
        <f ca="1">IFERROR(_xlfn.PERCENTILE.EXC(INDIRECT("'" &amp;AP$25 &amp;"'!$O$4:$O$200"), 'CALLER Portal'!$AB$31),"")</f>
        <v/>
      </c>
      <c r="AQ49" s="13" t="str">
        <f ca="1">IFERROR(_xlfn.PERCENTILE.EXC(INDIRECT("'" &amp;AQ$25 &amp;"'!$O$4:$O$200"), 'CALLER Portal'!$AB$31),"")</f>
        <v/>
      </c>
      <c r="AR49" s="13" t="str">
        <f ca="1">IFERROR(_xlfn.PERCENTILE.EXC(INDIRECT("'" &amp;AR$25 &amp;"'!$O$4:$O$200"), 'CALLER Portal'!$AB$31),"")</f>
        <v/>
      </c>
      <c r="AS49" s="13" t="str">
        <f ca="1">IFERROR(_xlfn.PERCENTILE.EXC(INDIRECT("'" &amp;AS$25 &amp;"'!$O$4:$O$200"), 'CALLER Portal'!$AB$31),"")</f>
        <v/>
      </c>
      <c r="AT49" s="13" t="str">
        <f ca="1">IFERROR(_xlfn.PERCENTILE.EXC(INDIRECT("'" &amp;AT$25 &amp;"'!$O$4:$O$200"), 'CALLER Portal'!$AB$31),"")</f>
        <v/>
      </c>
      <c r="AU49" s="13" t="str">
        <f ca="1">IFERROR(_xlfn.PERCENTILE.EXC(INDIRECT("'" &amp;AU$25 &amp;"'!$O$4:$O$200"), 'CALLER Portal'!$AB$31),"")</f>
        <v/>
      </c>
      <c r="AV49" s="13" t="str">
        <f ca="1">IFERROR(_xlfn.PERCENTILE.EXC(INDIRECT("'" &amp;AV$25 &amp;"'!$O$4:$O$200"), 'CALLER Portal'!$AB$31),"")</f>
        <v/>
      </c>
      <c r="AW49" s="13" t="str">
        <f ca="1">IFERROR(_xlfn.PERCENTILE.EXC(INDIRECT("'" &amp;AW$25 &amp;"'!$O$4:$O$200"), 'CALLER Portal'!$AB$31),"")</f>
        <v/>
      </c>
      <c r="AX49" s="13" t="str">
        <f ca="1">IFERROR(_xlfn.PERCENTILE.EXC(INDIRECT("'" &amp;AX$25 &amp;"'!$O$4:$O$200"), 'CALLER Portal'!$AB$31),"")</f>
        <v/>
      </c>
      <c r="AY49" s="13" t="str">
        <f ca="1">IFERROR(_xlfn.PERCENTILE.EXC(INDIRECT("'" &amp;AY$25 &amp;"'!$O$4:$O$200"), 'CALLER Portal'!$AB$31),"")</f>
        <v/>
      </c>
      <c r="AZ49" s="13" t="str">
        <f ca="1">IFERROR(_xlfn.PERCENTILE.EXC(INDIRECT("'" &amp;AZ$25 &amp;"'!$O$4:$O$200"), 'CALLER Portal'!$AB$31),"")</f>
        <v/>
      </c>
      <c r="BA49" s="13" t="str">
        <f ca="1">IFERROR(_xlfn.PERCENTILE.EXC(INDIRECT("'" &amp;BA$25 &amp;"'!$O$4:$O$200"), 'CALLER Portal'!$AB$31),"")</f>
        <v/>
      </c>
    </row>
    <row r="50" spans="1:53" s="22" customFormat="1" ht="15.75" thickBot="1" x14ac:dyDescent="0.3">
      <c r="A50" s="604"/>
      <c r="B50" s="34">
        <v>6</v>
      </c>
      <c r="C50" s="14" t="s">
        <v>111</v>
      </c>
      <c r="D50" s="61">
        <f ca="1">IFERROR(IF(D40-'CALLER Portal'!$AB$38 &lt; 0.01, 0.01, D40-'CALLER Portal'!$AB$40), "")</f>
        <v>0.01</v>
      </c>
      <c r="E50" s="61">
        <f ca="1">IFERROR(IF(E40-'CALLER Portal'!$AB$38 &lt; 0.01, 0.01, E40-'CALLER Portal'!$AB$40), "")</f>
        <v>0.01</v>
      </c>
      <c r="F50" s="61">
        <f ca="1">IFERROR(IF(F40-'CALLER Portal'!$AB$38 &lt; 0.01, 0.01, F40-'CALLER Portal'!$AB$40), "")</f>
        <v>0.01</v>
      </c>
      <c r="G50" s="61">
        <f ca="1">IFERROR(IF(G40-'CALLER Portal'!$AB$38 &lt; 0.01, 0.01, G40-'CALLER Portal'!$AB$40), "")</f>
        <v>0.01</v>
      </c>
      <c r="H50" s="61">
        <f ca="1">IFERROR(IF(H40-'CALLER Portal'!$AB$38 &lt; 0.01, 0.01, H40-'CALLER Portal'!$AB$40), "")</f>
        <v>0.01</v>
      </c>
      <c r="I50" s="61">
        <f ca="1">IFERROR(IF(I40-'CALLER Portal'!$AB$38 &lt; 0.01, 0.01, I40-'CALLER Portal'!$AB$40), "")</f>
        <v>0.15000000000000002</v>
      </c>
      <c r="J50" s="61">
        <f ca="1">IFERROR(IF(J40-'CALLER Portal'!$AB$38 &lt; 0.01, 0.01, J40-'CALLER Portal'!$AB$40), "")</f>
        <v>0.19</v>
      </c>
      <c r="K50" s="61">
        <f ca="1">IFERROR(IF(K40-'CALLER Portal'!$AB$38 &lt; 0.01, 0.01, K40-'CALLER Portal'!$AB$40), "")</f>
        <v>0.21000000000000002</v>
      </c>
      <c r="L50" s="61">
        <f ca="1">IFERROR(IF(L40-'CALLER Portal'!$AB$38 &lt; 0.01, 0.01, L40-'CALLER Portal'!$AB$40), "")</f>
        <v>0.16999999999999998</v>
      </c>
      <c r="M50" s="61">
        <f ca="1">IFERROR(IF(M40-'CALLER Portal'!$AB$38 &lt; 0.01, 0.01, M40-'CALLER Portal'!$AB$40), "")</f>
        <v>0.01</v>
      </c>
      <c r="N50" s="61">
        <f ca="1">IFERROR(IF(N40-'CALLER Portal'!$AB$38 &lt; 0.01, 0.01, N40-'CALLER Portal'!$AB$40), "")</f>
        <v>0.01</v>
      </c>
      <c r="O50" s="61">
        <f ca="1">IFERROR(IF(O40-'CALLER Portal'!$AB$38 &lt; 0.01, 0.01, O40-'CALLER Portal'!$AB$40), "")</f>
        <v>0.01</v>
      </c>
      <c r="P50" s="61" t="str">
        <f ca="1">IFERROR(IF(P40-'CALLER Portal'!$AB$38 &lt; 0.01, 0.01, P40-'CALLER Portal'!$AB$40), "")</f>
        <v/>
      </c>
      <c r="Q50" s="61" t="str">
        <f ca="1">IFERROR(IF(Q40-'CALLER Portal'!$AB$38 &lt; 0.01, 0.01, Q40-'CALLER Portal'!$AB$40), "")</f>
        <v/>
      </c>
      <c r="R50" s="61" t="str">
        <f ca="1">IFERROR(IF(R40-'CALLER Portal'!$AB$38 &lt; 0.01, 0.01, R40-'CALLER Portal'!$AB$40), "")</f>
        <v/>
      </c>
      <c r="S50" s="61" t="str">
        <f ca="1">IFERROR(IF(S40-'CALLER Portal'!$AB$38 &lt; 0.01, 0.01, S40-'CALLER Portal'!$AB$40), "")</f>
        <v/>
      </c>
      <c r="T50" s="61" t="str">
        <f ca="1">IFERROR(IF(T40-'CALLER Portal'!$AB$38 &lt; 0.01, 0.01, T40-'CALLER Portal'!$AB$40), "")</f>
        <v/>
      </c>
      <c r="U50" s="61" t="str">
        <f ca="1">IFERROR(IF(U40-'CALLER Portal'!$AB$38 &lt; 0.01, 0.01, U40-'CALLER Portal'!$AB$40), "")</f>
        <v/>
      </c>
      <c r="V50" s="61" t="str">
        <f ca="1">IFERROR(IF(V40-'CALLER Portal'!$AB$38 &lt; 0.01, 0.01, V40-'CALLER Portal'!$AB$40), "")</f>
        <v/>
      </c>
      <c r="W50" s="61" t="str">
        <f ca="1">IFERROR(IF(W40-'CALLER Portal'!$AB$38 &lt; 0.01, 0.01, W40-'CALLER Portal'!$AB$40), "")</f>
        <v/>
      </c>
      <c r="X50" s="61" t="str">
        <f ca="1">IFERROR(IF(X40-'CALLER Portal'!$AB$38 &lt; 0.01, 0.01, X40-'CALLER Portal'!$AB$40), "")</f>
        <v/>
      </c>
      <c r="Y50" s="61" t="str">
        <f ca="1">IFERROR(IF(Y40-'CALLER Portal'!$AB$38 &lt; 0.01, 0.01, Y40-'CALLER Portal'!$AB$40), "")</f>
        <v/>
      </c>
      <c r="Z50" s="61" t="str">
        <f ca="1">IFERROR(IF(Z40-'CALLER Portal'!$AB$38 &lt; 0.01, 0.01, Z40-'CALLER Portal'!$AB$40), "")</f>
        <v/>
      </c>
      <c r="AA50" s="61" t="str">
        <f ca="1">IFERROR(IF(AA40-'CALLER Portal'!$AB$38 &lt; 0.01, 0.01, AA40-'CALLER Portal'!$AB$40), "")</f>
        <v/>
      </c>
      <c r="AB50" s="61" t="str">
        <f ca="1">IFERROR(IF(AB40-'CALLER Portal'!$AB$38 &lt; 0.01, 0.01, AB40-'CALLER Portal'!$AB$40), "")</f>
        <v/>
      </c>
      <c r="AC50" s="61" t="str">
        <f ca="1">IFERROR(IF(AC40-'CALLER Portal'!$AB$38 &lt; 0.01, 0.01, AC40-'CALLER Portal'!$AB$40), "")</f>
        <v/>
      </c>
      <c r="AD50" s="61" t="str">
        <f ca="1">IFERROR(IF(AD40-'CALLER Portal'!$AB$38 &lt; 0.01, 0.01, AD40-'CALLER Portal'!$AB$40), "")</f>
        <v/>
      </c>
      <c r="AE50" s="61" t="str">
        <f ca="1">IFERROR(IF(AE40-'CALLER Portal'!$AB$38 &lt; 0.01, 0.01, AE40-'CALLER Portal'!$AB$40), "")</f>
        <v/>
      </c>
      <c r="AF50" s="61" t="str">
        <f ca="1">IFERROR(IF(AF40-'CALLER Portal'!$AB$38 &lt; 0.01, 0.01, AF40-'CALLER Portal'!$AB$40), "")</f>
        <v/>
      </c>
      <c r="AG50" s="61" t="str">
        <f ca="1">IFERROR(IF(AG40-'CALLER Portal'!$AB$38 &lt; 0.01, 0.01, AG40-'CALLER Portal'!$AB$40), "")</f>
        <v/>
      </c>
      <c r="AH50" s="61" t="str">
        <f ca="1">IFERROR(IF(AH40-'CALLER Portal'!$AB$38 &lt; 0.01, 0.01, AH40-'CALLER Portal'!$AB$40), "")</f>
        <v/>
      </c>
      <c r="AI50" s="61" t="str">
        <f ca="1">IFERROR(IF(AI40-'CALLER Portal'!$AB$38 &lt; 0.01, 0.01, AI40-'CALLER Portal'!$AB$40), "")</f>
        <v/>
      </c>
      <c r="AJ50" s="61" t="str">
        <f ca="1">IFERROR(IF(AJ40-'CALLER Portal'!$AB$38 &lt; 0.01, 0.01, AJ40-'CALLER Portal'!$AB$40), "")</f>
        <v/>
      </c>
      <c r="AK50" s="61" t="str">
        <f ca="1">IFERROR(IF(AK40-'CALLER Portal'!$AB$38 &lt; 0.01, 0.01, AK40-'CALLER Portal'!$AB$40), "")</f>
        <v/>
      </c>
      <c r="AL50" s="61" t="str">
        <f ca="1">IFERROR(IF(AL40-'CALLER Portal'!$AB$38 &lt; 0.01, 0.01, AL40-'CALLER Portal'!$AB$40), "")</f>
        <v/>
      </c>
      <c r="AM50" s="61" t="str">
        <f ca="1">IFERROR(IF(AM40-'CALLER Portal'!$AB$38 &lt; 0.01, 0.01, AM40-'CALLER Portal'!$AB$40), "")</f>
        <v/>
      </c>
      <c r="AN50" s="61" t="str">
        <f ca="1">IFERROR(IF(AN40-'CALLER Portal'!$AB$38 &lt; 0.01, 0.01, AN40-'CALLER Portal'!$AB$40), "")</f>
        <v/>
      </c>
      <c r="AO50" s="61" t="str">
        <f ca="1">IFERROR(IF(AO40-'CALLER Portal'!$AB$38 &lt; 0.01, 0.01, AO40-'CALLER Portal'!$AB$40), "")</f>
        <v/>
      </c>
      <c r="AP50" s="61" t="str">
        <f ca="1">IFERROR(IF(AP40-'CALLER Portal'!$AB$38 &lt; 0.01, 0.01, AP40-'CALLER Portal'!$AB$40), "")</f>
        <v/>
      </c>
      <c r="AQ50" s="61" t="str">
        <f ca="1">IFERROR(IF(AQ40-'CALLER Portal'!$AB$38 &lt; 0.01, 0.01, AQ40-'CALLER Portal'!$AB$40), "")</f>
        <v/>
      </c>
      <c r="AR50" s="61" t="str">
        <f ca="1">IFERROR(IF(AR40-'CALLER Portal'!$AB$38 &lt; 0.01, 0.01, AR40-'CALLER Portal'!$AB$40), "")</f>
        <v/>
      </c>
      <c r="AS50" s="61" t="str">
        <f ca="1">IFERROR(IF(AS40-'CALLER Portal'!$AB$38 &lt; 0.01, 0.01, AS40-'CALLER Portal'!$AB$40), "")</f>
        <v/>
      </c>
      <c r="AT50" s="61" t="str">
        <f ca="1">IFERROR(IF(AT40-'CALLER Portal'!$AB$38 &lt; 0.01, 0.01, AT40-'CALLER Portal'!$AB$40), "")</f>
        <v/>
      </c>
      <c r="AU50" s="61" t="str">
        <f ca="1">IFERROR(IF(AU40-'CALLER Portal'!$AB$38 &lt; 0.01, 0.01, AU40-'CALLER Portal'!$AB$40), "")</f>
        <v/>
      </c>
      <c r="AV50" s="61" t="str">
        <f ca="1">IFERROR(IF(AV40-'CALLER Portal'!$AB$38 &lt; 0.01, 0.01, AV40-'CALLER Portal'!$AB$40), "")</f>
        <v/>
      </c>
      <c r="AW50" s="61" t="str">
        <f ca="1">IFERROR(IF(AW40-'CALLER Portal'!$AB$38 &lt; 0.01, 0.01, AW40-'CALLER Portal'!$AB$40), "")</f>
        <v/>
      </c>
      <c r="AX50" s="61" t="str">
        <f ca="1">IFERROR(IF(AX40-'CALLER Portal'!$AB$38 &lt; 0.01, 0.01, AX40-'CALLER Portal'!$AB$40), "")</f>
        <v/>
      </c>
      <c r="AY50" s="61" t="str">
        <f ca="1">IFERROR(IF(AY40-'CALLER Portal'!$AB$38 &lt; 0.01, 0.01, AY40-'CALLER Portal'!$AB$40), "")</f>
        <v/>
      </c>
      <c r="AZ50" s="61" t="str">
        <f ca="1">IFERROR(IF(AZ40-'CALLER Portal'!$AB$38 &lt; 0.01, 0.01, AZ40-'CALLER Portal'!$AB$40), "")</f>
        <v/>
      </c>
      <c r="BA50" s="61" t="str">
        <f ca="1">IFERROR(IF(BA40-'CALLER Portal'!$AB$38 &lt; 0.01, 0.01, BA40-'CALLER Portal'!$AB$40), "")</f>
        <v/>
      </c>
    </row>
    <row r="51" spans="1:53" s="22" customFormat="1" ht="15.75" thickBot="1" x14ac:dyDescent="0.3">
      <c r="A51" s="604"/>
      <c r="B51" s="34">
        <v>7</v>
      </c>
      <c r="C51" s="39" t="s">
        <v>107</v>
      </c>
      <c r="D51" s="63">
        <f ca="1">IFERROR(_xlfn.PERCENTILE.EXC(INDIRECT("'" &amp;D$25 &amp;"'!$Q$4:$Q$200"),'CALLER Portal'!$AB$31),"")</f>
        <v>0.02</v>
      </c>
      <c r="E51" s="63">
        <f ca="1">IFERROR(_xlfn.PERCENTILE.EXC(INDIRECT("'" &amp;E$25 &amp;"'!$Q$4:$Q$200"),'CALLER Portal'!$AB$31),"")</f>
        <v>0.22799999999999998</v>
      </c>
      <c r="F51" s="63">
        <f ca="1">IFERROR(_xlfn.PERCENTILE.EXC(INDIRECT("'" &amp;F$25 &amp;"'!$Q$4:$Q$200"),'CALLER Portal'!$AB$31),"")</f>
        <v>0.21</v>
      </c>
      <c r="G51" s="63">
        <f ca="1">IFERROR(_xlfn.PERCENTILE.EXC(INDIRECT("'" &amp;G$25 &amp;"'!$Q$4:$Q$200"),'CALLER Portal'!$AB$31),"")</f>
        <v>0.01</v>
      </c>
      <c r="H51" s="63">
        <f ca="1">IFERROR(_xlfn.PERCENTILE.EXC(INDIRECT("'" &amp;H$25 &amp;"'!$Q$4:$Q$200"),'CALLER Portal'!$AB$31),"")</f>
        <v>0.01</v>
      </c>
      <c r="I51" s="63">
        <f ca="1">IFERROR(_xlfn.PERCENTILE.EXC(INDIRECT("'" &amp;I$25 &amp;"'!$Q$4:$Q$200"),'CALLER Portal'!$AB$31),"")</f>
        <v>0.3</v>
      </c>
      <c r="J51" s="63">
        <f ca="1">IFERROR(_xlfn.PERCENTILE.EXC(INDIRECT("'" &amp;J$25 &amp;"'!$Q$4:$Q$200"),'CALLER Portal'!$AB$31),"")</f>
        <v>0.377</v>
      </c>
      <c r="K51" s="63">
        <f ca="1">IFERROR(_xlfn.PERCENTILE.EXC(INDIRECT("'" &amp;K$25 &amp;"'!$Q$4:$Q$200"),'CALLER Portal'!$AB$31),"")</f>
        <v>0.39300000000000002</v>
      </c>
      <c r="L51" s="63">
        <f ca="1">IFERROR(_xlfn.PERCENTILE.EXC(INDIRECT("'" &amp;L$25 &amp;"'!$Q$4:$Q$200"),'CALLER Portal'!$AB$31),"")</f>
        <v>0.37</v>
      </c>
      <c r="M51" s="63">
        <f ca="1">IFERROR(_xlfn.PERCENTILE.EXC(INDIRECT("'" &amp;M$25 &amp;"'!$Q$4:$Q$200"),'CALLER Portal'!$AB$31),"")</f>
        <v>0.32700000000000001</v>
      </c>
      <c r="N51" s="63">
        <f ca="1">IFERROR(_xlfn.PERCENTILE.EXC(INDIRECT("'" &amp;N$25 &amp;"'!$Q$4:$Q$200"),'CALLER Portal'!$AB$31),"")</f>
        <v>0.22399999999999998</v>
      </c>
      <c r="O51" s="63">
        <f ca="1">IFERROR(_xlfn.PERCENTILE.EXC(INDIRECT("'" &amp;O$25 &amp;"'!$Q$4:$Q$200"),'CALLER Portal'!$AB$31),"")</f>
        <v>0.32</v>
      </c>
      <c r="P51" s="63" t="str">
        <f ca="1">IFERROR(_xlfn.PERCENTILE.EXC(INDIRECT("'" &amp;P$25 &amp;"'!$Q$4:$Q$200"),'CALLER Portal'!$AB$31),"")</f>
        <v/>
      </c>
      <c r="Q51" s="63" t="str">
        <f ca="1">IFERROR(_xlfn.PERCENTILE.EXC(INDIRECT("'" &amp;Q$25 &amp;"'!$Q$4:$Q$200"),'CALLER Portal'!$AB$31),"")</f>
        <v/>
      </c>
      <c r="R51" s="63" t="str">
        <f ca="1">IFERROR(_xlfn.PERCENTILE.EXC(INDIRECT("'" &amp;R$25 &amp;"'!$Q$4:$Q$200"),'CALLER Portal'!$AB$31),"")</f>
        <v/>
      </c>
      <c r="S51" s="63" t="str">
        <f ca="1">IFERROR(_xlfn.PERCENTILE.EXC(INDIRECT("'" &amp;S$25 &amp;"'!$Q$4:$Q$200"),'CALLER Portal'!$AB$31),"")</f>
        <v/>
      </c>
      <c r="T51" s="63" t="str">
        <f ca="1">IFERROR(_xlfn.PERCENTILE.EXC(INDIRECT("'" &amp;T$25 &amp;"'!$Q$4:$Q$200"),'CALLER Portal'!$AB$31),"")</f>
        <v/>
      </c>
      <c r="U51" s="63" t="str">
        <f ca="1">IFERROR(_xlfn.PERCENTILE.EXC(INDIRECT("'" &amp;U$25 &amp;"'!$Q$4:$Q$200"),'CALLER Portal'!$AB$31),"")</f>
        <v/>
      </c>
      <c r="V51" s="63" t="str">
        <f ca="1">IFERROR(_xlfn.PERCENTILE.EXC(INDIRECT("'" &amp;V$25 &amp;"'!$Q$4:$Q$200"),'CALLER Portal'!$AB$31),"")</f>
        <v/>
      </c>
      <c r="W51" s="63" t="str">
        <f ca="1">IFERROR(_xlfn.PERCENTILE.EXC(INDIRECT("'" &amp;W$25 &amp;"'!$Q$4:$Q$200"),'CALLER Portal'!$AB$31),"")</f>
        <v/>
      </c>
      <c r="X51" s="63" t="str">
        <f ca="1">IFERROR(_xlfn.PERCENTILE.EXC(INDIRECT("'" &amp;X$25 &amp;"'!$Q$4:$Q$200"),'CALLER Portal'!$AB$31),"")</f>
        <v/>
      </c>
      <c r="Y51" s="63" t="str">
        <f ca="1">IFERROR(_xlfn.PERCENTILE.EXC(INDIRECT("'" &amp;Y$25 &amp;"'!$Q$4:$Q$200"),'CALLER Portal'!$AB$31),"")</f>
        <v/>
      </c>
      <c r="Z51" s="63" t="str">
        <f ca="1">IFERROR(_xlfn.PERCENTILE.EXC(INDIRECT("'" &amp;Z$25 &amp;"'!$Q$4:$Q$200"),'CALLER Portal'!$AB$31),"")</f>
        <v/>
      </c>
      <c r="AA51" s="63" t="str">
        <f ca="1">IFERROR(_xlfn.PERCENTILE.EXC(INDIRECT("'" &amp;AA$25 &amp;"'!$Q$4:$Q$200"),'CALLER Portal'!$AB$31),"")</f>
        <v/>
      </c>
      <c r="AB51" s="63" t="str">
        <f ca="1">IFERROR(_xlfn.PERCENTILE.EXC(INDIRECT("'" &amp;AB$25 &amp;"'!$Q$4:$Q$200"),'CALLER Portal'!$AB$31),"")</f>
        <v/>
      </c>
      <c r="AC51" s="63" t="str">
        <f ca="1">IFERROR(_xlfn.PERCENTILE.EXC(INDIRECT("'" &amp;AC$25 &amp;"'!$Q$4:$Q$200"),'CALLER Portal'!$AB$31),"")</f>
        <v/>
      </c>
      <c r="AD51" s="63" t="str">
        <f ca="1">IFERROR(_xlfn.PERCENTILE.EXC(INDIRECT("'" &amp;AD$25 &amp;"'!$Q$4:$Q$200"),'CALLER Portal'!$AB$31),"")</f>
        <v/>
      </c>
      <c r="AE51" s="63" t="str">
        <f ca="1">IFERROR(_xlfn.PERCENTILE.EXC(INDIRECT("'" &amp;AE$25 &amp;"'!$Q$4:$Q$200"),'CALLER Portal'!$AB$31),"")</f>
        <v/>
      </c>
      <c r="AF51" s="63" t="str">
        <f ca="1">IFERROR(_xlfn.PERCENTILE.EXC(INDIRECT("'" &amp;AF$25 &amp;"'!$Q$4:$Q$200"),'CALLER Portal'!$AB$31),"")</f>
        <v/>
      </c>
      <c r="AG51" s="63" t="str">
        <f ca="1">IFERROR(_xlfn.PERCENTILE.EXC(INDIRECT("'" &amp;AG$25 &amp;"'!$Q$4:$Q$200"),'CALLER Portal'!$AB$31),"")</f>
        <v/>
      </c>
      <c r="AH51" s="63" t="str">
        <f ca="1">IFERROR(_xlfn.PERCENTILE.EXC(INDIRECT("'" &amp;AH$25 &amp;"'!$Q$4:$Q$200"),'CALLER Portal'!$AB$31),"")</f>
        <v/>
      </c>
      <c r="AI51" s="63" t="str">
        <f ca="1">IFERROR(_xlfn.PERCENTILE.EXC(INDIRECT("'" &amp;AI$25 &amp;"'!$Q$4:$Q$200"),'CALLER Portal'!$AB$31),"")</f>
        <v/>
      </c>
      <c r="AJ51" s="63" t="str">
        <f ca="1">IFERROR(_xlfn.PERCENTILE.EXC(INDIRECT("'" &amp;AJ$25 &amp;"'!$Q$4:$Q$200"),'CALLER Portal'!$AB$31),"")</f>
        <v/>
      </c>
      <c r="AK51" s="63" t="str">
        <f ca="1">IFERROR(_xlfn.PERCENTILE.EXC(INDIRECT("'" &amp;AK$25 &amp;"'!$Q$4:$Q$200"),'CALLER Portal'!$AB$31),"")</f>
        <v/>
      </c>
      <c r="AL51" s="63" t="str">
        <f ca="1">IFERROR(_xlfn.PERCENTILE.EXC(INDIRECT("'" &amp;AL$25 &amp;"'!$Q$4:$Q$200"),'CALLER Portal'!$AB$31),"")</f>
        <v/>
      </c>
      <c r="AM51" s="63" t="str">
        <f ca="1">IFERROR(_xlfn.PERCENTILE.EXC(INDIRECT("'" &amp;AM$25 &amp;"'!$Q$4:$Q$200"),'CALLER Portal'!$AB$31),"")</f>
        <v/>
      </c>
      <c r="AN51" s="63" t="str">
        <f ca="1">IFERROR(_xlfn.PERCENTILE.EXC(INDIRECT("'" &amp;AN$25 &amp;"'!$Q$4:$Q$200"),'CALLER Portal'!$AB$31),"")</f>
        <v/>
      </c>
      <c r="AO51" s="63" t="str">
        <f ca="1">IFERROR(_xlfn.PERCENTILE.EXC(INDIRECT("'" &amp;AO$25 &amp;"'!$Q$4:$Q$200"),'CALLER Portal'!$AB$31),"")</f>
        <v/>
      </c>
      <c r="AP51" s="63" t="str">
        <f ca="1">IFERROR(_xlfn.PERCENTILE.EXC(INDIRECT("'" &amp;AP$25 &amp;"'!$Q$4:$Q$200"),'CALLER Portal'!$AB$31),"")</f>
        <v/>
      </c>
      <c r="AQ51" s="63" t="str">
        <f ca="1">IFERROR(_xlfn.PERCENTILE.EXC(INDIRECT("'" &amp;AQ$25 &amp;"'!$Q$4:$Q$200"),'CALLER Portal'!$AB$31),"")</f>
        <v/>
      </c>
      <c r="AR51" s="63" t="str">
        <f ca="1">IFERROR(_xlfn.PERCENTILE.EXC(INDIRECT("'" &amp;AR$25 &amp;"'!$Q$4:$Q$200"),'CALLER Portal'!$AB$31),"")</f>
        <v/>
      </c>
      <c r="AS51" s="63" t="str">
        <f ca="1">IFERROR(_xlfn.PERCENTILE.EXC(INDIRECT("'" &amp;AS$25 &amp;"'!$Q$4:$Q$200"),'CALLER Portal'!$AB$31),"")</f>
        <v/>
      </c>
      <c r="AT51" s="63" t="str">
        <f ca="1">IFERROR(_xlfn.PERCENTILE.EXC(INDIRECT("'" &amp;AT$25 &amp;"'!$Q$4:$Q$200"),'CALLER Portal'!$AB$31),"")</f>
        <v/>
      </c>
      <c r="AU51" s="63" t="str">
        <f ca="1">IFERROR(_xlfn.PERCENTILE.EXC(INDIRECT("'" &amp;AU$25 &amp;"'!$Q$4:$Q$200"),'CALLER Portal'!$AB$31),"")</f>
        <v/>
      </c>
      <c r="AV51" s="63" t="str">
        <f ca="1">IFERROR(_xlfn.PERCENTILE.EXC(INDIRECT("'" &amp;AV$25 &amp;"'!$Q$4:$Q$200"),'CALLER Portal'!$AB$31),"")</f>
        <v/>
      </c>
      <c r="AW51" s="63" t="str">
        <f ca="1">IFERROR(_xlfn.PERCENTILE.EXC(INDIRECT("'" &amp;AW$25 &amp;"'!$Q$4:$Q$200"),'CALLER Portal'!$AB$31),"")</f>
        <v/>
      </c>
      <c r="AX51" s="63" t="str">
        <f ca="1">IFERROR(_xlfn.PERCENTILE.EXC(INDIRECT("'" &amp;AX$25 &amp;"'!$Q$4:$Q$200"),'CALLER Portal'!$AB$31),"")</f>
        <v/>
      </c>
      <c r="AY51" s="63" t="str">
        <f ca="1">IFERROR(_xlfn.PERCENTILE.EXC(INDIRECT("'" &amp;AY$25 &amp;"'!$Q$4:$Q$200"),'CALLER Portal'!$AB$31),"")</f>
        <v/>
      </c>
      <c r="AZ51" s="63" t="str">
        <f ca="1">IFERROR(_xlfn.PERCENTILE.EXC(INDIRECT("'" &amp;AZ$25 &amp;"'!$Q$4:$Q$200"),'CALLER Portal'!$AB$31),"")</f>
        <v/>
      </c>
      <c r="BA51" s="63" t="str">
        <f ca="1">IFERROR(_xlfn.PERCENTILE.EXC(INDIRECT("'" &amp;BA$25 &amp;"'!$Q$4:$Q$200"),'CALLER Portal'!$AB$31),"")</f>
        <v/>
      </c>
    </row>
    <row r="52" spans="1:53" ht="15.75" thickBot="1" x14ac:dyDescent="0.3">
      <c r="A52" s="604"/>
    </row>
    <row r="53" spans="1:53" s="22" customFormat="1" ht="15.75" thickBot="1" x14ac:dyDescent="0.3">
      <c r="A53" s="604"/>
      <c r="C53" s="50" t="s">
        <v>78</v>
      </c>
    </row>
    <row r="54" spans="1:53" s="22" customFormat="1" ht="15.75" thickBot="1" x14ac:dyDescent="0.3">
      <c r="A54" s="604"/>
      <c r="C54" s="1" t="s">
        <v>0</v>
      </c>
      <c r="D54" s="120">
        <f>IF(YEAR('CALLER Portal'!$AB$33)=2018,D23,IF(YEAR('CALLER Portal'!$AB$33)=2019,D24,"-"))</f>
        <v>43470</v>
      </c>
      <c r="E54" s="120">
        <f>IF(YEAR('CALLER Portal'!$AB$33)=2018,E23,IF(YEAR('CALLER Portal'!$AB$33)=2019,E24,"-"))</f>
        <v>43477</v>
      </c>
      <c r="F54" s="120">
        <f>IF(YEAR('CALLER Portal'!$AB$33)=2018,F23,IF(YEAR('CALLER Portal'!$AB$33)=2019,F24,"-"))</f>
        <v>43484</v>
      </c>
      <c r="G54" s="120">
        <f>IF(YEAR('CALLER Portal'!$AB$33)=2018,G23,IF(YEAR('CALLER Portal'!$AB$33)=2019,G24,"-"))</f>
        <v>43491</v>
      </c>
      <c r="H54" s="120">
        <f>IF(YEAR('CALLER Portal'!$AB$33)=2018,H23,IF(YEAR('CALLER Portal'!$AB$33)=2019,H24,"-"))</f>
        <v>43498</v>
      </c>
      <c r="I54" s="120">
        <f>IF(YEAR('CALLER Portal'!$AB$33)=2018,I23,IF(YEAR('CALLER Portal'!$AB$33)=2019,I24,"-"))</f>
        <v>43505</v>
      </c>
      <c r="J54" s="120">
        <f>IF(YEAR('CALLER Portal'!$AB$33)=2018,J23,IF(YEAR('CALLER Portal'!$AB$33)=2019,J24,"-"))</f>
        <v>43512</v>
      </c>
      <c r="K54" s="120">
        <f>IF(YEAR('CALLER Portal'!$AB$33)=2018,K23,IF(YEAR('CALLER Portal'!$AB$33)=2019,K24,"-"))</f>
        <v>43519</v>
      </c>
      <c r="L54" s="120">
        <f>IF(YEAR('CALLER Portal'!$AB$33)=2018,L23,IF(YEAR('CALLER Portal'!$AB$33)=2019,L24,"-"))</f>
        <v>43526</v>
      </c>
      <c r="M54" s="120">
        <f>IF(YEAR('CALLER Portal'!$AB$33)=2018,M23,IF(YEAR('CALLER Portal'!$AB$33)=2019,M24,"-"))</f>
        <v>43533</v>
      </c>
      <c r="N54" s="120">
        <f>IF(YEAR('CALLER Portal'!$AB$33)=2018,N23,IF(YEAR('CALLER Portal'!$AB$33)=2019,N24,"-"))</f>
        <v>43540</v>
      </c>
      <c r="O54" s="120">
        <f>IF(YEAR('CALLER Portal'!$AB$33)=2018,O23,IF(YEAR('CALLER Portal'!$AB$33)=2019,O24,"-"))</f>
        <v>43547</v>
      </c>
      <c r="P54" s="120">
        <f>IF(YEAR('CALLER Portal'!$AB$33)=2018,P23,IF(YEAR('CALLER Portal'!$AB$33)=2019,P24,"-"))</f>
        <v>43554</v>
      </c>
      <c r="Q54" s="120">
        <f>IF(YEAR('CALLER Portal'!$AB$33)=2018,Q23,IF(YEAR('CALLER Portal'!$AB$33)=2019,Q24,"-"))</f>
        <v>43561</v>
      </c>
      <c r="R54" s="120">
        <f>IF(YEAR('CALLER Portal'!$AB$33)=2018,R23,IF(YEAR('CALLER Portal'!$AB$33)=2019,R24,"-"))</f>
        <v>43568</v>
      </c>
      <c r="S54" s="120">
        <f>IF(YEAR('CALLER Portal'!$AB$33)=2018,S23,IF(YEAR('CALLER Portal'!$AB$33)=2019,S24,"-"))</f>
        <v>43575</v>
      </c>
      <c r="T54" s="120">
        <f>IF(YEAR('CALLER Portal'!$AB$33)=2018,T23,IF(YEAR('CALLER Portal'!$AB$33)=2019,T24,"-"))</f>
        <v>43582</v>
      </c>
      <c r="U54" s="120">
        <f>IF(YEAR('CALLER Portal'!$AB$33)=2018,U23,IF(YEAR('CALLER Portal'!$AB$33)=2019,U24,"-"))</f>
        <v>43589</v>
      </c>
      <c r="V54" s="120">
        <f>IF(YEAR('CALLER Portal'!$AB$33)=2018,V23,IF(YEAR('CALLER Portal'!$AB$33)=2019,V24,"-"))</f>
        <v>43596</v>
      </c>
      <c r="W54" s="120">
        <f>IF(YEAR('CALLER Portal'!$AB$33)=2018,W23,IF(YEAR('CALLER Portal'!$AB$33)=2019,W24,"-"))</f>
        <v>43603</v>
      </c>
      <c r="X54" s="120">
        <f>IF(YEAR('CALLER Portal'!$AB$33)=2018,X23,IF(YEAR('CALLER Portal'!$AB$33)=2019,X24,"-"))</f>
        <v>43610</v>
      </c>
      <c r="Y54" s="120">
        <f>IF(YEAR('CALLER Portal'!$AB$33)=2018,Y23,IF(YEAR('CALLER Portal'!$AB$33)=2019,Y24,"-"))</f>
        <v>43617</v>
      </c>
      <c r="Z54" s="120">
        <f>IF(YEAR('CALLER Portal'!$AB$33)=2018,Z23,IF(YEAR('CALLER Portal'!$AB$33)=2019,Z24,"-"))</f>
        <v>43624</v>
      </c>
      <c r="AA54" s="120">
        <f>IF(YEAR('CALLER Portal'!$AB$33)=2018,AA23,IF(YEAR('CALLER Portal'!$AB$33)=2019,AA24,"-"))</f>
        <v>43631</v>
      </c>
      <c r="AB54" s="120">
        <f>IF(YEAR('CALLER Portal'!$AB$33)=2018,AB23,IF(YEAR('CALLER Portal'!$AB$33)=2019,AB24,"-"))</f>
        <v>43638</v>
      </c>
      <c r="AC54" s="120">
        <f>IF(YEAR('CALLER Portal'!$AB$33)=2018,AC23,IF(YEAR('CALLER Portal'!$AB$33)=2019,AC24,"-"))</f>
        <v>43645</v>
      </c>
      <c r="AD54" s="120">
        <f>IF(YEAR('CALLER Portal'!$AB$33)=2018,AD23,IF(YEAR('CALLER Portal'!$AB$33)=2019,AD24,"-"))</f>
        <v>43652</v>
      </c>
      <c r="AE54" s="120">
        <f>IF(YEAR('CALLER Portal'!$AB$33)=2018,AE23,IF(YEAR('CALLER Portal'!$AB$33)=2019,AE24,"-"))</f>
        <v>43659</v>
      </c>
      <c r="AF54" s="120">
        <f>IF(YEAR('CALLER Portal'!$AB$33)=2018,AF23,IF(YEAR('CALLER Portal'!$AB$33)=2019,AF24,"-"))</f>
        <v>43666</v>
      </c>
      <c r="AG54" s="120">
        <f>IF(YEAR('CALLER Portal'!$AB$33)=2018,AG23,IF(YEAR('CALLER Portal'!$AB$33)=2019,AG24,"-"))</f>
        <v>43673</v>
      </c>
      <c r="AH54" s="120">
        <f>IF(YEAR('CALLER Portal'!$AB$33)=2018,AH23,IF(YEAR('CALLER Portal'!$AB$33)=2019,AH24,"-"))</f>
        <v>43680</v>
      </c>
      <c r="AI54" s="120">
        <f>IF(YEAR('CALLER Portal'!$AB$33)=2018,AI23,IF(YEAR('CALLER Portal'!$AB$33)=2019,AI24,"-"))</f>
        <v>43687</v>
      </c>
      <c r="AJ54" s="120">
        <f>IF(YEAR('CALLER Portal'!$AB$33)=2018,AJ23,IF(YEAR('CALLER Portal'!$AB$33)=2019,AJ24,"-"))</f>
        <v>43694</v>
      </c>
      <c r="AK54" s="120">
        <f>IF(YEAR('CALLER Portal'!$AB$33)=2018,AK23,IF(YEAR('CALLER Portal'!$AB$33)=2019,AK24,"-"))</f>
        <v>43701</v>
      </c>
      <c r="AL54" s="120">
        <f>IF(YEAR('CALLER Portal'!$AB$33)=2018,AL23,IF(YEAR('CALLER Portal'!$AB$33)=2019,AL24,"-"))</f>
        <v>43708</v>
      </c>
      <c r="AM54" s="120">
        <f>IF(YEAR('CALLER Portal'!$AB$33)=2018,AM23,IF(YEAR('CALLER Portal'!$AB$33)=2019,AM24,"-"))</f>
        <v>43715</v>
      </c>
      <c r="AN54" s="120">
        <f>IF(YEAR('CALLER Portal'!$AB$33)=2018,AN23,IF(YEAR('CALLER Portal'!$AB$33)=2019,AN24,"-"))</f>
        <v>43722</v>
      </c>
      <c r="AO54" s="120">
        <f>IF(YEAR('CALLER Portal'!$AB$33)=2018,AO23,IF(YEAR('CALLER Portal'!$AB$33)=2019,AO24,"-"))</f>
        <v>43729</v>
      </c>
      <c r="AP54" s="120">
        <f>IF(YEAR('CALLER Portal'!$AB$33)=2018,AP23,IF(YEAR('CALLER Portal'!$AB$33)=2019,AP24,"-"))</f>
        <v>43736</v>
      </c>
      <c r="AQ54" s="120">
        <f>IF(YEAR('CALLER Portal'!$AB$33)=2018,AQ23,IF(YEAR('CALLER Portal'!$AB$33)=2019,AQ24,"-"))</f>
        <v>43743</v>
      </c>
      <c r="AR54" s="120">
        <f>IF(YEAR('CALLER Portal'!$AB$33)=2018,AR23,IF(YEAR('CALLER Portal'!$AB$33)=2019,AR24,"-"))</f>
        <v>43750</v>
      </c>
      <c r="AS54" s="120">
        <f>IF(YEAR('CALLER Portal'!$AB$33)=2018,AS23,IF(YEAR('CALLER Portal'!$AB$33)=2019,AS24,"-"))</f>
        <v>43757</v>
      </c>
      <c r="AT54" s="120">
        <f>IF(YEAR('CALLER Portal'!$AB$33)=2018,AT23,IF(YEAR('CALLER Portal'!$AB$33)=2019,AT24,"-"))</f>
        <v>43764</v>
      </c>
      <c r="AU54" s="120">
        <f>IF(YEAR('CALLER Portal'!$AB$33)=2018,AU23,IF(YEAR('CALLER Portal'!$AB$33)=2019,AU24,"-"))</f>
        <v>43771</v>
      </c>
      <c r="AV54" s="120">
        <f>IF(YEAR('CALLER Portal'!$AB$33)=2018,AV23,IF(YEAR('CALLER Portal'!$AB$33)=2019,AV24,"-"))</f>
        <v>43778</v>
      </c>
      <c r="AW54" s="120">
        <f>IF(YEAR('CALLER Portal'!$AB$33)=2018,AW23,IF(YEAR('CALLER Portal'!$AB$33)=2019,AW24,"-"))</f>
        <v>43785</v>
      </c>
      <c r="AX54" s="120">
        <f>IF(YEAR('CALLER Portal'!$AB$33)=2018,AX23,IF(YEAR('CALLER Portal'!$AB$33)=2019,AX24,"-"))</f>
        <v>43792</v>
      </c>
      <c r="AY54" s="120">
        <f>IF(YEAR('CALLER Portal'!$AB$33)=2018,AY23,IF(YEAR('CALLER Portal'!$AB$33)=2019,AY24,"-"))</f>
        <v>43799</v>
      </c>
      <c r="AZ54" s="120">
        <f>IF(YEAR('CALLER Portal'!$AB$33)=2018,AZ23,IF(YEAR('CALLER Portal'!$AB$33)=2019,AZ24,"-"))</f>
        <v>43806</v>
      </c>
      <c r="BA54" s="120">
        <f>IF(YEAR('CALLER Portal'!$AB$33)=2018,BA23,IF(YEAR('CALLER Portal'!$AB$33)=2019,BA24,"-"))</f>
        <v>43813</v>
      </c>
    </row>
    <row r="55" spans="1:53" s="22" customFormat="1" ht="15.75" thickBot="1" x14ac:dyDescent="0.3">
      <c r="A55" s="604"/>
      <c r="B55" s="43">
        <v>1</v>
      </c>
      <c r="C55" s="2" t="s">
        <v>108</v>
      </c>
      <c r="D55" s="62">
        <f ca="1">IFERROR(_xlfn.PERCENTILE.EXC(INDIRECT("'" &amp;D$25 &amp;"'!$K$4:$K$200"), 'CALLER Portal'!$AB$32),"")</f>
        <v>7.1949999999999972E-2</v>
      </c>
      <c r="E55" s="62">
        <f ca="1">IFERROR(_xlfn.PERCENTILE.EXC(INDIRECT("'" &amp;E$25 &amp;"'!$K$4:$K$200"), 'CALLER Portal'!$AB$32),"")</f>
        <v>0.13950000000000001</v>
      </c>
      <c r="F55" s="62">
        <f ca="1">IFERROR(_xlfn.PERCENTILE.EXC(INDIRECT("'" &amp;F$25 &amp;"'!$K$4:$K$200"), 'CALLER Portal'!$AB$32),"")</f>
        <v>0.16669999999999999</v>
      </c>
      <c r="G55" s="62">
        <f ca="1">IFERROR(_xlfn.PERCENTILE.EXC(INDIRECT("'" &amp;G$25 &amp;"'!$K$4:$K$200"), 'CALLER Portal'!$AB$32),"")</f>
        <v>7.6099999999999959E-2</v>
      </c>
      <c r="H55" s="62">
        <f ca="1">IFERROR(_xlfn.PERCENTILE.EXC(INDIRECT("'" &amp;H$25 &amp;"'!$K$4:$K$200"), 'CALLER Portal'!$AB$32),"")</f>
        <v>0.12607999999999997</v>
      </c>
      <c r="I55" s="62">
        <f ca="1">IFERROR(_xlfn.PERCENTILE.EXC(INDIRECT("'" &amp;I$25 &amp;"'!$K$4:$K$200"), 'CALLER Portal'!$AB$32),"")</f>
        <v>0.43479999999999996</v>
      </c>
      <c r="J55" s="62">
        <f ca="1">IFERROR(_xlfn.PERCENTILE.EXC(INDIRECT("'" &amp;J$25 &amp;"'!$K$4:$K$200"), 'CALLER Portal'!$AB$32),"")</f>
        <v>0.51019999999999999</v>
      </c>
      <c r="K55" s="62">
        <f ca="1">IFERROR(_xlfn.PERCENTILE.EXC(INDIRECT("'" &amp;K$25 &amp;"'!$K$4:$K$200"), 'CALLER Portal'!$AB$32),"")</f>
        <v>0.70638000000000001</v>
      </c>
      <c r="L55" s="62">
        <f ca="1">IFERROR(_xlfn.PERCENTILE.EXC(INDIRECT("'" &amp;L$25 &amp;"'!$K$4:$K$200"), 'CALLER Portal'!$AB$32),"")</f>
        <v>0.68947999999999998</v>
      </c>
      <c r="M55" s="62">
        <f ca="1">IFERROR(_xlfn.PERCENTILE.EXC(INDIRECT("'" &amp;M$25 &amp;"'!$K$4:$K$200"), 'CALLER Portal'!$AB$32),"")</f>
        <v>0.45450000000000002</v>
      </c>
      <c r="N55" s="62">
        <f ca="1">IFERROR(_xlfn.PERCENTILE.EXC(INDIRECT("'" &amp;N$25 &amp;"'!$K$4:$K$200"), 'CALLER Portal'!$AB$32),"")</f>
        <v>0.12661999999999998</v>
      </c>
      <c r="O55" s="62">
        <f ca="1">IFERROR(_xlfn.PERCENTILE.EXC(INDIRECT("'" &amp;O$25 &amp;"'!$K$4:$K$200"), 'CALLER Portal'!$AB$32),"")</f>
        <v>0.20793999999999999</v>
      </c>
      <c r="P55" s="62" t="str">
        <f ca="1">IFERROR(_xlfn.PERCENTILE.EXC(INDIRECT("'" &amp;P$25 &amp;"'!$K$4:$K$200"), 'CALLER Portal'!$AB$32),"")</f>
        <v/>
      </c>
      <c r="Q55" s="62" t="str">
        <f ca="1">IFERROR(_xlfn.PERCENTILE.EXC(INDIRECT("'" &amp;Q$25 &amp;"'!$K$4:$K$200"), 'CALLER Portal'!$AB$32),"")</f>
        <v/>
      </c>
      <c r="R55" s="62" t="str">
        <f ca="1">IFERROR(_xlfn.PERCENTILE.EXC(INDIRECT("'" &amp;R$25 &amp;"'!$K$4:$K$200"), 'CALLER Portal'!$AB$32),"")</f>
        <v/>
      </c>
      <c r="S55" s="62" t="str">
        <f ca="1">IFERROR(_xlfn.PERCENTILE.EXC(INDIRECT("'" &amp;S$25 &amp;"'!$K$4:$K$200"), 'CALLER Portal'!$AB$32),"")</f>
        <v/>
      </c>
      <c r="T55" s="62" t="str">
        <f ca="1">IFERROR(_xlfn.PERCENTILE.EXC(INDIRECT("'" &amp;T$25 &amp;"'!$K$4:$K$200"), 'CALLER Portal'!$AB$32),"")</f>
        <v/>
      </c>
      <c r="U55" s="62" t="str">
        <f ca="1">IFERROR(_xlfn.PERCENTILE.EXC(INDIRECT("'" &amp;U$25 &amp;"'!$K$4:$K$200"), 'CALLER Portal'!$AB$32),"")</f>
        <v/>
      </c>
      <c r="V55" s="62" t="str">
        <f ca="1">IFERROR(_xlfn.PERCENTILE.EXC(INDIRECT("'" &amp;V$25 &amp;"'!$K$4:$K$200"), 'CALLER Portal'!$AB$32),"")</f>
        <v/>
      </c>
      <c r="W55" s="62" t="str">
        <f ca="1">IFERROR(_xlfn.PERCENTILE.EXC(INDIRECT("'" &amp;W$25 &amp;"'!$K$4:$K$200"), 'CALLER Portal'!$AB$32),"")</f>
        <v/>
      </c>
      <c r="X55" s="62" t="str">
        <f ca="1">IFERROR(_xlfn.PERCENTILE.EXC(INDIRECT("'" &amp;X$25 &amp;"'!$K$4:$K$200"), 'CALLER Portal'!$AB$32),"")</f>
        <v/>
      </c>
      <c r="Y55" s="62" t="str">
        <f ca="1">IFERROR(_xlfn.PERCENTILE.EXC(INDIRECT("'" &amp;Y$25 &amp;"'!$K$4:$K$200"), 'CALLER Portal'!$AB$32),"")</f>
        <v/>
      </c>
      <c r="Z55" s="62" t="str">
        <f ca="1">IFERROR(_xlfn.PERCENTILE.EXC(INDIRECT("'" &amp;Z$25 &amp;"'!$K$4:$K$200"), 'CALLER Portal'!$AB$32),"")</f>
        <v/>
      </c>
      <c r="AA55" s="62" t="str">
        <f ca="1">IFERROR(_xlfn.PERCENTILE.EXC(INDIRECT("'" &amp;AA$25 &amp;"'!$K$4:$K$200"), 'CALLER Portal'!$AB$32),"")</f>
        <v/>
      </c>
      <c r="AB55" s="62" t="str">
        <f ca="1">IFERROR(_xlfn.PERCENTILE.EXC(INDIRECT("'" &amp;AB$25 &amp;"'!$K$4:$K$200"), 'CALLER Portal'!$AB$32),"")</f>
        <v/>
      </c>
      <c r="AC55" s="62" t="str">
        <f ca="1">IFERROR(_xlfn.PERCENTILE.EXC(INDIRECT("'" &amp;AC$25 &amp;"'!$K$4:$K$200"), 'CALLER Portal'!$AB$32),"")</f>
        <v/>
      </c>
      <c r="AD55" s="62" t="str">
        <f ca="1">IFERROR(_xlfn.PERCENTILE.EXC(INDIRECT("'" &amp;AD$25 &amp;"'!$K$4:$K$200"), 'CALLER Portal'!$AB$32),"")</f>
        <v/>
      </c>
      <c r="AE55" s="62" t="str">
        <f ca="1">IFERROR(_xlfn.PERCENTILE.EXC(INDIRECT("'" &amp;AE$25 &amp;"'!$K$4:$K$200"), 'CALLER Portal'!$AB$32),"")</f>
        <v/>
      </c>
      <c r="AF55" s="62" t="str">
        <f ca="1">IFERROR(_xlfn.PERCENTILE.EXC(INDIRECT("'" &amp;AF$25 &amp;"'!$K$4:$K$200"), 'CALLER Portal'!$AB$32),"")</f>
        <v/>
      </c>
      <c r="AG55" s="62" t="str">
        <f ca="1">IFERROR(_xlfn.PERCENTILE.EXC(INDIRECT("'" &amp;AG$25 &amp;"'!$K$4:$K$200"), 'CALLER Portal'!$AB$32),"")</f>
        <v/>
      </c>
      <c r="AH55" s="62" t="str">
        <f ca="1">IFERROR(_xlfn.PERCENTILE.EXC(INDIRECT("'" &amp;AH$25 &amp;"'!$K$4:$K$200"), 'CALLER Portal'!$AB$32),"")</f>
        <v/>
      </c>
      <c r="AI55" s="62" t="str">
        <f ca="1">IFERROR(_xlfn.PERCENTILE.EXC(INDIRECT("'" &amp;AI$25 &amp;"'!$K$4:$K$200"), 'CALLER Portal'!$AB$32),"")</f>
        <v/>
      </c>
      <c r="AJ55" s="62" t="str">
        <f ca="1">IFERROR(_xlfn.PERCENTILE.EXC(INDIRECT("'" &amp;AJ$25 &amp;"'!$K$4:$K$200"), 'CALLER Portal'!$AB$32),"")</f>
        <v/>
      </c>
      <c r="AK55" s="62" t="str">
        <f ca="1">IFERROR(_xlfn.PERCENTILE.EXC(INDIRECT("'" &amp;AK$25 &amp;"'!$K$4:$K$200"), 'CALLER Portal'!$AB$32),"")</f>
        <v/>
      </c>
      <c r="AL55" s="62" t="str">
        <f ca="1">IFERROR(_xlfn.PERCENTILE.EXC(INDIRECT("'" &amp;AL$25 &amp;"'!$K$4:$K$200"), 'CALLER Portal'!$AB$32),"")</f>
        <v/>
      </c>
      <c r="AM55" s="62" t="str">
        <f ca="1">IFERROR(_xlfn.PERCENTILE.EXC(INDIRECT("'" &amp;AM$25 &amp;"'!$K$4:$K$200"), 'CALLER Portal'!$AB$32),"")</f>
        <v/>
      </c>
      <c r="AN55" s="62" t="str">
        <f ca="1">IFERROR(_xlfn.PERCENTILE.EXC(INDIRECT("'" &amp;AN$25 &amp;"'!$K$4:$K$200"), 'CALLER Portal'!$AB$32),"")</f>
        <v/>
      </c>
      <c r="AO55" s="62" t="str">
        <f ca="1">IFERROR(_xlfn.PERCENTILE.EXC(INDIRECT("'" &amp;AO$25 &amp;"'!$K$4:$K$200"), 'CALLER Portal'!$AB$32),"")</f>
        <v/>
      </c>
      <c r="AP55" s="62" t="str">
        <f ca="1">IFERROR(_xlfn.PERCENTILE.EXC(INDIRECT("'" &amp;AP$25 &amp;"'!$K$4:$K$200"), 'CALLER Portal'!$AB$32),"")</f>
        <v/>
      </c>
      <c r="AQ55" s="62" t="str">
        <f ca="1">IFERROR(_xlfn.PERCENTILE.EXC(INDIRECT("'" &amp;AQ$25 &amp;"'!$K$4:$K$200"), 'CALLER Portal'!$AB$32),"")</f>
        <v/>
      </c>
      <c r="AR55" s="62" t="str">
        <f ca="1">IFERROR(_xlfn.PERCENTILE.EXC(INDIRECT("'" &amp;AR$25 &amp;"'!$K$4:$K$200"), 'CALLER Portal'!$AB$32),"")</f>
        <v/>
      </c>
      <c r="AS55" s="62" t="str">
        <f ca="1">IFERROR(_xlfn.PERCENTILE.EXC(INDIRECT("'" &amp;AS$25 &amp;"'!$K$4:$K$200"), 'CALLER Portal'!$AB$32),"")</f>
        <v/>
      </c>
      <c r="AT55" s="62" t="str">
        <f ca="1">IFERROR(_xlfn.PERCENTILE.EXC(INDIRECT("'" &amp;AT$25 &amp;"'!$K$4:$K$200"), 'CALLER Portal'!$AB$32),"")</f>
        <v/>
      </c>
      <c r="AU55" s="62" t="str">
        <f ca="1">IFERROR(_xlfn.PERCENTILE.EXC(INDIRECT("'" &amp;AU$25 &amp;"'!$K$4:$K$200"), 'CALLER Portal'!$AB$32),"")</f>
        <v/>
      </c>
      <c r="AV55" s="62" t="str">
        <f ca="1">IFERROR(_xlfn.PERCENTILE.EXC(INDIRECT("'" &amp;AV$25 &amp;"'!$K$4:$K$200"), 'CALLER Portal'!$AB$32),"")</f>
        <v/>
      </c>
      <c r="AW55" s="62" t="str">
        <f ca="1">IFERROR(_xlfn.PERCENTILE.EXC(INDIRECT("'" &amp;AW$25 &amp;"'!$K$4:$K$200"), 'CALLER Portal'!$AB$32),"")</f>
        <v/>
      </c>
      <c r="AX55" s="62" t="str">
        <f ca="1">IFERROR(_xlfn.PERCENTILE.EXC(INDIRECT("'" &amp;AX$25 &amp;"'!$K$4:$K$200"), 'CALLER Portal'!$AB$32),"")</f>
        <v/>
      </c>
      <c r="AY55" s="62" t="str">
        <f ca="1">IFERROR(_xlfn.PERCENTILE.EXC(INDIRECT("'" &amp;AY$25 &amp;"'!$K$4:$K$200"), 'CALLER Portal'!$AB$32),"")</f>
        <v/>
      </c>
      <c r="AZ55" s="62" t="str">
        <f ca="1">IFERROR(_xlfn.PERCENTILE.EXC(INDIRECT("'" &amp;AZ$25 &amp;"'!$K$4:$K$200"), 'CALLER Portal'!$AB$32),"")</f>
        <v/>
      </c>
      <c r="BA55" s="62" t="str">
        <f ca="1">IFERROR(_xlfn.PERCENTILE.EXC(INDIRECT("'" &amp;BA$25 &amp;"'!$K$4:$K$200"), 'CALLER Portal'!$AB$32),"")</f>
        <v/>
      </c>
    </row>
    <row r="56" spans="1:53" ht="15.75" thickBot="1" x14ac:dyDescent="0.3">
      <c r="A56" s="604"/>
      <c r="B56" s="43">
        <v>2</v>
      </c>
      <c r="C56" s="14" t="s">
        <v>109</v>
      </c>
      <c r="D56" s="12">
        <f ca="1">IFERROR(D36+'CALLER Portal'!$AB$38, "")</f>
        <v>0.57440000000000002</v>
      </c>
      <c r="E56" s="12">
        <f ca="1">IFERROR(E36+'CALLER Portal'!$AB$38, "")</f>
        <v>0.5706</v>
      </c>
      <c r="F56" s="12">
        <f ca="1">IFERROR(F36+'CALLER Portal'!$AB$38, "")</f>
        <v>0.54379999999999995</v>
      </c>
      <c r="G56" s="12">
        <f ca="1">IFERROR(G36+'CALLER Portal'!$AB$38, "")</f>
        <v>0.63159999999999994</v>
      </c>
      <c r="H56" s="12">
        <f ca="1">IFERROR(H36+'CALLER Portal'!$AB$38, "")</f>
        <v>0.7087</v>
      </c>
      <c r="I56" s="12">
        <f ca="1">IFERROR(I36+'CALLER Portal'!$AB$38, "")</f>
        <v>1.0023</v>
      </c>
      <c r="J56" s="12">
        <f ca="1">IFERROR(J36+'CALLER Portal'!$AB$38, "")</f>
        <v>0.71499999999999997</v>
      </c>
      <c r="K56" s="12">
        <f ca="1">IFERROR(K36+'CALLER Portal'!$AB$38, "")</f>
        <v>0.60589999999999999</v>
      </c>
      <c r="L56" s="12">
        <f ca="1">IFERROR(L36+'CALLER Portal'!$AB$38, "")</f>
        <v>0.63769999999999993</v>
      </c>
      <c r="M56" s="12">
        <f ca="1">IFERROR(M36+'CALLER Portal'!$AB$38, "")</f>
        <v>0.70069999999999999</v>
      </c>
      <c r="N56" s="12">
        <f ca="1">IFERROR(N36+'CALLER Portal'!$AB$38, "")</f>
        <v>1.0940000000000001</v>
      </c>
      <c r="O56" s="12">
        <f ca="1">IFERROR(O36+'CALLER Portal'!$AB$38, "")</f>
        <v>0.86419999999999997</v>
      </c>
      <c r="P56" s="12" t="str">
        <f ca="1">IFERROR(P36+'CALLER Portal'!$AB$38, "")</f>
        <v/>
      </c>
      <c r="Q56" s="12" t="str">
        <f ca="1">IFERROR(Q36+'CALLER Portal'!$AB$38, "")</f>
        <v/>
      </c>
      <c r="R56" s="12" t="str">
        <f ca="1">IFERROR(R36+'CALLER Portal'!$AB$38, "")</f>
        <v/>
      </c>
      <c r="S56" s="12" t="str">
        <f ca="1">IFERROR(S36+'CALLER Portal'!$AB$38, "")</f>
        <v/>
      </c>
      <c r="T56" s="12" t="str">
        <f ca="1">IFERROR(T36+'CALLER Portal'!$AB$38, "")</f>
        <v/>
      </c>
      <c r="U56" s="12" t="str">
        <f ca="1">IFERROR(U36+'CALLER Portal'!$AB$38, "")</f>
        <v/>
      </c>
      <c r="V56" s="12" t="str">
        <f ca="1">IFERROR(V36+'CALLER Portal'!$AB$38, "")</f>
        <v/>
      </c>
      <c r="W56" s="12" t="str">
        <f ca="1">IFERROR(W36+'CALLER Portal'!$AB$38, "")</f>
        <v/>
      </c>
      <c r="X56" s="12" t="str">
        <f ca="1">IFERROR(X36+'CALLER Portal'!$AB$38, "")</f>
        <v/>
      </c>
      <c r="Y56" s="12" t="str">
        <f ca="1">IFERROR(Y36+'CALLER Portal'!$AB$38, "")</f>
        <v/>
      </c>
      <c r="Z56" s="12" t="str">
        <f ca="1">IFERROR(Z36+'CALLER Portal'!$AB$38, "")</f>
        <v/>
      </c>
      <c r="AA56" s="12" t="str">
        <f ca="1">IFERROR(AA36+'CALLER Portal'!$AB$38, "")</f>
        <v/>
      </c>
      <c r="AB56" s="12" t="str">
        <f ca="1">IFERROR(AB36+'CALLER Portal'!$AB$38, "")</f>
        <v/>
      </c>
      <c r="AC56" s="12" t="str">
        <f ca="1">IFERROR(AC36+'CALLER Portal'!$AB$38, "")</f>
        <v/>
      </c>
      <c r="AD56" s="12" t="str">
        <f ca="1">IFERROR(AD36+'CALLER Portal'!$AB$38, "")</f>
        <v/>
      </c>
      <c r="AE56" s="12" t="str">
        <f ca="1">IFERROR(AE36+'CALLER Portal'!$AB$38, "")</f>
        <v/>
      </c>
      <c r="AF56" s="12" t="str">
        <f ca="1">IFERROR(AF36+'CALLER Portal'!$AB$38, "")</f>
        <v/>
      </c>
      <c r="AG56" s="12" t="str">
        <f ca="1">IFERROR(AG36+'CALLER Portal'!$AB$38, "")</f>
        <v/>
      </c>
      <c r="AH56" s="12" t="str">
        <f ca="1">IFERROR(AH36+'CALLER Portal'!$AB$38, "")</f>
        <v/>
      </c>
      <c r="AI56" s="12" t="str">
        <f ca="1">IFERROR(AI36+'CALLER Portal'!$AB$38, "")</f>
        <v/>
      </c>
      <c r="AJ56" s="12" t="str">
        <f ca="1">IFERROR(AJ36+'CALLER Portal'!$AB$38, "")</f>
        <v/>
      </c>
      <c r="AK56" s="12" t="str">
        <f ca="1">IFERROR(AK36+'CALLER Portal'!$AB$38, "")</f>
        <v/>
      </c>
      <c r="AL56" s="12" t="str">
        <f ca="1">IFERROR(AL36+'CALLER Portal'!$AB$38, "")</f>
        <v/>
      </c>
      <c r="AM56" s="12" t="str">
        <f ca="1">IFERROR(AM36+'CALLER Portal'!$AB$38, "")</f>
        <v/>
      </c>
      <c r="AN56" s="12" t="str">
        <f ca="1">IFERROR(AN36+'CALLER Portal'!$AB$38, "")</f>
        <v/>
      </c>
      <c r="AO56" s="12" t="str">
        <f ca="1">IFERROR(AO36+'CALLER Portal'!$AB$38, "")</f>
        <v/>
      </c>
      <c r="AP56" s="12" t="str">
        <f ca="1">IFERROR(AP36+'CALLER Portal'!$AB$38, "")</f>
        <v/>
      </c>
      <c r="AQ56" s="12" t="str">
        <f ca="1">IFERROR(AQ36+'CALLER Portal'!$AB$38, "")</f>
        <v/>
      </c>
      <c r="AR56" s="12" t="str">
        <f ca="1">IFERROR(AR36+'CALLER Portal'!$AB$38, "")</f>
        <v/>
      </c>
      <c r="AS56" s="12" t="str">
        <f ca="1">IFERROR(AS36+'CALLER Portal'!$AB$38, "")</f>
        <v/>
      </c>
      <c r="AT56" s="12" t="str">
        <f ca="1">IFERROR(AT36+'CALLER Portal'!$AB$38, "")</f>
        <v/>
      </c>
      <c r="AU56" s="12" t="str">
        <f ca="1">IFERROR(AU36+'CALLER Portal'!$AB$38, "")</f>
        <v/>
      </c>
      <c r="AV56" s="12" t="str">
        <f ca="1">IFERROR(AV36+'CALLER Portal'!$AB$38, "")</f>
        <v/>
      </c>
      <c r="AW56" s="12" t="str">
        <f ca="1">IFERROR(AW36+'CALLER Portal'!$AB$38, "")</f>
        <v/>
      </c>
      <c r="AX56" s="12" t="str">
        <f ca="1">IFERROR(AX36+'CALLER Portal'!$AB$38, "")</f>
        <v/>
      </c>
      <c r="AY56" s="12" t="str">
        <f ca="1">IFERROR(AY36+'CALLER Portal'!$AB$38, "")</f>
        <v/>
      </c>
      <c r="AZ56" s="12" t="str">
        <f ca="1">IFERROR(AZ36+'CALLER Portal'!$AB$38, "")</f>
        <v/>
      </c>
      <c r="BA56" s="12" t="str">
        <f ca="1">IFERROR(BA36+'CALLER Portal'!$AB$38, "")</f>
        <v/>
      </c>
    </row>
    <row r="57" spans="1:53" ht="15.75" thickBot="1" x14ac:dyDescent="0.3">
      <c r="A57" s="604"/>
      <c r="B57" s="34">
        <v>3</v>
      </c>
      <c r="C57" s="2" t="s">
        <v>110</v>
      </c>
      <c r="D57" s="11">
        <f ca="1">IFERROR(D37+'CALLER Portal'!$AB$39, "")</f>
        <v>0.13890000000000002</v>
      </c>
      <c r="E57" s="11">
        <f ca="1">IFERROR(E37+'CALLER Portal'!$AB$39, "")</f>
        <v>0.15810000000000002</v>
      </c>
      <c r="F57" s="11">
        <f ca="1">IFERROR(F37+'CALLER Portal'!$AB$39, "")</f>
        <v>0.15000000000000002</v>
      </c>
      <c r="G57" s="11">
        <f ca="1">IFERROR(G37+'CALLER Portal'!$AB$39, "")</f>
        <v>0.05</v>
      </c>
      <c r="H57" s="11">
        <f ca="1">IFERROR(H37+'CALLER Portal'!$AB$39, "")</f>
        <v>0.20090000000000002</v>
      </c>
      <c r="I57" s="11">
        <f ca="1">IFERROR(I37+'CALLER Portal'!$AB$39, "")</f>
        <v>0.63930000000000009</v>
      </c>
      <c r="J57" s="11">
        <f ca="1">IFERROR(J37+'CALLER Portal'!$AB$39, "")</f>
        <v>0.26050000000000001</v>
      </c>
      <c r="K57" s="11">
        <f ca="1">IFERROR(K37+'CALLER Portal'!$AB$39, "")</f>
        <v>0.16500000000000001</v>
      </c>
      <c r="L57" s="11">
        <f ca="1">IFERROR(L37+'CALLER Portal'!$AB$39, "")</f>
        <v>0.18569999999999998</v>
      </c>
      <c r="M57" s="11">
        <f ca="1">IFERROR(M37+'CALLER Portal'!$AB$39, "")</f>
        <v>0.15770000000000001</v>
      </c>
      <c r="N57" s="11">
        <f ca="1">IFERROR(N37+'CALLER Portal'!$AB$39, "")</f>
        <v>0.55000000000000004</v>
      </c>
      <c r="O57" s="11">
        <f ca="1">IFERROR(O37+'CALLER Portal'!$AB$39, "")</f>
        <v>0.35559999999999997</v>
      </c>
      <c r="P57" s="11" t="str">
        <f ca="1">IFERROR(P37+'CALLER Portal'!$AB$39, "")</f>
        <v/>
      </c>
      <c r="Q57" s="11" t="str">
        <f ca="1">IFERROR(Q37+'CALLER Portal'!$AB$39, "")</f>
        <v/>
      </c>
      <c r="R57" s="11" t="str">
        <f ca="1">IFERROR(R37+'CALLER Portal'!$AB$39, "")</f>
        <v/>
      </c>
      <c r="S57" s="11" t="str">
        <f ca="1">IFERROR(S37+'CALLER Portal'!$AB$39, "")</f>
        <v/>
      </c>
      <c r="T57" s="11" t="str">
        <f ca="1">IFERROR(T37+'CALLER Portal'!$AB$39, "")</f>
        <v/>
      </c>
      <c r="U57" s="11" t="str">
        <f ca="1">IFERROR(U37+'CALLER Portal'!$AB$39, "")</f>
        <v/>
      </c>
      <c r="V57" s="11" t="str">
        <f ca="1">IFERROR(V37+'CALLER Portal'!$AB$39, "")</f>
        <v/>
      </c>
      <c r="W57" s="11" t="str">
        <f ca="1">IFERROR(W37+'CALLER Portal'!$AB$39, "")</f>
        <v/>
      </c>
      <c r="X57" s="11" t="str">
        <f ca="1">IFERROR(X37+'CALLER Portal'!$AB$39, "")</f>
        <v/>
      </c>
      <c r="Y57" s="11" t="str">
        <f ca="1">IFERROR(Y37+'CALLER Portal'!$AB$39, "")</f>
        <v/>
      </c>
      <c r="Z57" s="11" t="str">
        <f ca="1">IFERROR(Z37+'CALLER Portal'!$AB$39, "")</f>
        <v/>
      </c>
      <c r="AA57" s="11" t="str">
        <f ca="1">IFERROR(AA37+'CALLER Portal'!$AB$39, "")</f>
        <v/>
      </c>
      <c r="AB57" s="11" t="str">
        <f ca="1">IFERROR(AB37+'CALLER Portal'!$AB$39, "")</f>
        <v/>
      </c>
      <c r="AC57" s="11" t="str">
        <f ca="1">IFERROR(AC37+'CALLER Portal'!$AB$39, "")</f>
        <v/>
      </c>
      <c r="AD57" s="11" t="str">
        <f ca="1">IFERROR(AD37+'CALLER Portal'!$AB$39, "")</f>
        <v/>
      </c>
      <c r="AE57" s="11" t="str">
        <f ca="1">IFERROR(AE37+'CALLER Portal'!$AB$39, "")</f>
        <v/>
      </c>
      <c r="AF57" s="11" t="str">
        <f ca="1">IFERROR(AF37+'CALLER Portal'!$AB$39, "")</f>
        <v/>
      </c>
      <c r="AG57" s="11" t="str">
        <f ca="1">IFERROR(AG37+'CALLER Portal'!$AB$39, "")</f>
        <v/>
      </c>
      <c r="AH57" s="11" t="str">
        <f ca="1">IFERROR(AH37+'CALLER Portal'!$AB$39, "")</f>
        <v/>
      </c>
      <c r="AI57" s="11" t="str">
        <f ca="1">IFERROR(AI37+'CALLER Portal'!$AB$39, "")</f>
        <v/>
      </c>
      <c r="AJ57" s="11" t="str">
        <f ca="1">IFERROR(AJ37+'CALLER Portal'!$AB$39, "")</f>
        <v/>
      </c>
      <c r="AK57" s="11" t="str">
        <f ca="1">IFERROR(AK37+'CALLER Portal'!$AB$39, "")</f>
        <v/>
      </c>
      <c r="AL57" s="11" t="str">
        <f ca="1">IFERROR(AL37+'CALLER Portal'!$AB$39, "")</f>
        <v/>
      </c>
      <c r="AM57" s="11" t="str">
        <f ca="1">IFERROR(AM37+'CALLER Portal'!$AB$39, "")</f>
        <v/>
      </c>
      <c r="AN57" s="11" t="str">
        <f ca="1">IFERROR(AN37+'CALLER Portal'!$AB$39, "")</f>
        <v/>
      </c>
      <c r="AO57" s="11" t="str">
        <f ca="1">IFERROR(AO37+'CALLER Portal'!$AB$39, "")</f>
        <v/>
      </c>
      <c r="AP57" s="11" t="str">
        <f ca="1">IFERROR(AP37+'CALLER Portal'!$AB$39, "")</f>
        <v/>
      </c>
      <c r="AQ57" s="11" t="str">
        <f ca="1">IFERROR(AQ37+'CALLER Portal'!$AB$39, "")</f>
        <v/>
      </c>
      <c r="AR57" s="11" t="str">
        <f ca="1">IFERROR(AR37+'CALLER Portal'!$AB$39, "")</f>
        <v/>
      </c>
      <c r="AS57" s="11" t="str">
        <f ca="1">IFERROR(AS37+'CALLER Portal'!$AB$39, "")</f>
        <v/>
      </c>
      <c r="AT57" s="11" t="str">
        <f ca="1">IFERROR(AT37+'CALLER Portal'!$AB$39, "")</f>
        <v/>
      </c>
      <c r="AU57" s="11" t="str">
        <f ca="1">IFERROR(AU37+'CALLER Portal'!$AB$39, "")</f>
        <v/>
      </c>
      <c r="AV57" s="11" t="str">
        <f ca="1">IFERROR(AV37+'CALLER Portal'!$AB$39, "")</f>
        <v/>
      </c>
      <c r="AW57" s="11" t="str">
        <f ca="1">IFERROR(AW37+'CALLER Portal'!$AB$39, "")</f>
        <v/>
      </c>
      <c r="AX57" s="11" t="str">
        <f ca="1">IFERROR(AX37+'CALLER Portal'!$AB$39, "")</f>
        <v/>
      </c>
      <c r="AY57" s="11" t="str">
        <f ca="1">IFERROR(AY37+'CALLER Portal'!$AB$39, "")</f>
        <v/>
      </c>
      <c r="AZ57" s="11" t="str">
        <f ca="1">IFERROR(AZ37+'CALLER Portal'!$AB$39, "")</f>
        <v/>
      </c>
      <c r="BA57" s="11" t="str">
        <f ca="1">IFERROR(BA37+'CALLER Portal'!$AB$39, "")</f>
        <v/>
      </c>
    </row>
    <row r="58" spans="1:53" ht="15.75" thickBot="1" x14ac:dyDescent="0.3">
      <c r="A58" s="604"/>
      <c r="B58" s="34">
        <v>4</v>
      </c>
      <c r="C58" s="14" t="s">
        <v>113</v>
      </c>
      <c r="D58" s="25">
        <f ca="1">IFERROR(_xlfn.PERCENTILE.EXC(INDIRECT("'" &amp;D$25 &amp;"'!$N$4:$N$200"), 'CALLER Portal'!$AB$32),"")</f>
        <v>3.5119999999999978</v>
      </c>
      <c r="E58" s="25">
        <f ca="1">IFERROR(_xlfn.PERCENTILE.EXC(INDIRECT("'" &amp;E$25 &amp;"'!$N$4:$N$200"), 'CALLER Portal'!$AB$32),"")</f>
        <v>15.26</v>
      </c>
      <c r="F58" s="25">
        <f ca="1">IFERROR(_xlfn.PERCENTILE.EXC(INDIRECT("'" &amp;F$25 &amp;"'!$N$4:$N$200"), 'CALLER Portal'!$AB$32),"")</f>
        <v>20.244999999999994</v>
      </c>
      <c r="G58" s="25">
        <f ca="1">IFERROR(_xlfn.PERCENTILE.EXC(INDIRECT("'" &amp;G$25 &amp;"'!$N$4:$N$200"), 'CALLER Portal'!$AB$32),"")</f>
        <v>3.1359999999999952</v>
      </c>
      <c r="H58" s="25">
        <f ca="1">IFERROR(_xlfn.PERCENTILE.EXC(INDIRECT("'" &amp;H$25 &amp;"'!$N$4:$N$200"), 'CALLER Portal'!$AB$32),"")</f>
        <v>6.9019999999999975</v>
      </c>
      <c r="I58" s="25">
        <f ca="1">IFERROR(_xlfn.PERCENTILE.EXC(INDIRECT("'" &amp;I$25 &amp;"'!$N$4:$N$200"), 'CALLER Portal'!$AB$32),"")</f>
        <v>67.431999999999988</v>
      </c>
      <c r="J58" s="25">
        <f ca="1">IFERROR(_xlfn.PERCENTILE.EXC(INDIRECT("'" &amp;J$25 &amp;"'!$N$4:$N$200"), 'CALLER Portal'!$AB$32),"")</f>
        <v>110.06</v>
      </c>
      <c r="K58" s="25">
        <f ca="1">IFERROR(_xlfn.PERCENTILE.EXC(INDIRECT("'" &amp;K$25 &amp;"'!$N$4:$N$200"), 'CALLER Portal'!$AB$32),"")</f>
        <v>196.96600000000001</v>
      </c>
      <c r="L58" s="25">
        <f ca="1">IFERROR(_xlfn.PERCENTILE.EXC(INDIRECT("'" &amp;L$25 &amp;"'!$N$4:$N$200"), 'CALLER Portal'!$AB$32),"")</f>
        <v>154.95499999999998</v>
      </c>
      <c r="M58" s="25">
        <f ca="1">IFERROR(_xlfn.PERCENTILE.EXC(INDIRECT("'" &amp;M$25 &amp;"'!$N$4:$N$200"), 'CALLER Portal'!$AB$32),"")</f>
        <v>85.61</v>
      </c>
      <c r="N58" s="25">
        <f ca="1">IFERROR(_xlfn.PERCENTILE.EXC(INDIRECT("'" &amp;N$25 &amp;"'!$N$4:$N$200"), 'CALLER Portal'!$AB$32),"")</f>
        <v>11.167</v>
      </c>
      <c r="O58" s="25">
        <f ca="1">IFERROR(_xlfn.PERCENTILE.EXC(INDIRECT("'" &amp;O$25 &amp;"'!$N$4:$N$200"), 'CALLER Portal'!$AB$32),"")</f>
        <v>45.385999999999996</v>
      </c>
      <c r="P58" s="25" t="str">
        <f ca="1">IFERROR(_xlfn.PERCENTILE.EXC(INDIRECT("'" &amp;P$25 &amp;"'!$N$4:$N$200"), 'CALLER Portal'!$AB$32),"")</f>
        <v/>
      </c>
      <c r="Q58" s="25" t="str">
        <f ca="1">IFERROR(_xlfn.PERCENTILE.EXC(INDIRECT("'" &amp;Q$25 &amp;"'!$N$4:$N$200"), 'CALLER Portal'!$AB$32),"")</f>
        <v/>
      </c>
      <c r="R58" s="25" t="str">
        <f ca="1">IFERROR(_xlfn.PERCENTILE.EXC(INDIRECT("'" &amp;R$25 &amp;"'!$N$4:$N$200"), 'CALLER Portal'!$AB$32),"")</f>
        <v/>
      </c>
      <c r="S58" s="25" t="str">
        <f ca="1">IFERROR(_xlfn.PERCENTILE.EXC(INDIRECT("'" &amp;S$25 &amp;"'!$N$4:$N$200"), 'CALLER Portal'!$AB$32),"")</f>
        <v/>
      </c>
      <c r="T58" s="25" t="str">
        <f ca="1">IFERROR(_xlfn.PERCENTILE.EXC(INDIRECT("'" &amp;T$25 &amp;"'!$N$4:$N$200"), 'CALLER Portal'!$AB$32),"")</f>
        <v/>
      </c>
      <c r="U58" s="25" t="str">
        <f ca="1">IFERROR(_xlfn.PERCENTILE.EXC(INDIRECT("'" &amp;U$25 &amp;"'!$N$4:$N$200"), 'CALLER Portal'!$AB$32),"")</f>
        <v/>
      </c>
      <c r="V58" s="25" t="str">
        <f ca="1">IFERROR(_xlfn.PERCENTILE.EXC(INDIRECT("'" &amp;V$25 &amp;"'!$N$4:$N$200"), 'CALLER Portal'!$AB$32),"")</f>
        <v/>
      </c>
      <c r="W58" s="25" t="str">
        <f ca="1">IFERROR(_xlfn.PERCENTILE.EXC(INDIRECT("'" &amp;W$25 &amp;"'!$N$4:$N$200"), 'CALLER Portal'!$AB$32),"")</f>
        <v/>
      </c>
      <c r="X58" s="25" t="str">
        <f ca="1">IFERROR(_xlfn.PERCENTILE.EXC(INDIRECT("'" &amp;X$25 &amp;"'!$N$4:$N$200"), 'CALLER Portal'!$AB$32),"")</f>
        <v/>
      </c>
      <c r="Y58" s="25" t="str">
        <f ca="1">IFERROR(_xlfn.PERCENTILE.EXC(INDIRECT("'" &amp;Y$25 &amp;"'!$N$4:$N$200"), 'CALLER Portal'!$AB$32),"")</f>
        <v/>
      </c>
      <c r="Z58" s="25" t="str">
        <f ca="1">IFERROR(_xlfn.PERCENTILE.EXC(INDIRECT("'" &amp;Z$25 &amp;"'!$N$4:$N$200"), 'CALLER Portal'!$AB$32),"")</f>
        <v/>
      </c>
      <c r="AA58" s="25" t="str">
        <f ca="1">IFERROR(_xlfn.PERCENTILE.EXC(INDIRECT("'" &amp;AA$25 &amp;"'!$N$4:$N$200"), 'CALLER Portal'!$AB$32),"")</f>
        <v/>
      </c>
      <c r="AB58" s="25" t="str">
        <f ca="1">IFERROR(_xlfn.PERCENTILE.EXC(INDIRECT("'" &amp;AB$25 &amp;"'!$N$4:$N$200"), 'CALLER Portal'!$AB$32),"")</f>
        <v/>
      </c>
      <c r="AC58" s="25" t="str">
        <f ca="1">IFERROR(_xlfn.PERCENTILE.EXC(INDIRECT("'" &amp;AC$25 &amp;"'!$N$4:$N$200"), 'CALLER Portal'!$AB$32),"")</f>
        <v/>
      </c>
      <c r="AD58" s="25" t="str">
        <f ca="1">IFERROR(_xlfn.PERCENTILE.EXC(INDIRECT("'" &amp;AD$25 &amp;"'!$N$4:$N$200"), 'CALLER Portal'!$AB$32),"")</f>
        <v/>
      </c>
      <c r="AE58" s="25" t="str">
        <f ca="1">IFERROR(_xlfn.PERCENTILE.EXC(INDIRECT("'" &amp;AE$25 &amp;"'!$N$4:$N$200"), 'CALLER Portal'!$AB$32),"")</f>
        <v/>
      </c>
      <c r="AF58" s="25" t="str">
        <f ca="1">IFERROR(_xlfn.PERCENTILE.EXC(INDIRECT("'" &amp;AF$25 &amp;"'!$N$4:$N$200"), 'CALLER Portal'!$AB$32),"")</f>
        <v/>
      </c>
      <c r="AG58" s="25" t="str">
        <f ca="1">IFERROR(_xlfn.PERCENTILE.EXC(INDIRECT("'" &amp;AG$25 &amp;"'!$N$4:$N$200"), 'CALLER Portal'!$AB$32),"")</f>
        <v/>
      </c>
      <c r="AH58" s="25" t="str">
        <f ca="1">IFERROR(_xlfn.PERCENTILE.EXC(INDIRECT("'" &amp;AH$25 &amp;"'!$N$4:$N$200"), 'CALLER Portal'!$AB$32),"")</f>
        <v/>
      </c>
      <c r="AI58" s="25" t="str">
        <f ca="1">IFERROR(_xlfn.PERCENTILE.EXC(INDIRECT("'" &amp;AI$25 &amp;"'!$N$4:$N$200"), 'CALLER Portal'!$AB$32),"")</f>
        <v/>
      </c>
      <c r="AJ58" s="25" t="str">
        <f ca="1">IFERROR(_xlfn.PERCENTILE.EXC(INDIRECT("'" &amp;AJ$25 &amp;"'!$N$4:$N$200"), 'CALLER Portal'!$AB$32),"")</f>
        <v/>
      </c>
      <c r="AK58" s="25" t="str">
        <f ca="1">IFERROR(_xlfn.PERCENTILE.EXC(INDIRECT("'" &amp;AK$25 &amp;"'!$N$4:$N$200"), 'CALLER Portal'!$AB$32),"")</f>
        <v/>
      </c>
      <c r="AL58" s="25" t="str">
        <f ca="1">IFERROR(_xlfn.PERCENTILE.EXC(INDIRECT("'" &amp;AL$25 &amp;"'!$N$4:$N$200"), 'CALLER Portal'!$AB$32),"")</f>
        <v/>
      </c>
      <c r="AM58" s="25" t="str">
        <f ca="1">IFERROR(_xlfn.PERCENTILE.EXC(INDIRECT("'" &amp;AM$25 &amp;"'!$N$4:$N$200"), 'CALLER Portal'!$AB$32),"")</f>
        <v/>
      </c>
      <c r="AN58" s="25" t="str">
        <f ca="1">IFERROR(_xlfn.PERCENTILE.EXC(INDIRECT("'" &amp;AN$25 &amp;"'!$N$4:$N$200"), 'CALLER Portal'!$AB$32),"")</f>
        <v/>
      </c>
      <c r="AO58" s="25" t="str">
        <f ca="1">IFERROR(_xlfn.PERCENTILE.EXC(INDIRECT("'" &amp;AO$25 &amp;"'!$N$4:$N$200"), 'CALLER Portal'!$AB$32),"")</f>
        <v/>
      </c>
      <c r="AP58" s="25" t="str">
        <f ca="1">IFERROR(_xlfn.PERCENTILE.EXC(INDIRECT("'" &amp;AP$25 &amp;"'!$N$4:$N$200"), 'CALLER Portal'!$AB$32),"")</f>
        <v/>
      </c>
      <c r="AQ58" s="25" t="str">
        <f ca="1">IFERROR(_xlfn.PERCENTILE.EXC(INDIRECT("'" &amp;AQ$25 &amp;"'!$N$4:$N$200"), 'CALLER Portal'!$AB$32),"")</f>
        <v/>
      </c>
      <c r="AR58" s="25" t="str">
        <f ca="1">IFERROR(_xlfn.PERCENTILE.EXC(INDIRECT("'" &amp;AR$25 &amp;"'!$N$4:$N$200"), 'CALLER Portal'!$AB$32),"")</f>
        <v/>
      </c>
      <c r="AS58" s="25" t="str">
        <f ca="1">IFERROR(_xlfn.PERCENTILE.EXC(INDIRECT("'" &amp;AS$25 &amp;"'!$N$4:$N$200"), 'CALLER Portal'!$AB$32),"")</f>
        <v/>
      </c>
      <c r="AT58" s="25" t="str">
        <f ca="1">IFERROR(_xlfn.PERCENTILE.EXC(INDIRECT("'" &amp;AT$25 &amp;"'!$N$4:$N$200"), 'CALLER Portal'!$AB$32),"")</f>
        <v/>
      </c>
      <c r="AU58" s="25" t="str">
        <f ca="1">IFERROR(_xlfn.PERCENTILE.EXC(INDIRECT("'" &amp;AU$25 &amp;"'!$N$4:$N$200"), 'CALLER Portal'!$AB$32),"")</f>
        <v/>
      </c>
      <c r="AV58" s="25" t="str">
        <f ca="1">IFERROR(_xlfn.PERCENTILE.EXC(INDIRECT("'" &amp;AV$25 &amp;"'!$N$4:$N$200"), 'CALLER Portal'!$AB$32),"")</f>
        <v/>
      </c>
      <c r="AW58" s="25" t="str">
        <f ca="1">IFERROR(_xlfn.PERCENTILE.EXC(INDIRECT("'" &amp;AW$25 &amp;"'!$N$4:$N$200"), 'CALLER Portal'!$AB$32),"")</f>
        <v/>
      </c>
      <c r="AX58" s="25" t="str">
        <f ca="1">IFERROR(_xlfn.PERCENTILE.EXC(INDIRECT("'" &amp;AX$25 &amp;"'!$N$4:$N$200"), 'CALLER Portal'!$AB$32),"")</f>
        <v/>
      </c>
      <c r="AY58" s="25" t="str">
        <f ca="1">IFERROR(_xlfn.PERCENTILE.EXC(INDIRECT("'" &amp;AY$25 &amp;"'!$N$4:$N$200"), 'CALLER Portal'!$AB$32),"")</f>
        <v/>
      </c>
      <c r="AZ58" s="25" t="str">
        <f ca="1">IFERROR(_xlfn.PERCENTILE.EXC(INDIRECT("'" &amp;AZ$25 &amp;"'!$N$4:$N$200"), 'CALLER Portal'!$AB$32),"")</f>
        <v/>
      </c>
      <c r="BA58" s="25" t="str">
        <f ca="1">IFERROR(_xlfn.PERCENTILE.EXC(INDIRECT("'" &amp;BA$25 &amp;"'!$N$4:$N$200"), 'CALLER Portal'!$AB$32),"")</f>
        <v/>
      </c>
    </row>
    <row r="59" spans="1:53" ht="15.75" thickBot="1" x14ac:dyDescent="0.3">
      <c r="A59" s="604"/>
      <c r="B59" s="34">
        <v>5</v>
      </c>
      <c r="C59" s="2" t="s">
        <v>112</v>
      </c>
      <c r="D59" s="13">
        <f ca="1">IFERROR(_xlfn.PERCENTILE.EXC(INDIRECT("'" &amp;D$25 &amp;"'!$O$4:$O$200"), 'CALLER Portal'!$AB$32),"")</f>
        <v>0.18</v>
      </c>
      <c r="E59" s="13">
        <f ca="1">IFERROR(_xlfn.PERCENTILE.EXC(INDIRECT("'" &amp;E$25 &amp;"'!$O$4:$O$200"), 'CALLER Portal'!$AB$32),"")</f>
        <v>0.3</v>
      </c>
      <c r="F59" s="13">
        <f ca="1">IFERROR(_xlfn.PERCENTILE.EXC(INDIRECT("'" &amp;F$25 &amp;"'!$O$4:$O$200"), 'CALLER Portal'!$AB$32),"")</f>
        <v>0.32699999999999996</v>
      </c>
      <c r="G59" s="13">
        <f ca="1">IFERROR(_xlfn.PERCENTILE.EXC(INDIRECT("'" &amp;G$25 &amp;"'!$O$4:$O$200"), 'CALLER Portal'!$AB$32),"")</f>
        <v>0.14000000000000001</v>
      </c>
      <c r="H59" s="13">
        <f ca="1">IFERROR(_xlfn.PERCENTILE.EXC(INDIRECT("'" &amp;H$25 &amp;"'!$O$4:$O$200"), 'CALLER Portal'!$AB$32),"")</f>
        <v>0.26199999999999996</v>
      </c>
      <c r="I59" s="13">
        <f ca="1">IFERROR(_xlfn.PERCENTILE.EXC(INDIRECT("'" &amp;I$25 &amp;"'!$O$4:$O$200"), 'CALLER Portal'!$AB$32),"")</f>
        <v>1.5579999999999998</v>
      </c>
      <c r="J59" s="13">
        <f ca="1">IFERROR(_xlfn.PERCENTILE.EXC(INDIRECT("'" &amp;J$25 &amp;"'!$O$4:$O$200"), 'CALLER Portal'!$AB$32),"")</f>
        <v>1.66</v>
      </c>
      <c r="K59" s="13">
        <f ca="1">IFERROR(_xlfn.PERCENTILE.EXC(INDIRECT("'" &amp;K$25 &amp;"'!$O$4:$O$200"), 'CALLER Portal'!$AB$32),"")</f>
        <v>2.3540000000000001</v>
      </c>
      <c r="L59" s="13">
        <f ca="1">IFERROR(_xlfn.PERCENTILE.EXC(INDIRECT("'" &amp;L$25 &amp;"'!$O$4:$O$200"), 'CALLER Portal'!$AB$32),"")</f>
        <v>1.9109999999999998</v>
      </c>
      <c r="M59" s="13">
        <f ca="1">IFERROR(_xlfn.PERCENTILE.EXC(INDIRECT("'" &amp;M$25 &amp;"'!$O$4:$O$200"), 'CALLER Portal'!$AB$32),"")</f>
        <v>1.33</v>
      </c>
      <c r="N59" s="13">
        <f ca="1">IFERROR(_xlfn.PERCENTILE.EXC(INDIRECT("'" &amp;N$25 &amp;"'!$O$4:$O$200"), 'CALLER Portal'!$AB$32),"")</f>
        <v>1.216</v>
      </c>
      <c r="O59" s="13">
        <f ca="1">IFERROR(_xlfn.PERCENTILE.EXC(INDIRECT("'" &amp;O$25 &amp;"'!$O$4:$O$200"), 'CALLER Portal'!$AB$32),"")</f>
        <v>0.93599999999999994</v>
      </c>
      <c r="P59" s="13" t="str">
        <f ca="1">IFERROR(_xlfn.PERCENTILE.EXC(INDIRECT("'" &amp;P$25 &amp;"'!$O$4:$O$200"), 'CALLER Portal'!$AB$32),"")</f>
        <v/>
      </c>
      <c r="Q59" s="13" t="str">
        <f ca="1">IFERROR(_xlfn.PERCENTILE.EXC(INDIRECT("'" &amp;Q$25 &amp;"'!$O$4:$O$200"), 'CALLER Portal'!$AB$32),"")</f>
        <v/>
      </c>
      <c r="R59" s="13" t="str">
        <f ca="1">IFERROR(_xlfn.PERCENTILE.EXC(INDIRECT("'" &amp;R$25 &amp;"'!$O$4:$O$200"), 'CALLER Portal'!$AB$32),"")</f>
        <v/>
      </c>
      <c r="S59" s="13" t="str">
        <f ca="1">IFERROR(_xlfn.PERCENTILE.EXC(INDIRECT("'" &amp;S$25 &amp;"'!$O$4:$O$200"), 'CALLER Portal'!$AB$32),"")</f>
        <v/>
      </c>
      <c r="T59" s="13" t="str">
        <f ca="1">IFERROR(_xlfn.PERCENTILE.EXC(INDIRECT("'" &amp;T$25 &amp;"'!$O$4:$O$200"), 'CALLER Portal'!$AB$32),"")</f>
        <v/>
      </c>
      <c r="U59" s="13" t="str">
        <f ca="1">IFERROR(_xlfn.PERCENTILE.EXC(INDIRECT("'" &amp;U$25 &amp;"'!$O$4:$O$200"), 'CALLER Portal'!$AB$32),"")</f>
        <v/>
      </c>
      <c r="V59" s="13" t="str">
        <f ca="1">IFERROR(_xlfn.PERCENTILE.EXC(INDIRECT("'" &amp;V$25 &amp;"'!$O$4:$O$200"), 'CALLER Portal'!$AB$32),"")</f>
        <v/>
      </c>
      <c r="W59" s="13" t="str">
        <f ca="1">IFERROR(_xlfn.PERCENTILE.EXC(INDIRECT("'" &amp;W$25 &amp;"'!$O$4:$O$200"), 'CALLER Portal'!$AB$32),"")</f>
        <v/>
      </c>
      <c r="X59" s="13" t="str">
        <f ca="1">IFERROR(_xlfn.PERCENTILE.EXC(INDIRECT("'" &amp;X$25 &amp;"'!$O$4:$O$200"), 'CALLER Portal'!$AB$32),"")</f>
        <v/>
      </c>
      <c r="Y59" s="13" t="str">
        <f ca="1">IFERROR(_xlfn.PERCENTILE.EXC(INDIRECT("'" &amp;Y$25 &amp;"'!$O$4:$O$200"), 'CALLER Portal'!$AB$32),"")</f>
        <v/>
      </c>
      <c r="Z59" s="13" t="str">
        <f ca="1">IFERROR(_xlfn.PERCENTILE.EXC(INDIRECT("'" &amp;Z$25 &amp;"'!$O$4:$O$200"), 'CALLER Portal'!$AB$32),"")</f>
        <v/>
      </c>
      <c r="AA59" s="13" t="str">
        <f ca="1">IFERROR(_xlfn.PERCENTILE.EXC(INDIRECT("'" &amp;AA$25 &amp;"'!$O$4:$O$200"), 'CALLER Portal'!$AB$32),"")</f>
        <v/>
      </c>
      <c r="AB59" s="13" t="str">
        <f ca="1">IFERROR(_xlfn.PERCENTILE.EXC(INDIRECT("'" &amp;AB$25 &amp;"'!$O$4:$O$200"), 'CALLER Portal'!$AB$32),"")</f>
        <v/>
      </c>
      <c r="AC59" s="13" t="str">
        <f ca="1">IFERROR(_xlfn.PERCENTILE.EXC(INDIRECT("'" &amp;AC$25 &amp;"'!$O$4:$O$200"), 'CALLER Portal'!$AB$32),"")</f>
        <v/>
      </c>
      <c r="AD59" s="13" t="str">
        <f ca="1">IFERROR(_xlfn.PERCENTILE.EXC(INDIRECT("'" &amp;AD$25 &amp;"'!$O$4:$O$200"), 'CALLER Portal'!$AB$32),"")</f>
        <v/>
      </c>
      <c r="AE59" s="13" t="str">
        <f ca="1">IFERROR(_xlfn.PERCENTILE.EXC(INDIRECT("'" &amp;AE$25 &amp;"'!$O$4:$O$200"), 'CALLER Portal'!$AB$32),"")</f>
        <v/>
      </c>
      <c r="AF59" s="13" t="str">
        <f ca="1">IFERROR(_xlfn.PERCENTILE.EXC(INDIRECT("'" &amp;AF$25 &amp;"'!$O$4:$O$200"), 'CALLER Portal'!$AB$32),"")</f>
        <v/>
      </c>
      <c r="AG59" s="13" t="str">
        <f ca="1">IFERROR(_xlfn.PERCENTILE.EXC(INDIRECT("'" &amp;AG$25 &amp;"'!$O$4:$O$200"), 'CALLER Portal'!$AB$32),"")</f>
        <v/>
      </c>
      <c r="AH59" s="13" t="str">
        <f ca="1">IFERROR(_xlfn.PERCENTILE.EXC(INDIRECT("'" &amp;AH$25 &amp;"'!$O$4:$O$200"), 'CALLER Portal'!$AB$32),"")</f>
        <v/>
      </c>
      <c r="AI59" s="13" t="str">
        <f ca="1">IFERROR(_xlfn.PERCENTILE.EXC(INDIRECT("'" &amp;AI$25 &amp;"'!$O$4:$O$200"), 'CALLER Portal'!$AB$32),"")</f>
        <v/>
      </c>
      <c r="AJ59" s="13" t="str">
        <f ca="1">IFERROR(_xlfn.PERCENTILE.EXC(INDIRECT("'" &amp;AJ$25 &amp;"'!$O$4:$O$200"), 'CALLER Portal'!$AB$32),"")</f>
        <v/>
      </c>
      <c r="AK59" s="13" t="str">
        <f ca="1">IFERROR(_xlfn.PERCENTILE.EXC(INDIRECT("'" &amp;AK$25 &amp;"'!$O$4:$O$200"), 'CALLER Portal'!$AB$32),"")</f>
        <v/>
      </c>
      <c r="AL59" s="13" t="str">
        <f ca="1">IFERROR(_xlfn.PERCENTILE.EXC(INDIRECT("'" &amp;AL$25 &amp;"'!$O$4:$O$200"), 'CALLER Portal'!$AB$32),"")</f>
        <v/>
      </c>
      <c r="AM59" s="13" t="str">
        <f ca="1">IFERROR(_xlfn.PERCENTILE.EXC(INDIRECT("'" &amp;AM$25 &amp;"'!$O$4:$O$200"), 'CALLER Portal'!$AB$32),"")</f>
        <v/>
      </c>
      <c r="AN59" s="13" t="str">
        <f ca="1">IFERROR(_xlfn.PERCENTILE.EXC(INDIRECT("'" &amp;AN$25 &amp;"'!$O$4:$O$200"), 'CALLER Portal'!$AB$32),"")</f>
        <v/>
      </c>
      <c r="AO59" s="13" t="str">
        <f ca="1">IFERROR(_xlfn.PERCENTILE.EXC(INDIRECT("'" &amp;AO$25 &amp;"'!$O$4:$O$200"), 'CALLER Portal'!$AB$32),"")</f>
        <v/>
      </c>
      <c r="AP59" s="13" t="str">
        <f ca="1">IFERROR(_xlfn.PERCENTILE.EXC(INDIRECT("'" &amp;AP$25 &amp;"'!$O$4:$O$200"), 'CALLER Portal'!$AB$32),"")</f>
        <v/>
      </c>
      <c r="AQ59" s="13" t="str">
        <f ca="1">IFERROR(_xlfn.PERCENTILE.EXC(INDIRECT("'" &amp;AQ$25 &amp;"'!$O$4:$O$200"), 'CALLER Portal'!$AB$32),"")</f>
        <v/>
      </c>
      <c r="AR59" s="13" t="str">
        <f ca="1">IFERROR(_xlfn.PERCENTILE.EXC(INDIRECT("'" &amp;AR$25 &amp;"'!$O$4:$O$200"), 'CALLER Portal'!$AB$32),"")</f>
        <v/>
      </c>
      <c r="AS59" s="13" t="str">
        <f ca="1">IFERROR(_xlfn.PERCENTILE.EXC(INDIRECT("'" &amp;AS$25 &amp;"'!$O$4:$O$200"), 'CALLER Portal'!$AB$32),"")</f>
        <v/>
      </c>
      <c r="AT59" s="13" t="str">
        <f ca="1">IFERROR(_xlfn.PERCENTILE.EXC(INDIRECT("'" &amp;AT$25 &amp;"'!$O$4:$O$200"), 'CALLER Portal'!$AB$32),"")</f>
        <v/>
      </c>
      <c r="AU59" s="13" t="str">
        <f ca="1">IFERROR(_xlfn.PERCENTILE.EXC(INDIRECT("'" &amp;AU$25 &amp;"'!$O$4:$O$200"), 'CALLER Portal'!$AB$32),"")</f>
        <v/>
      </c>
      <c r="AV59" s="13" t="str">
        <f ca="1">IFERROR(_xlfn.PERCENTILE.EXC(INDIRECT("'" &amp;AV$25 &amp;"'!$O$4:$O$200"), 'CALLER Portal'!$AB$32),"")</f>
        <v/>
      </c>
      <c r="AW59" s="13" t="str">
        <f ca="1">IFERROR(_xlfn.PERCENTILE.EXC(INDIRECT("'" &amp;AW$25 &amp;"'!$O$4:$O$200"), 'CALLER Portal'!$AB$32),"")</f>
        <v/>
      </c>
      <c r="AX59" s="13" t="str">
        <f ca="1">IFERROR(_xlfn.PERCENTILE.EXC(INDIRECT("'" &amp;AX$25 &amp;"'!$O$4:$O$200"), 'CALLER Portal'!$AB$32),"")</f>
        <v/>
      </c>
      <c r="AY59" s="13" t="str">
        <f ca="1">IFERROR(_xlfn.PERCENTILE.EXC(INDIRECT("'" &amp;AY$25 &amp;"'!$O$4:$O$200"), 'CALLER Portal'!$AB$32),"")</f>
        <v/>
      </c>
      <c r="AZ59" s="13" t="str">
        <f ca="1">IFERROR(_xlfn.PERCENTILE.EXC(INDIRECT("'" &amp;AZ$25 &amp;"'!$O$4:$O$200"), 'CALLER Portal'!$AB$32),"")</f>
        <v/>
      </c>
      <c r="BA59" s="13" t="str">
        <f ca="1">IFERROR(_xlfn.PERCENTILE.EXC(INDIRECT("'" &amp;BA$25 &amp;"'!$O$4:$O$200"), 'CALLER Portal'!$AB$32),"")</f>
        <v/>
      </c>
    </row>
    <row r="60" spans="1:53" ht="15.75" thickBot="1" x14ac:dyDescent="0.3">
      <c r="A60" s="604"/>
      <c r="B60" s="34">
        <v>6</v>
      </c>
      <c r="C60" s="14" t="s">
        <v>111</v>
      </c>
      <c r="D60" s="61">
        <f ca="1">IFERROR(D40+'CALLER Portal'!$AB$40, "")</f>
        <v>6.0000000000000005E-2</v>
      </c>
      <c r="E60" s="61">
        <f ca="1">IFERROR(E40+'CALLER Portal'!$AB$40, "")</f>
        <v>0.09</v>
      </c>
      <c r="F60" s="61">
        <f ca="1">IFERROR(F40+'CALLER Portal'!$AB$40, "")</f>
        <v>0.09</v>
      </c>
      <c r="G60" s="61">
        <f ca="1">IFERROR(G40+'CALLER Portal'!$AB$40, "")</f>
        <v>0.05</v>
      </c>
      <c r="H60" s="61">
        <f ca="1">IFERROR(H40+'CALLER Portal'!$AB$40, "")</f>
        <v>7.0000000000000007E-2</v>
      </c>
      <c r="I60" s="61">
        <f ca="1">IFERROR(I40+'CALLER Portal'!$AB$40, "")</f>
        <v>0.25</v>
      </c>
      <c r="J60" s="61">
        <f ca="1">IFERROR(J40+'CALLER Portal'!$AB$40, "")</f>
        <v>0.28999999999999998</v>
      </c>
      <c r="K60" s="61">
        <f ca="1">IFERROR(K40+'CALLER Portal'!$AB$40, "")</f>
        <v>0.31</v>
      </c>
      <c r="L60" s="61">
        <f ca="1">IFERROR(L40+'CALLER Portal'!$AB$40, "")</f>
        <v>0.27</v>
      </c>
      <c r="M60" s="61">
        <f ca="1">IFERROR(M40+'CALLER Portal'!$AB$40, "")</f>
        <v>0.13</v>
      </c>
      <c r="N60" s="61">
        <f ca="1">IFERROR(N40+'CALLER Portal'!$AB$40, "")</f>
        <v>6.0000000000000005E-2</v>
      </c>
      <c r="O60" s="61">
        <f ca="1">IFERROR(O40+'CALLER Portal'!$AB$40, "")</f>
        <v>0.15000000000000002</v>
      </c>
      <c r="P60" s="61" t="str">
        <f ca="1">IFERROR(P40+'CALLER Portal'!$AB$40, "")</f>
        <v/>
      </c>
      <c r="Q60" s="61" t="str">
        <f ca="1">IFERROR(Q40+'CALLER Portal'!$AB$40, "")</f>
        <v/>
      </c>
      <c r="R60" s="61" t="str">
        <f ca="1">IFERROR(R40+'CALLER Portal'!$AB$40, "")</f>
        <v/>
      </c>
      <c r="S60" s="61" t="str">
        <f ca="1">IFERROR(S40+'CALLER Portal'!$AB$40, "")</f>
        <v/>
      </c>
      <c r="T60" s="61" t="str">
        <f ca="1">IFERROR(T40+'CALLER Portal'!$AB$40, "")</f>
        <v/>
      </c>
      <c r="U60" s="61" t="str">
        <f ca="1">IFERROR(U40+'CALLER Portal'!$AB$40, "")</f>
        <v/>
      </c>
      <c r="V60" s="61" t="str">
        <f ca="1">IFERROR(V40+'CALLER Portal'!$AB$40, "")</f>
        <v/>
      </c>
      <c r="W60" s="61" t="str">
        <f ca="1">IFERROR(W40+'CALLER Portal'!$AB$40, "")</f>
        <v/>
      </c>
      <c r="X60" s="61" t="str">
        <f ca="1">IFERROR(X40+'CALLER Portal'!$AB$40, "")</f>
        <v/>
      </c>
      <c r="Y60" s="61" t="str">
        <f ca="1">IFERROR(Y40+'CALLER Portal'!$AB$40, "")</f>
        <v/>
      </c>
      <c r="Z60" s="61" t="str">
        <f ca="1">IFERROR(Z40+'CALLER Portal'!$AB$40, "")</f>
        <v/>
      </c>
      <c r="AA60" s="61" t="str">
        <f ca="1">IFERROR(AA40+'CALLER Portal'!$AB$40, "")</f>
        <v/>
      </c>
      <c r="AB60" s="61" t="str">
        <f ca="1">IFERROR(AB40+'CALLER Portal'!$AB$40, "")</f>
        <v/>
      </c>
      <c r="AC60" s="61" t="str">
        <f ca="1">IFERROR(AC40+'CALLER Portal'!$AB$40, "")</f>
        <v/>
      </c>
      <c r="AD60" s="61" t="str">
        <f ca="1">IFERROR(AD40+'CALLER Portal'!$AB$40, "")</f>
        <v/>
      </c>
      <c r="AE60" s="61" t="str">
        <f ca="1">IFERROR(AE40+'CALLER Portal'!$AB$40, "")</f>
        <v/>
      </c>
      <c r="AF60" s="61" t="str">
        <f ca="1">IFERROR(AF40+'CALLER Portal'!$AB$40, "")</f>
        <v/>
      </c>
      <c r="AG60" s="61" t="str">
        <f ca="1">IFERROR(AG40+'CALLER Portal'!$AB$40, "")</f>
        <v/>
      </c>
      <c r="AH60" s="61" t="str">
        <f ca="1">IFERROR(AH40+'CALLER Portal'!$AB$40, "")</f>
        <v/>
      </c>
      <c r="AI60" s="61" t="str">
        <f ca="1">IFERROR(AI40+'CALLER Portal'!$AB$40, "")</f>
        <v/>
      </c>
      <c r="AJ60" s="61" t="str">
        <f ca="1">IFERROR(AJ40+'CALLER Portal'!$AB$40, "")</f>
        <v/>
      </c>
      <c r="AK60" s="61" t="str">
        <f ca="1">IFERROR(AK40+'CALLER Portal'!$AB$40, "")</f>
        <v/>
      </c>
      <c r="AL60" s="61" t="str">
        <f ca="1">IFERROR(AL40+'CALLER Portal'!$AB$40, "")</f>
        <v/>
      </c>
      <c r="AM60" s="61" t="str">
        <f ca="1">IFERROR(AM40+'CALLER Portal'!$AB$40, "")</f>
        <v/>
      </c>
      <c r="AN60" s="61" t="str">
        <f ca="1">IFERROR(AN40+'CALLER Portal'!$AB$40, "")</f>
        <v/>
      </c>
      <c r="AO60" s="61" t="str">
        <f ca="1">IFERROR(AO40+'CALLER Portal'!$AB$40, "")</f>
        <v/>
      </c>
      <c r="AP60" s="61" t="str">
        <f ca="1">IFERROR(AP40+'CALLER Portal'!$AB$40, "")</f>
        <v/>
      </c>
      <c r="AQ60" s="61" t="str">
        <f ca="1">IFERROR(AQ40+'CALLER Portal'!$AB$40, "")</f>
        <v/>
      </c>
      <c r="AR60" s="61" t="str">
        <f ca="1">IFERROR(AR40+'CALLER Portal'!$AB$40, "")</f>
        <v/>
      </c>
      <c r="AS60" s="61" t="str">
        <f ca="1">IFERROR(AS40+'CALLER Portal'!$AB$40, "")</f>
        <v/>
      </c>
      <c r="AT60" s="61" t="str">
        <f ca="1">IFERROR(AT40+'CALLER Portal'!$AB$40, "")</f>
        <v/>
      </c>
      <c r="AU60" s="61" t="str">
        <f ca="1">IFERROR(AU40+'CALLER Portal'!$AB$40, "")</f>
        <v/>
      </c>
      <c r="AV60" s="61" t="str">
        <f ca="1">IFERROR(AV40+'CALLER Portal'!$AB$40, "")</f>
        <v/>
      </c>
      <c r="AW60" s="61" t="str">
        <f ca="1">IFERROR(AW40+'CALLER Portal'!$AB$40, "")</f>
        <v/>
      </c>
      <c r="AX60" s="61" t="str">
        <f ca="1">IFERROR(AX40+'CALLER Portal'!$AB$40, "")</f>
        <v/>
      </c>
      <c r="AY60" s="61" t="str">
        <f ca="1">IFERROR(AY40+'CALLER Portal'!$AB$40, "")</f>
        <v/>
      </c>
      <c r="AZ60" s="61" t="str">
        <f ca="1">IFERROR(AZ40+'CALLER Portal'!$AB$40, "")</f>
        <v/>
      </c>
      <c r="BA60" s="61" t="str">
        <f ca="1">IFERROR(BA40+'CALLER Portal'!$AB$40, "")</f>
        <v/>
      </c>
    </row>
    <row r="61" spans="1:53" s="22" customFormat="1" ht="15.75" thickBot="1" x14ac:dyDescent="0.3">
      <c r="A61" s="604"/>
      <c r="B61" s="34">
        <v>7</v>
      </c>
      <c r="C61" s="39" t="s">
        <v>107</v>
      </c>
      <c r="D61" s="63">
        <f ca="1">IFERROR(_xlfn.PERCENTILE.EXC(INDIRECT("'" &amp;D$25 &amp;"'!$Q$4:$Q$200"),'CALLER Portal'!$AB$32),"")</f>
        <v>0.53</v>
      </c>
      <c r="E61" s="63">
        <f ca="1">IFERROR(_xlfn.PERCENTILE.EXC(INDIRECT("'" &amp;E$25 &amp;"'!$Q$4:$Q$200"),'CALLER Portal'!$AB$32),"")</f>
        <v>0.53300000000000003</v>
      </c>
      <c r="F61" s="63">
        <f ca="1">IFERROR(_xlfn.PERCENTILE.EXC(INDIRECT("'" &amp;F$25 &amp;"'!$Q$4:$Q$200"),'CALLER Portal'!$AB$32),"")</f>
        <v>0.53</v>
      </c>
      <c r="G61" s="63">
        <f ca="1">IFERROR(_xlfn.PERCENTILE.EXC(INDIRECT("'" &amp;G$25 &amp;"'!$Q$4:$Q$200"),'CALLER Portal'!$AB$32),"")</f>
        <v>0.53800000000000003</v>
      </c>
      <c r="H61" s="63">
        <f ca="1">IFERROR(_xlfn.PERCENTILE.EXC(INDIRECT("'" &amp;H$25 &amp;"'!$Q$4:$Q$200"),'CALLER Portal'!$AB$32),"")</f>
        <v>0.54</v>
      </c>
      <c r="I61" s="63">
        <f ca="1">IFERROR(_xlfn.PERCENTILE.EXC(INDIRECT("'" &amp;I$25 &amp;"'!$Q$4:$Q$200"),'CALLER Portal'!$AB$32),"")</f>
        <v>0.59</v>
      </c>
      <c r="J61" s="63">
        <f ca="1">IFERROR(_xlfn.PERCENTILE.EXC(INDIRECT("'" &amp;J$25 &amp;"'!$Q$4:$Q$200"),'CALLER Portal'!$AB$32),"")</f>
        <v>0.59599999999999986</v>
      </c>
      <c r="K61" s="63">
        <f ca="1">IFERROR(_xlfn.PERCENTILE.EXC(INDIRECT("'" &amp;K$25 &amp;"'!$Q$4:$Q$200"),'CALLER Portal'!$AB$32),"")</f>
        <v>0.58699999999999997</v>
      </c>
      <c r="L61" s="63">
        <f ca="1">IFERROR(_xlfn.PERCENTILE.EXC(INDIRECT("'" &amp;L$25 &amp;"'!$Q$4:$Q$200"),'CALLER Portal'!$AB$32),"")</f>
        <v>0.6</v>
      </c>
      <c r="M61" s="63">
        <f ca="1">IFERROR(_xlfn.PERCENTILE.EXC(INDIRECT("'" &amp;M$25 &amp;"'!$Q$4:$Q$200"),'CALLER Portal'!$AB$32),"")</f>
        <v>0.52</v>
      </c>
      <c r="N61" s="63">
        <f ca="1">IFERROR(_xlfn.PERCENTILE.EXC(INDIRECT("'" &amp;N$25 &amp;"'!$Q$4:$Q$200"),'CALLER Portal'!$AB$32),"")</f>
        <v>0.42</v>
      </c>
      <c r="O61" s="63">
        <f ca="1">IFERROR(_xlfn.PERCENTILE.EXC(INDIRECT("'" &amp;O$25 &amp;"'!$Q$4:$Q$200"),'CALLER Portal'!$AB$32),"")</f>
        <v>0.56999999999999995</v>
      </c>
      <c r="P61" s="63" t="str">
        <f ca="1">IFERROR(_xlfn.PERCENTILE.EXC(INDIRECT("'" &amp;P$25 &amp;"'!$Q$4:$Q$200"),'CALLER Portal'!$AB$32),"")</f>
        <v/>
      </c>
      <c r="Q61" s="63" t="str">
        <f ca="1">IFERROR(_xlfn.PERCENTILE.EXC(INDIRECT("'" &amp;Q$25 &amp;"'!$Q$4:$Q$200"),'CALLER Portal'!$AB$32),"")</f>
        <v/>
      </c>
      <c r="R61" s="63" t="str">
        <f ca="1">IFERROR(_xlfn.PERCENTILE.EXC(INDIRECT("'" &amp;R$25 &amp;"'!$Q$4:$Q$200"),'CALLER Portal'!$AB$32),"")</f>
        <v/>
      </c>
      <c r="S61" s="63" t="str">
        <f ca="1">IFERROR(_xlfn.PERCENTILE.EXC(INDIRECT("'" &amp;S$25 &amp;"'!$Q$4:$Q$200"),'CALLER Portal'!$AB$32),"")</f>
        <v/>
      </c>
      <c r="T61" s="63" t="str">
        <f ca="1">IFERROR(_xlfn.PERCENTILE.EXC(INDIRECT("'" &amp;T$25 &amp;"'!$Q$4:$Q$200"),'CALLER Portal'!$AB$32),"")</f>
        <v/>
      </c>
      <c r="U61" s="63" t="str">
        <f ca="1">IFERROR(_xlfn.PERCENTILE.EXC(INDIRECT("'" &amp;U$25 &amp;"'!$Q$4:$Q$200"),'CALLER Portal'!$AB$32),"")</f>
        <v/>
      </c>
      <c r="V61" s="63" t="str">
        <f ca="1">IFERROR(_xlfn.PERCENTILE.EXC(INDIRECT("'" &amp;V$25 &amp;"'!$Q$4:$Q$200"),'CALLER Portal'!$AB$32),"")</f>
        <v/>
      </c>
      <c r="W61" s="63" t="str">
        <f ca="1">IFERROR(_xlfn.PERCENTILE.EXC(INDIRECT("'" &amp;W$25 &amp;"'!$Q$4:$Q$200"),'CALLER Portal'!$AB$32),"")</f>
        <v/>
      </c>
      <c r="X61" s="63" t="str">
        <f ca="1">IFERROR(_xlfn.PERCENTILE.EXC(INDIRECT("'" &amp;X$25 &amp;"'!$Q$4:$Q$200"),'CALLER Portal'!$AB$32),"")</f>
        <v/>
      </c>
      <c r="Y61" s="63" t="str">
        <f ca="1">IFERROR(_xlfn.PERCENTILE.EXC(INDIRECT("'" &amp;Y$25 &amp;"'!$Q$4:$Q$200"),'CALLER Portal'!$AB$32),"")</f>
        <v/>
      </c>
      <c r="Z61" s="63" t="str">
        <f ca="1">IFERROR(_xlfn.PERCENTILE.EXC(INDIRECT("'" &amp;Z$25 &amp;"'!$Q$4:$Q$200"),'CALLER Portal'!$AB$32),"")</f>
        <v/>
      </c>
      <c r="AA61" s="63" t="str">
        <f ca="1">IFERROR(_xlfn.PERCENTILE.EXC(INDIRECT("'" &amp;AA$25 &amp;"'!$Q$4:$Q$200"),'CALLER Portal'!$AB$32),"")</f>
        <v/>
      </c>
      <c r="AB61" s="63" t="str">
        <f ca="1">IFERROR(_xlfn.PERCENTILE.EXC(INDIRECT("'" &amp;AB$25 &amp;"'!$Q$4:$Q$200"),'CALLER Portal'!$AB$32),"")</f>
        <v/>
      </c>
      <c r="AC61" s="63" t="str">
        <f ca="1">IFERROR(_xlfn.PERCENTILE.EXC(INDIRECT("'" &amp;AC$25 &amp;"'!$Q$4:$Q$200"),'CALLER Portal'!$AB$32),"")</f>
        <v/>
      </c>
      <c r="AD61" s="63" t="str">
        <f ca="1">IFERROR(_xlfn.PERCENTILE.EXC(INDIRECT("'" &amp;AD$25 &amp;"'!$Q$4:$Q$200"),'CALLER Portal'!$AB$32),"")</f>
        <v/>
      </c>
      <c r="AE61" s="63" t="str">
        <f ca="1">IFERROR(_xlfn.PERCENTILE.EXC(INDIRECT("'" &amp;AE$25 &amp;"'!$Q$4:$Q$200"),'CALLER Portal'!$AB$32),"")</f>
        <v/>
      </c>
      <c r="AF61" s="63" t="str">
        <f ca="1">IFERROR(_xlfn.PERCENTILE.EXC(INDIRECT("'" &amp;AF$25 &amp;"'!$Q$4:$Q$200"),'CALLER Portal'!$AB$32),"")</f>
        <v/>
      </c>
      <c r="AG61" s="63" t="str">
        <f ca="1">IFERROR(_xlfn.PERCENTILE.EXC(INDIRECT("'" &amp;AG$25 &amp;"'!$Q$4:$Q$200"),'CALLER Portal'!$AB$32),"")</f>
        <v/>
      </c>
      <c r="AH61" s="63" t="str">
        <f ca="1">IFERROR(_xlfn.PERCENTILE.EXC(INDIRECT("'" &amp;AH$25 &amp;"'!$Q$4:$Q$200"),'CALLER Portal'!$AB$32),"")</f>
        <v/>
      </c>
      <c r="AI61" s="63" t="str">
        <f ca="1">IFERROR(_xlfn.PERCENTILE.EXC(INDIRECT("'" &amp;AI$25 &amp;"'!$Q$4:$Q$200"),'CALLER Portal'!$AB$32),"")</f>
        <v/>
      </c>
      <c r="AJ61" s="63" t="str">
        <f ca="1">IFERROR(_xlfn.PERCENTILE.EXC(INDIRECT("'" &amp;AJ$25 &amp;"'!$Q$4:$Q$200"),'CALLER Portal'!$AB$32),"")</f>
        <v/>
      </c>
      <c r="AK61" s="63" t="str">
        <f ca="1">IFERROR(_xlfn.PERCENTILE.EXC(INDIRECT("'" &amp;AK$25 &amp;"'!$Q$4:$Q$200"),'CALLER Portal'!$AB$32),"")</f>
        <v/>
      </c>
      <c r="AL61" s="63" t="str">
        <f ca="1">IFERROR(_xlfn.PERCENTILE.EXC(INDIRECT("'" &amp;AL$25 &amp;"'!$Q$4:$Q$200"),'CALLER Portal'!$AB$32),"")</f>
        <v/>
      </c>
      <c r="AM61" s="63" t="str">
        <f ca="1">IFERROR(_xlfn.PERCENTILE.EXC(INDIRECT("'" &amp;AM$25 &amp;"'!$Q$4:$Q$200"),'CALLER Portal'!$AB$32),"")</f>
        <v/>
      </c>
      <c r="AN61" s="63" t="str">
        <f ca="1">IFERROR(_xlfn.PERCENTILE.EXC(INDIRECT("'" &amp;AN$25 &amp;"'!$Q$4:$Q$200"),'CALLER Portal'!$AB$32),"")</f>
        <v/>
      </c>
      <c r="AO61" s="63" t="str">
        <f ca="1">IFERROR(_xlfn.PERCENTILE.EXC(INDIRECT("'" &amp;AO$25 &amp;"'!$Q$4:$Q$200"),'CALLER Portal'!$AB$32),"")</f>
        <v/>
      </c>
      <c r="AP61" s="63" t="str">
        <f ca="1">IFERROR(_xlfn.PERCENTILE.EXC(INDIRECT("'" &amp;AP$25 &amp;"'!$Q$4:$Q$200"),'CALLER Portal'!$AB$32),"")</f>
        <v/>
      </c>
      <c r="AQ61" s="63" t="str">
        <f ca="1">IFERROR(_xlfn.PERCENTILE.EXC(INDIRECT("'" &amp;AQ$25 &amp;"'!$Q$4:$Q$200"),'CALLER Portal'!$AB$32),"")</f>
        <v/>
      </c>
      <c r="AR61" s="63" t="str">
        <f ca="1">IFERROR(_xlfn.PERCENTILE.EXC(INDIRECT("'" &amp;AR$25 &amp;"'!$Q$4:$Q$200"),'CALLER Portal'!$AB$32),"")</f>
        <v/>
      </c>
      <c r="AS61" s="63" t="str">
        <f ca="1">IFERROR(_xlfn.PERCENTILE.EXC(INDIRECT("'" &amp;AS$25 &amp;"'!$Q$4:$Q$200"),'CALLER Portal'!$AB$32),"")</f>
        <v/>
      </c>
      <c r="AT61" s="63" t="str">
        <f ca="1">IFERROR(_xlfn.PERCENTILE.EXC(INDIRECT("'" &amp;AT$25 &amp;"'!$Q$4:$Q$200"),'CALLER Portal'!$AB$32),"")</f>
        <v/>
      </c>
      <c r="AU61" s="63" t="str">
        <f ca="1">IFERROR(_xlfn.PERCENTILE.EXC(INDIRECT("'" &amp;AU$25 &amp;"'!$Q$4:$Q$200"),'CALLER Portal'!$AB$32),"")</f>
        <v/>
      </c>
      <c r="AV61" s="63" t="str">
        <f ca="1">IFERROR(_xlfn.PERCENTILE.EXC(INDIRECT("'" &amp;AV$25 &amp;"'!$Q$4:$Q$200"),'CALLER Portal'!$AB$32),"")</f>
        <v/>
      </c>
      <c r="AW61" s="63" t="str">
        <f ca="1">IFERROR(_xlfn.PERCENTILE.EXC(INDIRECT("'" &amp;AW$25 &amp;"'!$Q$4:$Q$200"),'CALLER Portal'!$AB$32),"")</f>
        <v/>
      </c>
      <c r="AX61" s="63" t="str">
        <f ca="1">IFERROR(_xlfn.PERCENTILE.EXC(INDIRECT("'" &amp;AX$25 &amp;"'!$Q$4:$Q$200"),'CALLER Portal'!$AB$32),"")</f>
        <v/>
      </c>
      <c r="AY61" s="63" t="str">
        <f ca="1">IFERROR(_xlfn.PERCENTILE.EXC(INDIRECT("'" &amp;AY$25 &amp;"'!$Q$4:$Q$200"),'CALLER Portal'!$AB$32),"")</f>
        <v/>
      </c>
      <c r="AZ61" s="63" t="str">
        <f ca="1">IFERROR(_xlfn.PERCENTILE.EXC(INDIRECT("'" &amp;AZ$25 &amp;"'!$Q$4:$Q$200"),'CALLER Portal'!$AB$32),"")</f>
        <v/>
      </c>
      <c r="BA61" s="63" t="str">
        <f ca="1">IFERROR(_xlfn.PERCENTILE.EXC(INDIRECT("'" &amp;BA$25 &amp;"'!$Q$4:$Q$200"),'CALLER Portal'!$AB$32),"")</f>
        <v/>
      </c>
    </row>
    <row r="62" spans="1:53" ht="15.75" thickBot="1" x14ac:dyDescent="0.3">
      <c r="A62" s="604"/>
    </row>
    <row r="63" spans="1:53" ht="15.75" thickBot="1" x14ac:dyDescent="0.3">
      <c r="A63" s="604"/>
      <c r="C63" s="50" t="s">
        <v>18</v>
      </c>
      <c r="D63" s="41"/>
    </row>
    <row r="64" spans="1:53" s="22" customFormat="1" ht="15.75" thickBot="1" x14ac:dyDescent="0.3">
      <c r="A64" s="604"/>
      <c r="C64" s="44" t="s">
        <v>0</v>
      </c>
      <c r="D64" s="121">
        <f>IF(YEAR('CALLER Portal'!$AB$33)=2018,D23,IF(YEAR('CALLER Portal'!$AB$33)=2019,D24,"-"))</f>
        <v>43470</v>
      </c>
      <c r="E64" s="121">
        <f>IF(YEAR('CALLER Portal'!$AB$33)=2018,E23,IF(YEAR('CALLER Portal'!$AB$33)=2019,E24,"-"))</f>
        <v>43477</v>
      </c>
      <c r="F64" s="121">
        <f>IF(YEAR('CALLER Portal'!$AB$33)=2018,F23,IF(YEAR('CALLER Portal'!$AB$33)=2019,F24,"-"))</f>
        <v>43484</v>
      </c>
      <c r="G64" s="121">
        <f>IF(YEAR('CALLER Portal'!$AB$33)=2018,G23,IF(YEAR('CALLER Portal'!$AB$33)=2019,G24,"-"))</f>
        <v>43491</v>
      </c>
      <c r="H64" s="121">
        <f>IF(YEAR('CALLER Portal'!$AB$33)=2018,H23,IF(YEAR('CALLER Portal'!$AB$33)=2019,H24,"-"))</f>
        <v>43498</v>
      </c>
      <c r="I64" s="121">
        <f>IF(YEAR('CALLER Portal'!$AB$33)=2018,I23,IF(YEAR('CALLER Portal'!$AB$33)=2019,I24,"-"))</f>
        <v>43505</v>
      </c>
      <c r="J64" s="121">
        <f>IF(YEAR('CALLER Portal'!$AB$33)=2018,J23,IF(YEAR('CALLER Portal'!$AB$33)=2019,J24,"-"))</f>
        <v>43512</v>
      </c>
      <c r="K64" s="121">
        <f>IF(YEAR('CALLER Portal'!$AB$33)=2018,K23,IF(YEAR('CALLER Portal'!$AB$33)=2019,K24,"-"))</f>
        <v>43519</v>
      </c>
      <c r="L64" s="121">
        <f>IF(YEAR('CALLER Portal'!$AB$33)=2018,L23,IF(YEAR('CALLER Portal'!$AB$33)=2019,L24,"-"))</f>
        <v>43526</v>
      </c>
      <c r="M64" s="121">
        <f>IF(YEAR('CALLER Portal'!$AB$33)=2018,M23,IF(YEAR('CALLER Portal'!$AB$33)=2019,M24,"-"))</f>
        <v>43533</v>
      </c>
      <c r="N64" s="121">
        <f>IF(YEAR('CALLER Portal'!$AB$33)=2018,N23,IF(YEAR('CALLER Portal'!$AB$33)=2019,N24,"-"))</f>
        <v>43540</v>
      </c>
      <c r="O64" s="121">
        <f>IF(YEAR('CALLER Portal'!$AB$33)=2018,O23,IF(YEAR('CALLER Portal'!$AB$33)=2019,O24,"-"))</f>
        <v>43547</v>
      </c>
      <c r="P64" s="121">
        <f>IF(YEAR('CALLER Portal'!$AB$33)=2018,P23,IF(YEAR('CALLER Portal'!$AB$33)=2019,P24,"-"))</f>
        <v>43554</v>
      </c>
      <c r="Q64" s="121">
        <f>IF(YEAR('CALLER Portal'!$AB$33)=2018,Q23,IF(YEAR('CALLER Portal'!$AB$33)=2019,Q24,"-"))</f>
        <v>43561</v>
      </c>
      <c r="R64" s="121">
        <f>IF(YEAR('CALLER Portal'!$AB$33)=2018,R23,IF(YEAR('CALLER Portal'!$AB$33)=2019,R24,"-"))</f>
        <v>43568</v>
      </c>
      <c r="S64" s="121">
        <f>IF(YEAR('CALLER Portal'!$AB$33)=2018,S23,IF(YEAR('CALLER Portal'!$AB$33)=2019,S24,"-"))</f>
        <v>43575</v>
      </c>
      <c r="T64" s="121">
        <f>IF(YEAR('CALLER Portal'!$AB$33)=2018,T23,IF(YEAR('CALLER Portal'!$AB$33)=2019,T24,"-"))</f>
        <v>43582</v>
      </c>
      <c r="U64" s="121">
        <f>IF(YEAR('CALLER Portal'!$AB$33)=2018,U23,IF(YEAR('CALLER Portal'!$AB$33)=2019,U24,"-"))</f>
        <v>43589</v>
      </c>
      <c r="V64" s="121">
        <f>IF(YEAR('CALLER Portal'!$AB$33)=2018,V23,IF(YEAR('CALLER Portal'!$AB$33)=2019,V24,"-"))</f>
        <v>43596</v>
      </c>
      <c r="W64" s="121">
        <f>IF(YEAR('CALLER Portal'!$AB$33)=2018,W23,IF(YEAR('CALLER Portal'!$AB$33)=2019,W24,"-"))</f>
        <v>43603</v>
      </c>
      <c r="X64" s="121">
        <f>IF(YEAR('CALLER Portal'!$AB$33)=2018,X23,IF(YEAR('CALLER Portal'!$AB$33)=2019,X24,"-"))</f>
        <v>43610</v>
      </c>
      <c r="Y64" s="121">
        <f>IF(YEAR('CALLER Portal'!$AB$33)=2018,Y23,IF(YEAR('CALLER Portal'!$AB$33)=2019,Y24,"-"))</f>
        <v>43617</v>
      </c>
      <c r="Z64" s="121">
        <f>IF(YEAR('CALLER Portal'!$AB$33)=2018,Z23,IF(YEAR('CALLER Portal'!$AB$33)=2019,Z24,"-"))</f>
        <v>43624</v>
      </c>
      <c r="AA64" s="121">
        <f>IF(YEAR('CALLER Portal'!$AB$33)=2018,AA23,IF(YEAR('CALLER Portal'!$AB$33)=2019,AA24,"-"))</f>
        <v>43631</v>
      </c>
      <c r="AB64" s="121">
        <f>IF(YEAR('CALLER Portal'!$AB$33)=2018,AB23,IF(YEAR('CALLER Portal'!$AB$33)=2019,AB24,"-"))</f>
        <v>43638</v>
      </c>
      <c r="AC64" s="121">
        <f>IF(YEAR('CALLER Portal'!$AB$33)=2018,AC23,IF(YEAR('CALLER Portal'!$AB$33)=2019,AC24,"-"))</f>
        <v>43645</v>
      </c>
      <c r="AD64" s="121">
        <f>IF(YEAR('CALLER Portal'!$AB$33)=2018,AD23,IF(YEAR('CALLER Portal'!$AB$33)=2019,AD24,"-"))</f>
        <v>43652</v>
      </c>
      <c r="AE64" s="121">
        <f>IF(YEAR('CALLER Portal'!$AB$33)=2018,AE23,IF(YEAR('CALLER Portal'!$AB$33)=2019,AE24,"-"))</f>
        <v>43659</v>
      </c>
      <c r="AF64" s="121">
        <f>IF(YEAR('CALLER Portal'!$AB$33)=2018,AF23,IF(YEAR('CALLER Portal'!$AB$33)=2019,AF24,"-"))</f>
        <v>43666</v>
      </c>
      <c r="AG64" s="121">
        <f>IF(YEAR('CALLER Portal'!$AB$33)=2018,AG23,IF(YEAR('CALLER Portal'!$AB$33)=2019,AG24,"-"))</f>
        <v>43673</v>
      </c>
      <c r="AH64" s="121">
        <f>IF(YEAR('CALLER Portal'!$AB$33)=2018,AH23,IF(YEAR('CALLER Portal'!$AB$33)=2019,AH24,"-"))</f>
        <v>43680</v>
      </c>
      <c r="AI64" s="121">
        <f>IF(YEAR('CALLER Portal'!$AB$33)=2018,AI23,IF(YEAR('CALLER Portal'!$AB$33)=2019,AI24,"-"))</f>
        <v>43687</v>
      </c>
      <c r="AJ64" s="121">
        <f>IF(YEAR('CALLER Portal'!$AB$33)=2018,AJ23,IF(YEAR('CALLER Portal'!$AB$33)=2019,AJ24,"-"))</f>
        <v>43694</v>
      </c>
      <c r="AK64" s="121">
        <f>IF(YEAR('CALLER Portal'!$AB$33)=2018,AK23,IF(YEAR('CALLER Portal'!$AB$33)=2019,AK24,"-"))</f>
        <v>43701</v>
      </c>
      <c r="AL64" s="121">
        <f>IF(YEAR('CALLER Portal'!$AB$33)=2018,AL23,IF(YEAR('CALLER Portal'!$AB$33)=2019,AL24,"-"))</f>
        <v>43708</v>
      </c>
      <c r="AM64" s="121">
        <f>IF(YEAR('CALLER Portal'!$AB$33)=2018,AM23,IF(YEAR('CALLER Portal'!$AB$33)=2019,AM24,"-"))</f>
        <v>43715</v>
      </c>
      <c r="AN64" s="121">
        <f>IF(YEAR('CALLER Portal'!$AB$33)=2018,AN23,IF(YEAR('CALLER Portal'!$AB$33)=2019,AN24,"-"))</f>
        <v>43722</v>
      </c>
      <c r="AO64" s="121">
        <f>IF(YEAR('CALLER Portal'!$AB$33)=2018,AO23,IF(YEAR('CALLER Portal'!$AB$33)=2019,AO24,"-"))</f>
        <v>43729</v>
      </c>
      <c r="AP64" s="121">
        <f>IF(YEAR('CALLER Portal'!$AB$33)=2018,AP23,IF(YEAR('CALLER Portal'!$AB$33)=2019,AP24,"-"))</f>
        <v>43736</v>
      </c>
      <c r="AQ64" s="121">
        <f>IF(YEAR('CALLER Portal'!$AB$33)=2018,AQ23,IF(YEAR('CALLER Portal'!$AB$33)=2019,AQ24,"-"))</f>
        <v>43743</v>
      </c>
      <c r="AR64" s="121">
        <f>IF(YEAR('CALLER Portal'!$AB$33)=2018,AR23,IF(YEAR('CALLER Portal'!$AB$33)=2019,AR24,"-"))</f>
        <v>43750</v>
      </c>
      <c r="AS64" s="121">
        <f>IF(YEAR('CALLER Portal'!$AB$33)=2018,AS23,IF(YEAR('CALLER Portal'!$AB$33)=2019,AS24,"-"))</f>
        <v>43757</v>
      </c>
      <c r="AT64" s="121">
        <f>IF(YEAR('CALLER Portal'!$AB$33)=2018,AT23,IF(YEAR('CALLER Portal'!$AB$33)=2019,AT24,"-"))</f>
        <v>43764</v>
      </c>
      <c r="AU64" s="121">
        <f>IF(YEAR('CALLER Portal'!$AB$33)=2018,AU23,IF(YEAR('CALLER Portal'!$AB$33)=2019,AU24,"-"))</f>
        <v>43771</v>
      </c>
      <c r="AV64" s="121">
        <f>IF(YEAR('CALLER Portal'!$AB$33)=2018,AV23,IF(YEAR('CALLER Portal'!$AB$33)=2019,AV24,"-"))</f>
        <v>43778</v>
      </c>
      <c r="AW64" s="121">
        <f>IF(YEAR('CALLER Portal'!$AB$33)=2018,AW23,IF(YEAR('CALLER Portal'!$AB$33)=2019,AW24,"-"))</f>
        <v>43785</v>
      </c>
      <c r="AX64" s="121">
        <f>IF(YEAR('CALLER Portal'!$AB$33)=2018,AX23,IF(YEAR('CALLER Portal'!$AB$33)=2019,AX24,"-"))</f>
        <v>43792</v>
      </c>
      <c r="AY64" s="121">
        <f>IF(YEAR('CALLER Portal'!$AB$33)=2018,AY23,IF(YEAR('CALLER Portal'!$AB$33)=2019,AY24,"-"))</f>
        <v>43799</v>
      </c>
      <c r="AZ64" s="121">
        <f>IF(YEAR('CALLER Portal'!$AB$33)=2018,AZ23,IF(YEAR('CALLER Portal'!$AB$33)=2019,AZ24,"-"))</f>
        <v>43806</v>
      </c>
      <c r="BA64" s="121">
        <f>IF(YEAR('CALLER Portal'!$AB$33)=2018,BA23,IF(YEAR('CALLER Portal'!$AB$33)=2019,BA24,"-"))</f>
        <v>43813</v>
      </c>
    </row>
    <row r="65" spans="1:53" ht="15.75" thickBot="1" x14ac:dyDescent="0.3">
      <c r="A65" s="604"/>
      <c r="C65" s="54" t="s">
        <v>11</v>
      </c>
      <c r="D65" s="46" t="str">
        <f ca="1">VLOOKUP('CALLER Portal'!$A$31,'CALLER Portal'!$A$14:$AZ$21,'Caller Portal Instructions'!D$26)</f>
        <v/>
      </c>
      <c r="E65" s="46" t="str">
        <f ca="1">VLOOKUP('CALLER Portal'!$A$31,'CALLER Portal'!$A$14:$AZ$21,'Caller Portal Instructions'!E$26)</f>
        <v/>
      </c>
      <c r="F65" s="46" t="str">
        <f ca="1">VLOOKUP('CALLER Portal'!$A$31,'CALLER Portal'!$A$14:$AZ$21,'Caller Portal Instructions'!F$26)</f>
        <v/>
      </c>
      <c r="G65" s="46" t="str">
        <f ca="1">VLOOKUP('CALLER Portal'!$A$31,'CALLER Portal'!$A$14:$AZ$21,'Caller Portal Instructions'!G$26)</f>
        <v/>
      </c>
      <c r="H65" s="46" t="str">
        <f ca="1">VLOOKUP('CALLER Portal'!$A$31,'CALLER Portal'!$A$14:$AZ$21,'Caller Portal Instructions'!H$26)</f>
        <v/>
      </c>
      <c r="I65" s="46" t="str">
        <f ca="1">VLOOKUP('CALLER Portal'!$A$31,'CALLER Portal'!$A$14:$AZ$21,'Caller Portal Instructions'!I$26)</f>
        <v/>
      </c>
      <c r="J65" s="46" t="str">
        <f ca="1">VLOOKUP('CALLER Portal'!$A$31,'CALLER Portal'!$A$14:$AZ$21,'Caller Portal Instructions'!J$26)</f>
        <v/>
      </c>
      <c r="K65" s="46" t="str">
        <f ca="1">VLOOKUP('CALLER Portal'!$A$31,'CALLER Portal'!$A$14:$AZ$21,'Caller Portal Instructions'!K$26)</f>
        <v/>
      </c>
      <c r="L65" s="46" t="str">
        <f ca="1">VLOOKUP('CALLER Portal'!$A$31,'CALLER Portal'!$A$14:$AZ$21,'Caller Portal Instructions'!L$26)</f>
        <v/>
      </c>
      <c r="M65" s="46" t="str">
        <f ca="1">VLOOKUP('CALLER Portal'!$A$31,'CALLER Portal'!$A$14:$AZ$21,'Caller Portal Instructions'!M$26)</f>
        <v/>
      </c>
      <c r="N65" s="46" t="str">
        <f ca="1">VLOOKUP('CALLER Portal'!$A$31,'CALLER Portal'!$A$14:$AZ$21,'Caller Portal Instructions'!N$26)</f>
        <v/>
      </c>
      <c r="O65" s="46" t="str">
        <f ca="1">VLOOKUP('CALLER Portal'!$A$31,'CALLER Portal'!$A$14:$AZ$21,'Caller Portal Instructions'!O$26)</f>
        <v/>
      </c>
      <c r="P65" s="46" t="str">
        <f ca="1">VLOOKUP('CALLER Portal'!$A$31,'CALLER Portal'!$A$14:$AZ$21,'Caller Portal Instructions'!P$26)</f>
        <v/>
      </c>
      <c r="Q65" s="46" t="str">
        <f ca="1">VLOOKUP('CALLER Portal'!$A$31,'CALLER Portal'!$A$14:$AZ$21,'Caller Portal Instructions'!Q$26)</f>
        <v/>
      </c>
      <c r="R65" s="46" t="str">
        <f ca="1">VLOOKUP('CALLER Portal'!$A$31,'CALLER Portal'!$A$14:$AZ$21,'Caller Portal Instructions'!R$26)</f>
        <v/>
      </c>
      <c r="S65" s="46" t="str">
        <f ca="1">VLOOKUP('CALLER Portal'!$A$31,'CALLER Portal'!$A$14:$AZ$21,'Caller Portal Instructions'!S$26)</f>
        <v/>
      </c>
      <c r="T65" s="46" t="str">
        <f ca="1">VLOOKUP('CALLER Portal'!$A$31,'CALLER Portal'!$A$14:$AZ$21,'Caller Portal Instructions'!T$26)</f>
        <v/>
      </c>
      <c r="U65" s="46" t="str">
        <f ca="1">VLOOKUP('CALLER Portal'!$A$31,'CALLER Portal'!$A$14:$AZ$21,'Caller Portal Instructions'!U$26)</f>
        <v/>
      </c>
      <c r="V65" s="46" t="str">
        <f ca="1">VLOOKUP('CALLER Portal'!$A$31,'CALLER Portal'!$A$14:$AZ$21,'Caller Portal Instructions'!V$26)</f>
        <v/>
      </c>
      <c r="W65" s="46" t="str">
        <f ca="1">VLOOKUP('CALLER Portal'!$A$31,'CALLER Portal'!$A$14:$AZ$21,'Caller Portal Instructions'!W$26)</f>
        <v/>
      </c>
      <c r="X65" s="46" t="str">
        <f ca="1">VLOOKUP('CALLER Portal'!$A$31,'CALLER Portal'!$A$14:$AZ$21,'Caller Portal Instructions'!X$26)</f>
        <v/>
      </c>
      <c r="Y65" s="46" t="str">
        <f ca="1">VLOOKUP('CALLER Portal'!$A$31,'CALLER Portal'!$A$14:$AZ$21,'Caller Portal Instructions'!Y$26)</f>
        <v/>
      </c>
      <c r="Z65" s="46" t="str">
        <f ca="1">VLOOKUP('CALLER Portal'!$A$31,'CALLER Portal'!$A$14:$AZ$21,'Caller Portal Instructions'!Z$26)</f>
        <v/>
      </c>
      <c r="AA65" s="46" t="str">
        <f ca="1">VLOOKUP('CALLER Portal'!$A$31,'CALLER Portal'!$A$14:$AZ$21,'Caller Portal Instructions'!AA$26)</f>
        <v/>
      </c>
      <c r="AB65" s="46" t="str">
        <f ca="1">VLOOKUP('CALLER Portal'!$A$31,'CALLER Portal'!$A$14:$AZ$21,'Caller Portal Instructions'!AB$26)</f>
        <v/>
      </c>
      <c r="AC65" s="46" t="str">
        <f ca="1">VLOOKUP('CALLER Portal'!$A$31,'CALLER Portal'!$A$14:$AZ$21,'Caller Portal Instructions'!AC$26)</f>
        <v/>
      </c>
      <c r="AD65" s="46" t="str">
        <f ca="1">VLOOKUP('CALLER Portal'!$A$31,'CALLER Portal'!$A$14:$AZ$21,'Caller Portal Instructions'!AD$26)</f>
        <v/>
      </c>
      <c r="AE65" s="46" t="str">
        <f ca="1">VLOOKUP('CALLER Portal'!$A$31,'CALLER Portal'!$A$14:$AZ$21,'Caller Portal Instructions'!AE$26)</f>
        <v/>
      </c>
      <c r="AF65" s="46" t="str">
        <f ca="1">VLOOKUP('CALLER Portal'!$A$31,'CALLER Portal'!$A$14:$AZ$21,'Caller Portal Instructions'!AF$26)</f>
        <v/>
      </c>
      <c r="AG65" s="46" t="str">
        <f ca="1">VLOOKUP('CALLER Portal'!$A$31,'CALLER Portal'!$A$14:$AZ$21,'Caller Portal Instructions'!AG$26)</f>
        <v/>
      </c>
      <c r="AH65" s="46" t="str">
        <f ca="1">VLOOKUP('CALLER Portal'!$A$31,'CALLER Portal'!$A$14:$AZ$21,'Caller Portal Instructions'!AH$26)</f>
        <v/>
      </c>
      <c r="AI65" s="46" t="str">
        <f ca="1">VLOOKUP('CALLER Portal'!$A$31,'CALLER Portal'!$A$14:$AZ$21,'Caller Portal Instructions'!AI$26)</f>
        <v/>
      </c>
      <c r="AJ65" s="46" t="str">
        <f ca="1">VLOOKUP('CALLER Portal'!$A$31,'CALLER Portal'!$A$14:$AZ$21,'Caller Portal Instructions'!AJ$26)</f>
        <v/>
      </c>
      <c r="AK65" s="46" t="str">
        <f ca="1">VLOOKUP('CALLER Portal'!$A$31,'CALLER Portal'!$A$14:$AZ$21,'Caller Portal Instructions'!AK$26)</f>
        <v/>
      </c>
      <c r="AL65" s="46" t="str">
        <f ca="1">VLOOKUP('CALLER Portal'!$A$31,'CALLER Portal'!$A$14:$AZ$21,'Caller Portal Instructions'!AL$26)</f>
        <v/>
      </c>
      <c r="AM65" s="46" t="str">
        <f ca="1">VLOOKUP('CALLER Portal'!$A$31,'CALLER Portal'!$A$14:$AZ$21,'Caller Portal Instructions'!AM$26)</f>
        <v/>
      </c>
      <c r="AN65" s="46" t="str">
        <f ca="1">VLOOKUP('CALLER Portal'!$A$31,'CALLER Portal'!$A$14:$AZ$21,'Caller Portal Instructions'!AN$26)</f>
        <v/>
      </c>
      <c r="AO65" s="46" t="str">
        <f ca="1">VLOOKUP('CALLER Portal'!$A$31,'CALLER Portal'!$A$14:$AZ$21,'Caller Portal Instructions'!AO$26)</f>
        <v/>
      </c>
      <c r="AP65" s="46" t="str">
        <f ca="1">VLOOKUP('CALLER Portal'!$A$31,'CALLER Portal'!$A$14:$AZ$21,'Caller Portal Instructions'!AP$26)</f>
        <v/>
      </c>
      <c r="AQ65" s="46" t="str">
        <f ca="1">VLOOKUP('CALLER Portal'!$A$31,'CALLER Portal'!$A$14:$AZ$21,'Caller Portal Instructions'!AQ$26)</f>
        <v/>
      </c>
      <c r="AR65" s="46" t="str">
        <f ca="1">VLOOKUP('CALLER Portal'!$A$31,'CALLER Portal'!$A$14:$AZ$21,'Caller Portal Instructions'!AR$26)</f>
        <v/>
      </c>
      <c r="AS65" s="46" t="str">
        <f ca="1">VLOOKUP('CALLER Portal'!$A$31,'CALLER Portal'!$A$14:$AZ$21,'Caller Portal Instructions'!AS$26)</f>
        <v/>
      </c>
      <c r="AT65" s="46" t="str">
        <f ca="1">VLOOKUP('CALLER Portal'!$A$31,'CALLER Portal'!$A$14:$AZ$21,'Caller Portal Instructions'!AT$26)</f>
        <v/>
      </c>
      <c r="AU65" s="46" t="str">
        <f ca="1">VLOOKUP('CALLER Portal'!$A$31,'CALLER Portal'!$A$14:$AZ$21,'Caller Portal Instructions'!AU$26)</f>
        <v/>
      </c>
      <c r="AV65" s="46" t="str">
        <f ca="1">VLOOKUP('CALLER Portal'!$A$31,'CALLER Portal'!$A$14:$AZ$21,'Caller Portal Instructions'!AV$26)</f>
        <v/>
      </c>
      <c r="AW65" s="46" t="str">
        <f ca="1">VLOOKUP('CALLER Portal'!$A$31,'CALLER Portal'!$A$14:$AZ$21,'Caller Portal Instructions'!AW$26)</f>
        <v/>
      </c>
      <c r="AX65" s="46" t="str">
        <f ca="1">VLOOKUP('CALLER Portal'!$A$31,'CALLER Portal'!$A$14:$AZ$21,'Caller Portal Instructions'!AX$26)</f>
        <v/>
      </c>
      <c r="AY65" s="46" t="str">
        <f ca="1">VLOOKUP('CALLER Portal'!$A$31,'CALLER Portal'!$A$14:$AZ$21,'Caller Portal Instructions'!AY$26)</f>
        <v/>
      </c>
      <c r="AZ65" s="46" t="str">
        <f ca="1">VLOOKUP('CALLER Portal'!$A$31,'CALLER Portal'!$A$14:$AZ$21,'Caller Portal Instructions'!AZ$26)</f>
        <v/>
      </c>
      <c r="BA65" s="46" t="str">
        <f ca="1">VLOOKUP('CALLER Portal'!$A$31,'CALLER Portal'!$A$14:$AZ$21,'Caller Portal Instructions'!BA$26)</f>
        <v/>
      </c>
    </row>
    <row r="66" spans="1:53" ht="15.75" thickBot="1" x14ac:dyDescent="0.3">
      <c r="A66" s="604"/>
      <c r="C66" s="55" t="s">
        <v>22</v>
      </c>
      <c r="D66" s="48">
        <f ca="1">VLOOKUP('CALLER Portal'!$A$31,'Caller Portal Instructions'!$B$34:$BA$41,D$26)</f>
        <v>3.39E-2</v>
      </c>
      <c r="E66" s="48">
        <f ca="1">VLOOKUP('CALLER Portal'!$A$31,'Caller Portal Instructions'!$B$34:$BA$41,E$26)</f>
        <v>0.1038</v>
      </c>
      <c r="F66" s="48">
        <f ca="1">VLOOKUP('CALLER Portal'!$A$31,'Caller Portal Instructions'!$B$34:$BA$41,F$26)</f>
        <v>0.11435000000000001</v>
      </c>
      <c r="G66" s="48">
        <f ca="1">VLOOKUP('CALLER Portal'!$A$31,'Caller Portal Instructions'!$B$34:$BA$41,G$26)</f>
        <v>3.2300000000000002E-2</v>
      </c>
      <c r="H66" s="48">
        <f ca="1">VLOOKUP('CALLER Portal'!$A$31,'Caller Portal Instructions'!$B$34:$BA$41,H$26)</f>
        <v>7.6899999999999996E-2</v>
      </c>
      <c r="I66" s="48">
        <f ca="1">VLOOKUP('CALLER Portal'!$A$31,'Caller Portal Instructions'!$B$34:$BA$41,I$26)</f>
        <v>0.33329999999999999</v>
      </c>
      <c r="J66" s="48">
        <f ca="1">VLOOKUP('CALLER Portal'!$A$31,'Caller Portal Instructions'!$B$34:$BA$41,J$26)</f>
        <v>0.44740000000000002</v>
      </c>
      <c r="K66" s="48">
        <f ca="1">VLOOKUP('CALLER Portal'!$A$31,'Caller Portal Instructions'!$B$34:$BA$41,K$26)</f>
        <v>0.625</v>
      </c>
      <c r="L66" s="48">
        <f ca="1">VLOOKUP('CALLER Portal'!$A$31,'Caller Portal Instructions'!$B$34:$BA$41,L$26)</f>
        <v>0.63160000000000005</v>
      </c>
      <c r="M66" s="48">
        <f ca="1">VLOOKUP('CALLER Portal'!$A$31,'Caller Portal Instructions'!$B$34:$BA$41,M$26)</f>
        <v>0.30769999999999997</v>
      </c>
      <c r="N66" s="48">
        <f ca="1">VLOOKUP('CALLER Portal'!$A$31,'Caller Portal Instructions'!$B$34:$BA$41,N$26)</f>
        <v>8.9549999999999991E-2</v>
      </c>
      <c r="O66" s="48">
        <f ca="1">VLOOKUP('CALLER Portal'!$A$31,'Caller Portal Instructions'!$B$34:$BA$41,O$26)</f>
        <v>0.1724</v>
      </c>
      <c r="P66" s="48" t="str">
        <f ca="1">VLOOKUP('CALLER Portal'!$A$31,'Caller Portal Instructions'!$B$34:$BA$41,P$26)</f>
        <v/>
      </c>
      <c r="Q66" s="48" t="str">
        <f ca="1">VLOOKUP('CALLER Portal'!$A$31,'Caller Portal Instructions'!$B$34:$BA$41,Q$26)</f>
        <v/>
      </c>
      <c r="R66" s="48" t="str">
        <f ca="1">VLOOKUP('CALLER Portal'!$A$31,'Caller Portal Instructions'!$B$34:$BA$41,R$26)</f>
        <v/>
      </c>
      <c r="S66" s="48" t="str">
        <f ca="1">VLOOKUP('CALLER Portal'!$A$31,'Caller Portal Instructions'!$B$34:$BA$41,S$26)</f>
        <v/>
      </c>
      <c r="T66" s="48" t="str">
        <f ca="1">VLOOKUP('CALLER Portal'!$A$31,'Caller Portal Instructions'!$B$34:$BA$41,T$26)</f>
        <v/>
      </c>
      <c r="U66" s="48" t="str">
        <f ca="1">VLOOKUP('CALLER Portal'!$A$31,'Caller Portal Instructions'!$B$34:$BA$41,U$26)</f>
        <v/>
      </c>
      <c r="V66" s="48" t="str">
        <f ca="1">VLOOKUP('CALLER Portal'!$A$31,'Caller Portal Instructions'!$B$34:$BA$41,V$26)</f>
        <v/>
      </c>
      <c r="W66" s="48" t="str">
        <f ca="1">VLOOKUP('CALLER Portal'!$A$31,'Caller Portal Instructions'!$B$34:$BA$41,W$26)</f>
        <v/>
      </c>
      <c r="X66" s="48" t="str">
        <f ca="1">VLOOKUP('CALLER Portal'!$A$31,'Caller Portal Instructions'!$B$34:$BA$41,X$26)</f>
        <v/>
      </c>
      <c r="Y66" s="48" t="str">
        <f ca="1">VLOOKUP('CALLER Portal'!$A$31,'Caller Portal Instructions'!$B$34:$BA$41,Y$26)</f>
        <v/>
      </c>
      <c r="Z66" s="48" t="str">
        <f ca="1">VLOOKUP('CALLER Portal'!$A$31,'Caller Portal Instructions'!$B$34:$BA$41,Z$26)</f>
        <v/>
      </c>
      <c r="AA66" s="48" t="str">
        <f ca="1">VLOOKUP('CALLER Portal'!$A$31,'Caller Portal Instructions'!$B$34:$BA$41,AA$26)</f>
        <v/>
      </c>
      <c r="AB66" s="48" t="str">
        <f ca="1">VLOOKUP('CALLER Portal'!$A$31,'Caller Portal Instructions'!$B$34:$BA$41,AB$26)</f>
        <v/>
      </c>
      <c r="AC66" s="48" t="str">
        <f ca="1">VLOOKUP('CALLER Portal'!$A$31,'Caller Portal Instructions'!$B$34:$BA$41,AC$26)</f>
        <v/>
      </c>
      <c r="AD66" s="48" t="str">
        <f ca="1">VLOOKUP('CALLER Portal'!$A$31,'Caller Portal Instructions'!$B$34:$BA$41,AD$26)</f>
        <v/>
      </c>
      <c r="AE66" s="48" t="str">
        <f ca="1">VLOOKUP('CALLER Portal'!$A$31,'Caller Portal Instructions'!$B$34:$BA$41,AE$26)</f>
        <v/>
      </c>
      <c r="AF66" s="48" t="str">
        <f ca="1">VLOOKUP('CALLER Portal'!$A$31,'Caller Portal Instructions'!$B$34:$BA$41,AF$26)</f>
        <v/>
      </c>
      <c r="AG66" s="48" t="str">
        <f ca="1">VLOOKUP('CALLER Portal'!$A$31,'Caller Portal Instructions'!$B$34:$BA$41,AG$26)</f>
        <v/>
      </c>
      <c r="AH66" s="48" t="str">
        <f ca="1">VLOOKUP('CALLER Portal'!$A$31,'Caller Portal Instructions'!$B$34:$BA$41,AH$26)</f>
        <v/>
      </c>
      <c r="AI66" s="48" t="str">
        <f ca="1">VLOOKUP('CALLER Portal'!$A$31,'Caller Portal Instructions'!$B$34:$BA$41,AI$26)</f>
        <v/>
      </c>
      <c r="AJ66" s="48" t="str">
        <f ca="1">VLOOKUP('CALLER Portal'!$A$31,'Caller Portal Instructions'!$B$34:$BA$41,AJ$26)</f>
        <v/>
      </c>
      <c r="AK66" s="48" t="str">
        <f ca="1">VLOOKUP('CALLER Portal'!$A$31,'Caller Portal Instructions'!$B$34:$BA$41,AK$26)</f>
        <v/>
      </c>
      <c r="AL66" s="48" t="str">
        <f ca="1">VLOOKUP('CALLER Portal'!$A$31,'Caller Portal Instructions'!$B$34:$BA$41,AL$26)</f>
        <v/>
      </c>
      <c r="AM66" s="48" t="str">
        <f ca="1">VLOOKUP('CALLER Portal'!$A$31,'Caller Portal Instructions'!$B$34:$BA$41,AM$26)</f>
        <v/>
      </c>
      <c r="AN66" s="48" t="str">
        <f ca="1">VLOOKUP('CALLER Portal'!$A$31,'Caller Portal Instructions'!$B$34:$BA$41,AN$26)</f>
        <v/>
      </c>
      <c r="AO66" s="48" t="str">
        <f ca="1">VLOOKUP('CALLER Portal'!$A$31,'Caller Portal Instructions'!$B$34:$BA$41,AO$26)</f>
        <v/>
      </c>
      <c r="AP66" s="48" t="str">
        <f ca="1">VLOOKUP('CALLER Portal'!$A$31,'Caller Portal Instructions'!$B$34:$BA$41,AP$26)</f>
        <v/>
      </c>
      <c r="AQ66" s="48" t="str">
        <f ca="1">VLOOKUP('CALLER Portal'!$A$31,'Caller Portal Instructions'!$B$34:$BA$41,AQ$26)</f>
        <v/>
      </c>
      <c r="AR66" s="48" t="str">
        <f ca="1">VLOOKUP('CALLER Portal'!$A$31,'Caller Portal Instructions'!$B$34:$BA$41,AR$26)</f>
        <v/>
      </c>
      <c r="AS66" s="48" t="str">
        <f ca="1">VLOOKUP('CALLER Portal'!$A$31,'Caller Portal Instructions'!$B$34:$BA$41,AS$26)</f>
        <v/>
      </c>
      <c r="AT66" s="48" t="str">
        <f ca="1">VLOOKUP('CALLER Portal'!$A$31,'Caller Portal Instructions'!$B$34:$BA$41,AT$26)</f>
        <v/>
      </c>
      <c r="AU66" s="48" t="str">
        <f ca="1">VLOOKUP('CALLER Portal'!$A$31,'Caller Portal Instructions'!$B$34:$BA$41,AU$26)</f>
        <v/>
      </c>
      <c r="AV66" s="48" t="str">
        <f ca="1">VLOOKUP('CALLER Portal'!$A$31,'Caller Portal Instructions'!$B$34:$BA$41,AV$26)</f>
        <v/>
      </c>
      <c r="AW66" s="48" t="str">
        <f ca="1">VLOOKUP('CALLER Portal'!$A$31,'Caller Portal Instructions'!$B$34:$BA$41,AW$26)</f>
        <v/>
      </c>
      <c r="AX66" s="48" t="str">
        <f ca="1">VLOOKUP('CALLER Portal'!$A$31,'Caller Portal Instructions'!$B$34:$BA$41,AX$26)</f>
        <v/>
      </c>
      <c r="AY66" s="48" t="str">
        <f ca="1">VLOOKUP('CALLER Portal'!$A$31,'Caller Portal Instructions'!$B$34:$BA$41,AY$26)</f>
        <v/>
      </c>
      <c r="AZ66" s="48" t="str">
        <f ca="1">VLOOKUP('CALLER Portal'!$A$31,'Caller Portal Instructions'!$B$34:$BA$41,AZ$26)</f>
        <v/>
      </c>
      <c r="BA66" s="48" t="str">
        <f ca="1">VLOOKUP('CALLER Portal'!$A$31,'Caller Portal Instructions'!$B$34:$BA$41,BA$26)</f>
        <v/>
      </c>
    </row>
    <row r="67" spans="1:53" ht="15.75" thickBot="1" x14ac:dyDescent="0.3">
      <c r="A67" s="604"/>
      <c r="C67" s="54" t="s">
        <v>19</v>
      </c>
      <c r="D67" s="47">
        <f ca="1">VLOOKUP('CALLER Portal'!$A$31,$B$44:$BA$51,D$26)</f>
        <v>0</v>
      </c>
      <c r="E67" s="47">
        <f ca="1">VLOOKUP('CALLER Portal'!$A$31,$B$44:$BA$51,E$26)</f>
        <v>6.9000000000000006E-2</v>
      </c>
      <c r="F67" s="47">
        <f ca="1">VLOOKUP('CALLER Portal'!$A$31,$B$44:$BA$51,F$26)</f>
        <v>7.0530000000000009E-2</v>
      </c>
      <c r="G67" s="47">
        <f ca="1">VLOOKUP('CALLER Portal'!$A$31,$B$44:$BA$51,G$26)</f>
        <v>0</v>
      </c>
      <c r="H67" s="47">
        <f ca="1">VLOOKUP('CALLER Portal'!$A$31,$B$44:$BA$51,H$26)</f>
        <v>0</v>
      </c>
      <c r="I67" s="47">
        <f ca="1">VLOOKUP('CALLER Portal'!$A$31,$B$44:$BA$51,I$26)</f>
        <v>0.25424000000000002</v>
      </c>
      <c r="J67" s="47">
        <f ca="1">VLOOKUP('CALLER Portal'!$A$31,$B$44:$BA$51,J$26)</f>
        <v>0.40620000000000001</v>
      </c>
      <c r="K67" s="47">
        <f ca="1">VLOOKUP('CALLER Portal'!$A$31,$B$44:$BA$51,K$26)</f>
        <v>0.57845999999999997</v>
      </c>
      <c r="L67" s="47">
        <f ca="1">VLOOKUP('CALLER Portal'!$A$31,$B$44:$BA$51,L$26)</f>
        <v>0.57416</v>
      </c>
      <c r="M67" s="47">
        <f ca="1">VLOOKUP('CALLER Portal'!$A$31,$B$44:$BA$51,M$26)</f>
        <v>0.2</v>
      </c>
      <c r="N67" s="47">
        <f ca="1">VLOOKUP('CALLER Portal'!$A$31,$B$44:$BA$51,N$26)</f>
        <v>6.3119999999999996E-2</v>
      </c>
      <c r="O67" s="47">
        <f ca="1">VLOOKUP('CALLER Portal'!$A$31,$B$44:$BA$51,O$26)</f>
        <v>0.13155999999999998</v>
      </c>
      <c r="P67" s="47" t="str">
        <f ca="1">VLOOKUP('CALLER Portal'!$A$31,$B$44:$BA$51,P$26)</f>
        <v/>
      </c>
      <c r="Q67" s="47" t="str">
        <f ca="1">VLOOKUP('CALLER Portal'!$A$31,$B$44:$BA$51,Q$26)</f>
        <v/>
      </c>
      <c r="R67" s="47" t="str">
        <f ca="1">VLOOKUP('CALLER Portal'!$A$31,$B$44:$BA$51,R$26)</f>
        <v/>
      </c>
      <c r="S67" s="47" t="str">
        <f ca="1">VLOOKUP('CALLER Portal'!$A$31,$B$44:$BA$51,S$26)</f>
        <v/>
      </c>
      <c r="T67" s="47" t="str">
        <f ca="1">VLOOKUP('CALLER Portal'!$A$31,$B$44:$BA$51,T$26)</f>
        <v/>
      </c>
      <c r="U67" s="47" t="str">
        <f ca="1">VLOOKUP('CALLER Portal'!$A$31,$B$44:$BA$51,U$26)</f>
        <v/>
      </c>
      <c r="V67" s="47" t="str">
        <f ca="1">VLOOKUP('CALLER Portal'!$A$31,$B$44:$BA$51,V$26)</f>
        <v/>
      </c>
      <c r="W67" s="47" t="str">
        <f ca="1">VLOOKUP('CALLER Portal'!$A$31,$B$44:$BA$51,W$26)</f>
        <v/>
      </c>
      <c r="X67" s="47" t="str">
        <f ca="1">VLOOKUP('CALLER Portal'!$A$31,$B$44:$BA$51,X$26)</f>
        <v/>
      </c>
      <c r="Y67" s="47" t="str">
        <f ca="1">VLOOKUP('CALLER Portal'!$A$31,$B$44:$BA$51,Y$26)</f>
        <v/>
      </c>
      <c r="Z67" s="47" t="str">
        <f ca="1">VLOOKUP('CALLER Portal'!$A$31,$B$44:$BA$51,Z$26)</f>
        <v/>
      </c>
      <c r="AA67" s="47" t="str">
        <f ca="1">VLOOKUP('CALLER Portal'!$A$31,$B$44:$BA$51,AA$26)</f>
        <v/>
      </c>
      <c r="AB67" s="47" t="str">
        <f ca="1">VLOOKUP('CALLER Portal'!$A$31,$B$44:$BA$51,AB$26)</f>
        <v/>
      </c>
      <c r="AC67" s="47" t="str">
        <f ca="1">VLOOKUP('CALLER Portal'!$A$31,$B$44:$BA$51,AC$26)</f>
        <v/>
      </c>
      <c r="AD67" s="47" t="str">
        <f ca="1">VLOOKUP('CALLER Portal'!$A$31,$B$44:$BA$51,AD$26)</f>
        <v/>
      </c>
      <c r="AE67" s="47" t="str">
        <f ca="1">VLOOKUP('CALLER Portal'!$A$31,$B$44:$BA$51,AE$26)</f>
        <v/>
      </c>
      <c r="AF67" s="47" t="str">
        <f ca="1">VLOOKUP('CALLER Portal'!$A$31,$B$44:$BA$51,AF$26)</f>
        <v/>
      </c>
      <c r="AG67" s="47" t="str">
        <f ca="1">VLOOKUP('CALLER Portal'!$A$31,$B$44:$BA$51,AG$26)</f>
        <v/>
      </c>
      <c r="AH67" s="47" t="str">
        <f ca="1">VLOOKUP('CALLER Portal'!$A$31,$B$44:$BA$51,AH$26)</f>
        <v/>
      </c>
      <c r="AI67" s="47" t="str">
        <f ca="1">VLOOKUP('CALLER Portal'!$A$31,$B$44:$BA$51,AI$26)</f>
        <v/>
      </c>
      <c r="AJ67" s="47" t="str">
        <f ca="1">VLOOKUP('CALLER Portal'!$A$31,$B$44:$BA$51,AJ$26)</f>
        <v/>
      </c>
      <c r="AK67" s="47" t="str">
        <f ca="1">VLOOKUP('CALLER Portal'!$A$31,$B$44:$BA$51,AK$26)</f>
        <v/>
      </c>
      <c r="AL67" s="47" t="str">
        <f ca="1">VLOOKUP('CALLER Portal'!$A$31,$B$44:$BA$51,AL$26)</f>
        <v/>
      </c>
      <c r="AM67" s="47" t="str">
        <f ca="1">VLOOKUP('CALLER Portal'!$A$31,$B$44:$BA$51,AM$26)</f>
        <v/>
      </c>
      <c r="AN67" s="47" t="str">
        <f ca="1">VLOOKUP('CALLER Portal'!$A$31,$B$44:$BA$51,AN$26)</f>
        <v/>
      </c>
      <c r="AO67" s="47" t="str">
        <f ca="1">VLOOKUP('CALLER Portal'!$A$31,$B$44:$BA$51,AO$26)</f>
        <v/>
      </c>
      <c r="AP67" s="47" t="str">
        <f ca="1">VLOOKUP('CALLER Portal'!$A$31,$B$44:$BA$51,AP$26)</f>
        <v/>
      </c>
      <c r="AQ67" s="47" t="str">
        <f ca="1">VLOOKUP('CALLER Portal'!$A$31,$B$44:$BA$51,AQ$26)</f>
        <v/>
      </c>
      <c r="AR67" s="47" t="str">
        <f ca="1">VLOOKUP('CALLER Portal'!$A$31,$B$44:$BA$51,AR$26)</f>
        <v/>
      </c>
      <c r="AS67" s="47" t="str">
        <f ca="1">VLOOKUP('CALLER Portal'!$A$31,$B$44:$BA$51,AS$26)</f>
        <v/>
      </c>
      <c r="AT67" s="47" t="str">
        <f ca="1">VLOOKUP('CALLER Portal'!$A$31,$B$44:$BA$51,AT$26)</f>
        <v/>
      </c>
      <c r="AU67" s="47" t="str">
        <f ca="1">VLOOKUP('CALLER Portal'!$A$31,$B$44:$BA$51,AU$26)</f>
        <v/>
      </c>
      <c r="AV67" s="47" t="str">
        <f ca="1">VLOOKUP('CALLER Portal'!$A$31,$B$44:$BA$51,AV$26)</f>
        <v/>
      </c>
      <c r="AW67" s="47" t="str">
        <f ca="1">VLOOKUP('CALLER Portal'!$A$31,$B$44:$BA$51,AW$26)</f>
        <v/>
      </c>
      <c r="AX67" s="47" t="str">
        <f ca="1">VLOOKUP('CALLER Portal'!$A$31,$B$44:$BA$51,AX$26)</f>
        <v/>
      </c>
      <c r="AY67" s="47" t="str">
        <f ca="1">VLOOKUP('CALLER Portal'!$A$31,$B$44:$BA$51,AY$26)</f>
        <v/>
      </c>
      <c r="AZ67" s="47" t="str">
        <f ca="1">VLOOKUP('CALLER Portal'!$A$31,$B$44:$BA$51,AZ$26)</f>
        <v/>
      </c>
      <c r="BA67" s="47" t="str">
        <f ca="1">VLOOKUP('CALLER Portal'!$A$31,$B$44:$BA$51,BA$26)</f>
        <v/>
      </c>
    </row>
    <row r="68" spans="1:53" ht="15.75" thickBot="1" x14ac:dyDescent="0.3">
      <c r="A68" s="605"/>
      <c r="C68" s="55" t="s">
        <v>20</v>
      </c>
      <c r="D68" s="49">
        <f ca="1">VLOOKUP('CALLER Portal'!$A$31,$B$54:$BA$61,D$26)</f>
        <v>7.1949999999999972E-2</v>
      </c>
      <c r="E68" s="49">
        <f ca="1">VLOOKUP('CALLER Portal'!$A$31,$B$54:$BA$61,E$26)</f>
        <v>0.13950000000000001</v>
      </c>
      <c r="F68" s="49">
        <f ca="1">VLOOKUP('CALLER Portal'!$A$31,$B$54:$BA$61,F$26)</f>
        <v>0.16669999999999999</v>
      </c>
      <c r="G68" s="49">
        <f ca="1">VLOOKUP('CALLER Portal'!$A$31,$B$54:$BA$61,G$26)</f>
        <v>7.6099999999999959E-2</v>
      </c>
      <c r="H68" s="49">
        <f ca="1">VLOOKUP('CALLER Portal'!$A$31,$B$54:$BA$61,H$26)</f>
        <v>0.12607999999999997</v>
      </c>
      <c r="I68" s="49">
        <f ca="1">VLOOKUP('CALLER Portal'!$A$31,$B$54:$BA$61,I$26)</f>
        <v>0.43479999999999996</v>
      </c>
      <c r="J68" s="49">
        <f ca="1">VLOOKUP('CALLER Portal'!$A$31,$B$54:$BA$61,J$26)</f>
        <v>0.51019999999999999</v>
      </c>
      <c r="K68" s="49">
        <f ca="1">VLOOKUP('CALLER Portal'!$A$31,$B$54:$BA$61,K$26)</f>
        <v>0.70638000000000001</v>
      </c>
      <c r="L68" s="49">
        <f ca="1">VLOOKUP('CALLER Portal'!$A$31,$B$54:$BA$61,L$26)</f>
        <v>0.68947999999999998</v>
      </c>
      <c r="M68" s="49">
        <f ca="1">VLOOKUP('CALLER Portal'!$A$31,$B$54:$BA$61,M$26)</f>
        <v>0.45450000000000002</v>
      </c>
      <c r="N68" s="49">
        <f ca="1">VLOOKUP('CALLER Portal'!$A$31,$B$54:$BA$61,N$26)</f>
        <v>0.12661999999999998</v>
      </c>
      <c r="O68" s="49">
        <f ca="1">VLOOKUP('CALLER Portal'!$A$31,$B$54:$BA$61,O$26)</f>
        <v>0.20793999999999999</v>
      </c>
      <c r="P68" s="49" t="str">
        <f ca="1">VLOOKUP('CALLER Portal'!$A$31,$B$54:$BA$61,P$26)</f>
        <v/>
      </c>
      <c r="Q68" s="49" t="str">
        <f ca="1">VLOOKUP('CALLER Portal'!$A$31,$B$54:$BA$61,Q$26)</f>
        <v/>
      </c>
      <c r="R68" s="49" t="str">
        <f ca="1">VLOOKUP('CALLER Portal'!$A$31,$B$54:$BA$61,R$26)</f>
        <v/>
      </c>
      <c r="S68" s="49" t="str">
        <f ca="1">VLOOKUP('CALLER Portal'!$A$31,$B$54:$BA$61,S$26)</f>
        <v/>
      </c>
      <c r="T68" s="49" t="str">
        <f ca="1">VLOOKUP('CALLER Portal'!$A$31,$B$54:$BA$61,T$26)</f>
        <v/>
      </c>
      <c r="U68" s="49" t="str">
        <f ca="1">VLOOKUP('CALLER Portal'!$A$31,$B$54:$BA$61,U$26)</f>
        <v/>
      </c>
      <c r="V68" s="49" t="str">
        <f ca="1">VLOOKUP('CALLER Portal'!$A$31,$B$54:$BA$61,V$26)</f>
        <v/>
      </c>
      <c r="W68" s="49" t="str">
        <f ca="1">VLOOKUP('CALLER Portal'!$A$31,$B$54:$BA$61,W$26)</f>
        <v/>
      </c>
      <c r="X68" s="49" t="str">
        <f ca="1">VLOOKUP('CALLER Portal'!$A$31,$B$54:$BA$61,X$26)</f>
        <v/>
      </c>
      <c r="Y68" s="49" t="str">
        <f ca="1">VLOOKUP('CALLER Portal'!$A$31,$B$54:$BA$61,Y$26)</f>
        <v/>
      </c>
      <c r="Z68" s="49" t="str">
        <f ca="1">VLOOKUP('CALLER Portal'!$A$31,$B$54:$BA$61,Z$26)</f>
        <v/>
      </c>
      <c r="AA68" s="49" t="str">
        <f ca="1">VLOOKUP('CALLER Portal'!$A$31,$B$54:$BA$61,AA$26)</f>
        <v/>
      </c>
      <c r="AB68" s="49" t="str">
        <f ca="1">VLOOKUP('CALLER Portal'!$A$31,$B$54:$BA$61,AB$26)</f>
        <v/>
      </c>
      <c r="AC68" s="49" t="str">
        <f ca="1">VLOOKUP('CALLER Portal'!$A$31,$B$54:$BA$61,AC$26)</f>
        <v/>
      </c>
      <c r="AD68" s="49" t="str">
        <f ca="1">VLOOKUP('CALLER Portal'!$A$31,$B$54:$BA$61,AD$26)</f>
        <v/>
      </c>
      <c r="AE68" s="49" t="str">
        <f ca="1">VLOOKUP('CALLER Portal'!$A$31,$B$54:$BA$61,AE$26)</f>
        <v/>
      </c>
      <c r="AF68" s="49" t="str">
        <f ca="1">VLOOKUP('CALLER Portal'!$A$31,$B$54:$BA$61,AF$26)</f>
        <v/>
      </c>
      <c r="AG68" s="49" t="str">
        <f ca="1">VLOOKUP('CALLER Portal'!$A$31,$B$54:$BA$61,AG$26)</f>
        <v/>
      </c>
      <c r="AH68" s="49" t="str">
        <f ca="1">VLOOKUP('CALLER Portal'!$A$31,$B$54:$BA$61,AH$26)</f>
        <v/>
      </c>
      <c r="AI68" s="49" t="str">
        <f ca="1">VLOOKUP('CALLER Portal'!$A$31,$B$54:$BA$61,AI$26)</f>
        <v/>
      </c>
      <c r="AJ68" s="49" t="str">
        <f ca="1">VLOOKUP('CALLER Portal'!$A$31,$B$54:$BA$61,AJ$26)</f>
        <v/>
      </c>
      <c r="AK68" s="49" t="str">
        <f ca="1">VLOOKUP('CALLER Portal'!$A$31,$B$54:$BA$61,AK$26)</f>
        <v/>
      </c>
      <c r="AL68" s="49" t="str">
        <f ca="1">VLOOKUP('CALLER Portal'!$A$31,$B$54:$BA$61,AL$26)</f>
        <v/>
      </c>
      <c r="AM68" s="49" t="str">
        <f ca="1">VLOOKUP('CALLER Portal'!$A$31,$B$54:$BA$61,AM$26)</f>
        <v/>
      </c>
      <c r="AN68" s="49" t="str">
        <f ca="1">VLOOKUP('CALLER Portal'!$A$31,$B$54:$BA$61,AN$26)</f>
        <v/>
      </c>
      <c r="AO68" s="49" t="str">
        <f ca="1">VLOOKUP('CALLER Portal'!$A$31,$B$54:$BA$61,AO$26)</f>
        <v/>
      </c>
      <c r="AP68" s="49" t="str">
        <f ca="1">VLOOKUP('CALLER Portal'!$A$31,$B$54:$BA$61,AP$26)</f>
        <v/>
      </c>
      <c r="AQ68" s="49" t="str">
        <f ca="1">VLOOKUP('CALLER Portal'!$A$31,$B$54:$BA$61,AQ$26)</f>
        <v/>
      </c>
      <c r="AR68" s="49" t="str">
        <f ca="1">VLOOKUP('CALLER Portal'!$A$31,$B$54:$BA$61,AR$26)</f>
        <v/>
      </c>
      <c r="AS68" s="49" t="str">
        <f ca="1">VLOOKUP('CALLER Portal'!$A$31,$B$54:$BA$61,AS$26)</f>
        <v/>
      </c>
      <c r="AT68" s="49" t="str">
        <f ca="1">VLOOKUP('CALLER Portal'!$A$31,$B$54:$BA$61,AT$26)</f>
        <v/>
      </c>
      <c r="AU68" s="49" t="str">
        <f ca="1">VLOOKUP('CALLER Portal'!$A$31,$B$54:$BA$61,AU$26)</f>
        <v/>
      </c>
      <c r="AV68" s="49" t="str">
        <f ca="1">VLOOKUP('CALLER Portal'!$A$31,$B$54:$BA$61,AV$26)</f>
        <v/>
      </c>
      <c r="AW68" s="49" t="str">
        <f ca="1">VLOOKUP('CALLER Portal'!$A$31,$B$54:$BA$61,AW$26)</f>
        <v/>
      </c>
      <c r="AX68" s="49" t="str">
        <f ca="1">VLOOKUP('CALLER Portal'!$A$31,$B$54:$BA$61,AX$26)</f>
        <v/>
      </c>
      <c r="AY68" s="49" t="str">
        <f ca="1">VLOOKUP('CALLER Portal'!$A$31,$B$54:$BA$61,AY$26)</f>
        <v/>
      </c>
      <c r="AZ68" s="49" t="str">
        <f ca="1">VLOOKUP('CALLER Portal'!$A$31,$B$54:$BA$61,AZ$26)</f>
        <v/>
      </c>
      <c r="BA68" s="49" t="str">
        <f ca="1">VLOOKUP('CALLER Portal'!$A$31,$B$54:$BA$61,BA$26)</f>
        <v/>
      </c>
    </row>
    <row r="69" spans="1:53" ht="15.75" thickBot="1" x14ac:dyDescent="0.3"/>
    <row r="70" spans="1:53" ht="15.75" customHeight="1" thickBot="1" x14ac:dyDescent="0.3">
      <c r="A70" s="603" t="s">
        <v>99</v>
      </c>
      <c r="C70" s="50" t="s">
        <v>83</v>
      </c>
    </row>
    <row r="71" spans="1:53" ht="15.75" thickBot="1" x14ac:dyDescent="0.3">
      <c r="A71" s="604"/>
      <c r="C71" s="44" t="s">
        <v>0</v>
      </c>
      <c r="D71" s="121">
        <f>IF(YEAR('CALLER Portal'!$AB$33)=2018,D23,IF(YEAR('CALLER Portal'!$AB$33)=2019,D24,"-"))</f>
        <v>43470</v>
      </c>
      <c r="E71" s="121">
        <f>IF(YEAR('CALLER Portal'!$AB$33)=2018,E23,IF(YEAR('CALLER Portal'!$AB$33)=2019,E24,"-"))</f>
        <v>43477</v>
      </c>
      <c r="F71" s="121">
        <f>IF(YEAR('CALLER Portal'!$AB$33)=2018,F23,IF(YEAR('CALLER Portal'!$AB$33)=2019,F24,"-"))</f>
        <v>43484</v>
      </c>
      <c r="G71" s="121">
        <f>IF(YEAR('CALLER Portal'!$AB$33)=2018,G23,IF(YEAR('CALLER Portal'!$AB$33)=2019,G24,"-"))</f>
        <v>43491</v>
      </c>
      <c r="H71" s="121">
        <f>IF(YEAR('CALLER Portal'!$AB$33)=2018,H23,IF(YEAR('CALLER Portal'!$AB$33)=2019,H24,"-"))</f>
        <v>43498</v>
      </c>
      <c r="I71" s="121">
        <f>IF(YEAR('CALLER Portal'!$AB$33)=2018,I23,IF(YEAR('CALLER Portal'!$AB$33)=2019,I24,"-"))</f>
        <v>43505</v>
      </c>
      <c r="J71" s="121">
        <f>IF(YEAR('CALLER Portal'!$AB$33)=2018,J23,IF(YEAR('CALLER Portal'!$AB$33)=2019,J24,"-"))</f>
        <v>43512</v>
      </c>
      <c r="K71" s="121">
        <f>IF(YEAR('CALLER Portal'!$AB$33)=2018,K23,IF(YEAR('CALLER Portal'!$AB$33)=2019,K24,"-"))</f>
        <v>43519</v>
      </c>
      <c r="L71" s="121">
        <f>IF(YEAR('CALLER Portal'!$AB$33)=2018,L23,IF(YEAR('CALLER Portal'!$AB$33)=2019,L24,"-"))</f>
        <v>43526</v>
      </c>
      <c r="M71" s="121">
        <f>IF(YEAR('CALLER Portal'!$AB$33)=2018,M23,IF(YEAR('CALLER Portal'!$AB$33)=2019,M24,"-"))</f>
        <v>43533</v>
      </c>
      <c r="N71" s="121">
        <f>IF(YEAR('CALLER Portal'!$AB$33)=2018,N23,IF(YEAR('CALLER Portal'!$AB$33)=2019,N24,"-"))</f>
        <v>43540</v>
      </c>
      <c r="O71" s="121">
        <f>IF(YEAR('CALLER Portal'!$AB$33)=2018,O23,IF(YEAR('CALLER Portal'!$AB$33)=2019,O24,"-"))</f>
        <v>43547</v>
      </c>
      <c r="P71" s="121">
        <f>IF(YEAR('CALLER Portal'!$AB$33)=2018,P23,IF(YEAR('CALLER Portal'!$AB$33)=2019,P24,"-"))</f>
        <v>43554</v>
      </c>
      <c r="Q71" s="121">
        <f>IF(YEAR('CALLER Portal'!$AB$33)=2018,Q23,IF(YEAR('CALLER Portal'!$AB$33)=2019,Q24,"-"))</f>
        <v>43561</v>
      </c>
      <c r="R71" s="121">
        <f>IF(YEAR('CALLER Portal'!$AB$33)=2018,R23,IF(YEAR('CALLER Portal'!$AB$33)=2019,R24,"-"))</f>
        <v>43568</v>
      </c>
      <c r="S71" s="121">
        <f>IF(YEAR('CALLER Portal'!$AB$33)=2018,S23,IF(YEAR('CALLER Portal'!$AB$33)=2019,S24,"-"))</f>
        <v>43575</v>
      </c>
      <c r="T71" s="121">
        <f>IF(YEAR('CALLER Portal'!$AB$33)=2018,T23,IF(YEAR('CALLER Portal'!$AB$33)=2019,T24,"-"))</f>
        <v>43582</v>
      </c>
      <c r="U71" s="121">
        <f>IF(YEAR('CALLER Portal'!$AB$33)=2018,U23,IF(YEAR('CALLER Portal'!$AB$33)=2019,U24,"-"))</f>
        <v>43589</v>
      </c>
      <c r="V71" s="121">
        <f>IF(YEAR('CALLER Portal'!$AB$33)=2018,V23,IF(YEAR('CALLER Portal'!$AB$33)=2019,V24,"-"))</f>
        <v>43596</v>
      </c>
      <c r="W71" s="121">
        <f>IF(YEAR('CALLER Portal'!$AB$33)=2018,W23,IF(YEAR('CALLER Portal'!$AB$33)=2019,W24,"-"))</f>
        <v>43603</v>
      </c>
      <c r="X71" s="121">
        <f>IF(YEAR('CALLER Portal'!$AB$33)=2018,X23,IF(YEAR('CALLER Portal'!$AB$33)=2019,X24,"-"))</f>
        <v>43610</v>
      </c>
      <c r="Y71" s="121">
        <f>IF(YEAR('CALLER Portal'!$AB$33)=2018,Y23,IF(YEAR('CALLER Portal'!$AB$33)=2019,Y24,"-"))</f>
        <v>43617</v>
      </c>
      <c r="Z71" s="121">
        <f>IF(YEAR('CALLER Portal'!$AB$33)=2018,Z23,IF(YEAR('CALLER Portal'!$AB$33)=2019,Z24,"-"))</f>
        <v>43624</v>
      </c>
      <c r="AA71" s="121">
        <f>IF(YEAR('CALLER Portal'!$AB$33)=2018,AA23,IF(YEAR('CALLER Portal'!$AB$33)=2019,AA24,"-"))</f>
        <v>43631</v>
      </c>
      <c r="AB71" s="121">
        <f>IF(YEAR('CALLER Portal'!$AB$33)=2018,AB23,IF(YEAR('CALLER Portal'!$AB$33)=2019,AB24,"-"))</f>
        <v>43638</v>
      </c>
      <c r="AC71" s="121">
        <f>IF(YEAR('CALLER Portal'!$AB$33)=2018,AC23,IF(YEAR('CALLER Portal'!$AB$33)=2019,AC24,"-"))</f>
        <v>43645</v>
      </c>
      <c r="AD71" s="121">
        <f>IF(YEAR('CALLER Portal'!$AB$33)=2018,AD23,IF(YEAR('CALLER Portal'!$AB$33)=2019,AD24,"-"))</f>
        <v>43652</v>
      </c>
      <c r="AE71" s="121">
        <f>IF(YEAR('CALLER Portal'!$AB$33)=2018,AE23,IF(YEAR('CALLER Portal'!$AB$33)=2019,AE24,"-"))</f>
        <v>43659</v>
      </c>
      <c r="AF71" s="121">
        <f>IF(YEAR('CALLER Portal'!$AB$33)=2018,AF23,IF(YEAR('CALLER Portal'!$AB$33)=2019,AF24,"-"))</f>
        <v>43666</v>
      </c>
      <c r="AG71" s="121">
        <f>IF(YEAR('CALLER Portal'!$AB$33)=2018,AG23,IF(YEAR('CALLER Portal'!$AB$33)=2019,AG24,"-"))</f>
        <v>43673</v>
      </c>
      <c r="AH71" s="121">
        <f>IF(YEAR('CALLER Portal'!$AB$33)=2018,AH23,IF(YEAR('CALLER Portal'!$AB$33)=2019,AH24,"-"))</f>
        <v>43680</v>
      </c>
      <c r="AI71" s="121">
        <f>IF(YEAR('CALLER Portal'!$AB$33)=2018,AI23,IF(YEAR('CALLER Portal'!$AB$33)=2019,AI24,"-"))</f>
        <v>43687</v>
      </c>
      <c r="AJ71" s="121">
        <f>IF(YEAR('CALLER Portal'!$AB$33)=2018,AJ23,IF(YEAR('CALLER Portal'!$AB$33)=2019,AJ24,"-"))</f>
        <v>43694</v>
      </c>
      <c r="AK71" s="121">
        <f>IF(YEAR('CALLER Portal'!$AB$33)=2018,AK23,IF(YEAR('CALLER Portal'!$AB$33)=2019,AK24,"-"))</f>
        <v>43701</v>
      </c>
      <c r="AL71" s="121">
        <f>IF(YEAR('CALLER Portal'!$AB$33)=2018,AL23,IF(YEAR('CALLER Portal'!$AB$33)=2019,AL24,"-"))</f>
        <v>43708</v>
      </c>
      <c r="AM71" s="121">
        <f>IF(YEAR('CALLER Portal'!$AB$33)=2018,AM23,IF(YEAR('CALLER Portal'!$AB$33)=2019,AM24,"-"))</f>
        <v>43715</v>
      </c>
      <c r="AN71" s="121">
        <f>IF(YEAR('CALLER Portal'!$AB$33)=2018,AN23,IF(YEAR('CALLER Portal'!$AB$33)=2019,AN24,"-"))</f>
        <v>43722</v>
      </c>
      <c r="AO71" s="121">
        <f>IF(YEAR('CALLER Portal'!$AB$33)=2018,AO23,IF(YEAR('CALLER Portal'!$AB$33)=2019,AO24,"-"))</f>
        <v>43729</v>
      </c>
      <c r="AP71" s="121">
        <f>IF(YEAR('CALLER Portal'!$AB$33)=2018,AP23,IF(YEAR('CALLER Portal'!$AB$33)=2019,AP24,"-"))</f>
        <v>43736</v>
      </c>
      <c r="AQ71" s="121">
        <f>IF(YEAR('CALLER Portal'!$AB$33)=2018,AQ23,IF(YEAR('CALLER Portal'!$AB$33)=2019,AQ24,"-"))</f>
        <v>43743</v>
      </c>
      <c r="AR71" s="121">
        <f>IF(YEAR('CALLER Portal'!$AB$33)=2018,AR23,IF(YEAR('CALLER Portal'!$AB$33)=2019,AR24,"-"))</f>
        <v>43750</v>
      </c>
      <c r="AS71" s="121">
        <f>IF(YEAR('CALLER Portal'!$AB$33)=2018,AS23,IF(YEAR('CALLER Portal'!$AB$33)=2019,AS24,"-"))</f>
        <v>43757</v>
      </c>
      <c r="AT71" s="121">
        <f>IF(YEAR('CALLER Portal'!$AB$33)=2018,AT23,IF(YEAR('CALLER Portal'!$AB$33)=2019,AT24,"-"))</f>
        <v>43764</v>
      </c>
      <c r="AU71" s="121">
        <f>IF(YEAR('CALLER Portal'!$AB$33)=2018,AU23,IF(YEAR('CALLER Portal'!$AB$33)=2019,AU24,"-"))</f>
        <v>43771</v>
      </c>
      <c r="AV71" s="121">
        <f>IF(YEAR('CALLER Portal'!$AB$33)=2018,AV23,IF(YEAR('CALLER Portal'!$AB$33)=2019,AV24,"-"))</f>
        <v>43778</v>
      </c>
      <c r="AW71" s="121">
        <f>IF(YEAR('CALLER Portal'!$AB$33)=2018,AW23,IF(YEAR('CALLER Portal'!$AB$33)=2019,AW24,"-"))</f>
        <v>43785</v>
      </c>
      <c r="AX71" s="121">
        <f>IF(YEAR('CALLER Portal'!$AB$33)=2018,AX23,IF(YEAR('CALLER Portal'!$AB$33)=2019,AX24,"-"))</f>
        <v>43792</v>
      </c>
      <c r="AY71" s="121">
        <f>IF(YEAR('CALLER Portal'!$AB$33)=2018,AY23,IF(YEAR('CALLER Portal'!$AB$33)=2019,AY24,"-"))</f>
        <v>43799</v>
      </c>
      <c r="AZ71" s="121">
        <f>IF(YEAR('CALLER Portal'!$AB$33)=2018,AZ23,IF(YEAR('CALLER Portal'!$AB$33)=2019,AZ24,"-"))</f>
        <v>43806</v>
      </c>
      <c r="BA71" s="121">
        <f>IF(YEAR('CALLER Portal'!$AB$33)=2018,BA23,IF(YEAR('CALLER Portal'!$AB$33)=2019,BA24,"-"))</f>
        <v>43813</v>
      </c>
    </row>
    <row r="72" spans="1:53" ht="15.75" thickBot="1" x14ac:dyDescent="0.3">
      <c r="A72" s="604"/>
      <c r="C72" s="2" t="s">
        <v>11</v>
      </c>
      <c r="D72" s="64">
        <v>4</v>
      </c>
      <c r="E72" s="64">
        <v>7</v>
      </c>
      <c r="F72" s="64">
        <v>7</v>
      </c>
      <c r="G72" s="64">
        <v>7</v>
      </c>
      <c r="H72" s="64">
        <v>7</v>
      </c>
      <c r="I72" s="64">
        <v>7</v>
      </c>
      <c r="J72" s="64">
        <v>7</v>
      </c>
      <c r="K72" s="64">
        <v>7</v>
      </c>
      <c r="L72" s="64">
        <v>0</v>
      </c>
      <c r="M72" s="64">
        <v>0</v>
      </c>
      <c r="N72" s="64">
        <v>0</v>
      </c>
      <c r="O72" s="64">
        <v>0</v>
      </c>
      <c r="P72" s="64">
        <v>0</v>
      </c>
      <c r="Q72" s="64">
        <v>0</v>
      </c>
      <c r="R72" s="64">
        <v>0</v>
      </c>
      <c r="S72" s="64">
        <v>0</v>
      </c>
      <c r="T72" s="64">
        <v>0</v>
      </c>
      <c r="U72" s="64">
        <v>0</v>
      </c>
      <c r="V72" s="64">
        <v>0</v>
      </c>
      <c r="W72" s="64">
        <v>0</v>
      </c>
      <c r="X72" s="64">
        <v>0</v>
      </c>
      <c r="Y72" s="64">
        <v>0</v>
      </c>
      <c r="Z72" s="64">
        <v>0</v>
      </c>
      <c r="AA72" s="64">
        <v>0</v>
      </c>
      <c r="AB72" s="64">
        <v>0</v>
      </c>
      <c r="AC72" s="64">
        <v>0</v>
      </c>
      <c r="AD72" s="64">
        <v>0</v>
      </c>
      <c r="AE72" s="64">
        <v>0</v>
      </c>
      <c r="AF72" s="64">
        <v>0</v>
      </c>
      <c r="AG72" s="64">
        <v>0</v>
      </c>
      <c r="AH72" s="64">
        <v>0</v>
      </c>
      <c r="AI72" s="64">
        <v>0</v>
      </c>
      <c r="AJ72" s="64">
        <v>0</v>
      </c>
      <c r="AK72" s="64">
        <v>0</v>
      </c>
      <c r="AL72" s="64">
        <v>0</v>
      </c>
      <c r="AM72" s="64">
        <v>0</v>
      </c>
      <c r="AN72" s="64">
        <v>0</v>
      </c>
      <c r="AO72" s="64">
        <v>0</v>
      </c>
      <c r="AP72" s="64">
        <v>0</v>
      </c>
      <c r="AQ72" s="64">
        <v>0</v>
      </c>
      <c r="AR72" s="64">
        <v>0</v>
      </c>
      <c r="AS72" s="64">
        <v>0</v>
      </c>
      <c r="AT72" s="64">
        <v>0</v>
      </c>
      <c r="AU72" s="64">
        <v>0</v>
      </c>
      <c r="AV72" s="64">
        <v>0</v>
      </c>
      <c r="AW72" s="64">
        <v>0</v>
      </c>
      <c r="AX72" s="64">
        <v>0</v>
      </c>
      <c r="AY72" s="64">
        <v>0</v>
      </c>
      <c r="AZ72" s="64">
        <v>0</v>
      </c>
      <c r="BA72" s="64">
        <v>0</v>
      </c>
    </row>
    <row r="73" spans="1:53" ht="15.75" thickBot="1" x14ac:dyDescent="0.3">
      <c r="A73" s="604"/>
      <c r="C73" s="58" t="s">
        <v>260</v>
      </c>
      <c r="D73" s="48">
        <v>3</v>
      </c>
      <c r="E73" s="48">
        <v>6</v>
      </c>
      <c r="F73" s="48">
        <v>6</v>
      </c>
      <c r="G73" s="48">
        <v>6</v>
      </c>
      <c r="H73" s="48">
        <v>6</v>
      </c>
      <c r="I73" s="48">
        <v>6</v>
      </c>
      <c r="J73" s="48">
        <v>6</v>
      </c>
      <c r="K73" s="48">
        <v>6</v>
      </c>
      <c r="L73" s="48">
        <v>0</v>
      </c>
      <c r="M73" s="48">
        <v>0</v>
      </c>
      <c r="N73" s="48">
        <v>0</v>
      </c>
      <c r="O73" s="48">
        <v>0</v>
      </c>
      <c r="P73" s="48">
        <v>0</v>
      </c>
      <c r="Q73" s="48">
        <v>0</v>
      </c>
      <c r="R73" s="48">
        <v>0</v>
      </c>
      <c r="S73" s="48">
        <v>0</v>
      </c>
      <c r="T73" s="48">
        <v>0</v>
      </c>
      <c r="U73" s="48">
        <v>0</v>
      </c>
      <c r="V73" s="48">
        <v>0</v>
      </c>
      <c r="W73" s="48">
        <v>0</v>
      </c>
      <c r="X73" s="48">
        <v>0</v>
      </c>
      <c r="Y73" s="48">
        <v>0</v>
      </c>
      <c r="Z73" s="48">
        <v>0</v>
      </c>
      <c r="AA73" s="48">
        <v>0</v>
      </c>
      <c r="AB73" s="48">
        <v>0</v>
      </c>
      <c r="AC73" s="48">
        <v>0</v>
      </c>
      <c r="AD73" s="48">
        <v>0</v>
      </c>
      <c r="AE73" s="48">
        <v>0</v>
      </c>
      <c r="AF73" s="48">
        <v>0</v>
      </c>
      <c r="AG73" s="48">
        <v>0</v>
      </c>
      <c r="AH73" s="48">
        <v>0</v>
      </c>
      <c r="AI73" s="48">
        <v>0</v>
      </c>
      <c r="AJ73" s="48">
        <v>0</v>
      </c>
      <c r="AK73" s="48">
        <v>0</v>
      </c>
      <c r="AL73" s="48">
        <v>0</v>
      </c>
      <c r="AM73" s="48">
        <v>0</v>
      </c>
      <c r="AN73" s="48">
        <v>0</v>
      </c>
      <c r="AO73" s="48">
        <v>0</v>
      </c>
      <c r="AP73" s="48">
        <v>0</v>
      </c>
      <c r="AQ73" s="48">
        <v>0</v>
      </c>
      <c r="AR73" s="48">
        <v>0</v>
      </c>
      <c r="AS73" s="48">
        <v>0</v>
      </c>
      <c r="AT73" s="48">
        <v>0</v>
      </c>
      <c r="AU73" s="48">
        <v>0</v>
      </c>
      <c r="AV73" s="48">
        <v>0</v>
      </c>
      <c r="AW73" s="48">
        <v>0</v>
      </c>
      <c r="AX73" s="48">
        <v>0</v>
      </c>
      <c r="AY73" s="48">
        <v>0</v>
      </c>
      <c r="AZ73" s="48">
        <v>0</v>
      </c>
      <c r="BA73" s="48">
        <v>0</v>
      </c>
    </row>
    <row r="74" spans="1:53" ht="15.75" thickBot="1" x14ac:dyDescent="0.3">
      <c r="A74" s="604"/>
      <c r="C74" s="2" t="s">
        <v>88</v>
      </c>
      <c r="D74" s="47">
        <v>3</v>
      </c>
      <c r="E74" s="47">
        <v>3</v>
      </c>
      <c r="F74" s="47">
        <v>3</v>
      </c>
      <c r="G74" s="47">
        <v>3</v>
      </c>
      <c r="H74" s="47">
        <v>3</v>
      </c>
      <c r="I74" s="47">
        <v>3</v>
      </c>
      <c r="J74" s="47">
        <v>3</v>
      </c>
      <c r="K74" s="47">
        <v>3</v>
      </c>
      <c r="L74" s="47">
        <v>0</v>
      </c>
      <c r="M74" s="47">
        <v>0</v>
      </c>
      <c r="N74" s="47">
        <v>0</v>
      </c>
      <c r="O74" s="47">
        <v>0</v>
      </c>
      <c r="P74" s="47">
        <v>0</v>
      </c>
      <c r="Q74" s="47">
        <v>0</v>
      </c>
      <c r="R74" s="47">
        <v>0</v>
      </c>
      <c r="S74" s="47">
        <v>0</v>
      </c>
      <c r="T74" s="47">
        <v>0</v>
      </c>
      <c r="U74" s="47">
        <v>0</v>
      </c>
      <c r="V74" s="47">
        <v>0</v>
      </c>
      <c r="W74" s="47">
        <v>0</v>
      </c>
      <c r="X74" s="47">
        <v>0</v>
      </c>
      <c r="Y74" s="47">
        <v>0</v>
      </c>
      <c r="Z74" s="47">
        <v>0</v>
      </c>
      <c r="AA74" s="47">
        <v>0</v>
      </c>
      <c r="AB74" s="47">
        <v>0</v>
      </c>
      <c r="AC74" s="47">
        <v>0</v>
      </c>
      <c r="AD74" s="47">
        <v>0</v>
      </c>
      <c r="AE74" s="47">
        <v>0</v>
      </c>
      <c r="AF74" s="47">
        <v>0</v>
      </c>
      <c r="AG74" s="47">
        <v>0</v>
      </c>
      <c r="AH74" s="47">
        <v>0</v>
      </c>
      <c r="AI74" s="47">
        <v>0</v>
      </c>
      <c r="AJ74" s="47">
        <v>0</v>
      </c>
      <c r="AK74" s="47">
        <v>0</v>
      </c>
      <c r="AL74" s="47">
        <v>0</v>
      </c>
      <c r="AM74" s="47">
        <v>0</v>
      </c>
      <c r="AN74" s="47">
        <v>0</v>
      </c>
      <c r="AO74" s="47">
        <v>0</v>
      </c>
      <c r="AP74" s="47">
        <v>0</v>
      </c>
      <c r="AQ74" s="47">
        <v>0</v>
      </c>
      <c r="AR74" s="47">
        <v>0</v>
      </c>
      <c r="AS74" s="47">
        <v>0</v>
      </c>
      <c r="AT74" s="47">
        <v>0</v>
      </c>
      <c r="AU74" s="47">
        <v>0</v>
      </c>
      <c r="AV74" s="47">
        <v>0</v>
      </c>
      <c r="AW74" s="47">
        <v>0</v>
      </c>
      <c r="AX74" s="47">
        <v>0</v>
      </c>
      <c r="AY74" s="47">
        <v>0</v>
      </c>
      <c r="AZ74" s="47">
        <v>0</v>
      </c>
      <c r="BA74" s="47">
        <v>0</v>
      </c>
    </row>
    <row r="75" spans="1:53" ht="15.75" thickBot="1" x14ac:dyDescent="0.3">
      <c r="A75" s="604"/>
      <c r="C75" s="58" t="s">
        <v>89</v>
      </c>
      <c r="D75" s="48">
        <v>1</v>
      </c>
      <c r="E75" s="48">
        <v>2</v>
      </c>
      <c r="F75" s="48">
        <v>2</v>
      </c>
      <c r="G75" s="48">
        <v>2</v>
      </c>
      <c r="H75" s="48">
        <v>2</v>
      </c>
      <c r="I75" s="48">
        <v>2</v>
      </c>
      <c r="J75" s="48">
        <v>2</v>
      </c>
      <c r="K75" s="48">
        <v>2</v>
      </c>
      <c r="L75" s="48">
        <v>0</v>
      </c>
      <c r="M75" s="48">
        <v>0</v>
      </c>
      <c r="N75" s="48">
        <v>0</v>
      </c>
      <c r="O75" s="48">
        <v>0</v>
      </c>
      <c r="P75" s="48">
        <v>0</v>
      </c>
      <c r="Q75" s="48">
        <v>0</v>
      </c>
      <c r="R75" s="48">
        <v>0</v>
      </c>
      <c r="S75" s="48">
        <v>0</v>
      </c>
      <c r="T75" s="48">
        <v>0</v>
      </c>
      <c r="U75" s="48">
        <v>0</v>
      </c>
      <c r="V75" s="48">
        <v>0</v>
      </c>
      <c r="W75" s="48">
        <v>0</v>
      </c>
      <c r="X75" s="48">
        <v>0</v>
      </c>
      <c r="Y75" s="48">
        <v>0</v>
      </c>
      <c r="Z75" s="48">
        <v>0</v>
      </c>
      <c r="AA75" s="48">
        <v>0</v>
      </c>
      <c r="AB75" s="48">
        <v>0</v>
      </c>
      <c r="AC75" s="48">
        <v>0</v>
      </c>
      <c r="AD75" s="48">
        <v>0</v>
      </c>
      <c r="AE75" s="48">
        <v>0</v>
      </c>
      <c r="AF75" s="48">
        <v>0</v>
      </c>
      <c r="AG75" s="48">
        <v>0</v>
      </c>
      <c r="AH75" s="48">
        <v>0</v>
      </c>
      <c r="AI75" s="48">
        <v>0</v>
      </c>
      <c r="AJ75" s="48">
        <v>0</v>
      </c>
      <c r="AK75" s="48">
        <v>0</v>
      </c>
      <c r="AL75" s="48">
        <v>0</v>
      </c>
      <c r="AM75" s="48">
        <v>0</v>
      </c>
      <c r="AN75" s="48">
        <v>0</v>
      </c>
      <c r="AO75" s="48">
        <v>0</v>
      </c>
      <c r="AP75" s="48">
        <v>0</v>
      </c>
      <c r="AQ75" s="48">
        <v>0</v>
      </c>
      <c r="AR75" s="48">
        <v>0</v>
      </c>
      <c r="AS75" s="48">
        <v>0</v>
      </c>
      <c r="AT75" s="48">
        <v>0</v>
      </c>
      <c r="AU75" s="48">
        <v>0</v>
      </c>
      <c r="AV75" s="48">
        <v>0</v>
      </c>
      <c r="AW75" s="48">
        <v>0</v>
      </c>
      <c r="AX75" s="48">
        <v>0</v>
      </c>
      <c r="AY75" s="48">
        <v>0</v>
      </c>
      <c r="AZ75" s="48">
        <v>0</v>
      </c>
      <c r="BA75" s="48">
        <v>0</v>
      </c>
    </row>
    <row r="76" spans="1:53" s="22" customFormat="1" ht="15.75" thickBot="1" x14ac:dyDescent="0.3">
      <c r="A76" s="604"/>
      <c r="C76" s="40" t="s">
        <v>85</v>
      </c>
      <c r="D76" s="65">
        <f>IFERROR(VLOOKUP('CALLER Portal'!$AB$43,$C$72:$BA$75,D26-1,FALSE),"")</f>
        <v>4</v>
      </c>
      <c r="E76" s="65">
        <f>IFERROR(VLOOKUP('CALLER Portal'!$AB$43,$C$72:$BA$75,E26-1,FALSE),"")</f>
        <v>7</v>
      </c>
      <c r="F76" s="65">
        <f>IFERROR(VLOOKUP('CALLER Portal'!$AB$43,$C$72:$BA$75,F26-1,FALSE),"")</f>
        <v>7</v>
      </c>
      <c r="G76" s="65">
        <f>IFERROR(VLOOKUP('CALLER Portal'!$AB$43,$C$72:$BA$75,G26-1,FALSE),"")</f>
        <v>7</v>
      </c>
      <c r="H76" s="65">
        <f>IFERROR(VLOOKUP('CALLER Portal'!$AB$43,$C$72:$BA$75,H26-1,FALSE),"")</f>
        <v>7</v>
      </c>
      <c r="I76" s="65">
        <f>IFERROR(VLOOKUP('CALLER Portal'!$AB$43,$C$72:$BA$75,I26-1,FALSE),"")</f>
        <v>7</v>
      </c>
      <c r="J76" s="65">
        <f>IFERROR(VLOOKUP('CALLER Portal'!$AB$43,$C$72:$BA$75,J26-1,FALSE),"")</f>
        <v>7</v>
      </c>
      <c r="K76" s="65">
        <f>IFERROR(VLOOKUP('CALLER Portal'!$AB$43,$C$72:$BA$75,K26-1,FALSE),"")</f>
        <v>7</v>
      </c>
      <c r="L76" s="65">
        <f>IFERROR(VLOOKUP('CALLER Portal'!$AB$43,$C$72:$BA$75,L26-1,FALSE),"")</f>
        <v>0</v>
      </c>
      <c r="M76" s="65">
        <f>IFERROR(VLOOKUP('CALLER Portal'!$AB$43,$C$72:$BA$75,M26-1,FALSE),"")</f>
        <v>0</v>
      </c>
      <c r="N76" s="65">
        <f>IFERROR(VLOOKUP('CALLER Portal'!$AB$43,$C$72:$BA$75,N26-1,FALSE),"")</f>
        <v>0</v>
      </c>
      <c r="O76" s="65">
        <f>IFERROR(VLOOKUP('CALLER Portal'!$AB$43,$C$72:$BA$75,O26-1,FALSE),"")</f>
        <v>0</v>
      </c>
      <c r="P76" s="65">
        <f>IFERROR(VLOOKUP('CALLER Portal'!$AB$43,$C$72:$BA$75,P26-1,FALSE),"")</f>
        <v>0</v>
      </c>
      <c r="Q76" s="65">
        <f>IFERROR(VLOOKUP('CALLER Portal'!$AB$43,$C$72:$BA$75,Q26-1,FALSE),"")</f>
        <v>0</v>
      </c>
      <c r="R76" s="65">
        <f>IFERROR(VLOOKUP('CALLER Portal'!$AB$43,$C$72:$BA$75,R26-1,FALSE),"")</f>
        <v>0</v>
      </c>
      <c r="S76" s="65">
        <f>IFERROR(VLOOKUP('CALLER Portal'!$AB$43,$C$72:$BA$75,S26-1,FALSE),"")</f>
        <v>0</v>
      </c>
      <c r="T76" s="65">
        <f>IFERROR(VLOOKUP('CALLER Portal'!$AB$43,$C$72:$BA$75,T26-1,FALSE),"")</f>
        <v>0</v>
      </c>
      <c r="U76" s="65">
        <f>IFERROR(VLOOKUP('CALLER Portal'!$AB$43,$C$72:$BA$75,U26-1,FALSE),"")</f>
        <v>0</v>
      </c>
      <c r="V76" s="65">
        <f>IFERROR(VLOOKUP('CALLER Portal'!$AB$43,$C$72:$BA$75,V26-1,FALSE),"")</f>
        <v>0</v>
      </c>
      <c r="W76" s="65">
        <f>IFERROR(VLOOKUP('CALLER Portal'!$AB$43,$C$72:$BA$75,W26-1,FALSE),"")</f>
        <v>0</v>
      </c>
      <c r="X76" s="65">
        <f>IFERROR(VLOOKUP('CALLER Portal'!$AB$43,$C$72:$BA$75,X26-1,FALSE),"")</f>
        <v>0</v>
      </c>
      <c r="Y76" s="65">
        <f>IFERROR(VLOOKUP('CALLER Portal'!$AB$43,$C$72:$BA$75,Y26-1,FALSE),"")</f>
        <v>0</v>
      </c>
      <c r="Z76" s="65">
        <f>IFERROR(VLOOKUP('CALLER Portal'!$AB$43,$C$72:$BA$75,Z26-1,FALSE),"")</f>
        <v>0</v>
      </c>
      <c r="AA76" s="65">
        <f>IFERROR(VLOOKUP('CALLER Portal'!$AB$43,$C$72:$BA$75,AA26-1,FALSE),"")</f>
        <v>0</v>
      </c>
      <c r="AB76" s="65">
        <f>IFERROR(VLOOKUP('CALLER Portal'!$AB$43,$C$72:$BA$75,AB26-1,FALSE),"")</f>
        <v>0</v>
      </c>
      <c r="AC76" s="65">
        <f>IFERROR(VLOOKUP('CALLER Portal'!$AB$43,$C$72:$BA$75,AC26-1,FALSE),"")</f>
        <v>0</v>
      </c>
      <c r="AD76" s="65">
        <f>IFERROR(VLOOKUP('CALLER Portal'!$AB$43,$C$72:$BA$75,AD26-1,FALSE),"")</f>
        <v>0</v>
      </c>
      <c r="AE76" s="65">
        <f>IFERROR(VLOOKUP('CALLER Portal'!$AB$43,$C$72:$BA$75,AE26-1,FALSE),"")</f>
        <v>0</v>
      </c>
      <c r="AF76" s="65">
        <f>IFERROR(VLOOKUP('CALLER Portal'!$AB$43,$C$72:$BA$75,AF26-1,FALSE),"")</f>
        <v>0</v>
      </c>
      <c r="AG76" s="65">
        <f>IFERROR(VLOOKUP('CALLER Portal'!$AB$43,$C$72:$BA$75,AG26-1,FALSE),"")</f>
        <v>0</v>
      </c>
      <c r="AH76" s="65">
        <f>IFERROR(VLOOKUP('CALLER Portal'!$AB$43,$C$72:$BA$75,AH26-1,FALSE),"")</f>
        <v>0</v>
      </c>
      <c r="AI76" s="65">
        <f>IFERROR(VLOOKUP('CALLER Portal'!$AB$43,$C$72:$BA$75,AI26-1,FALSE),"")</f>
        <v>0</v>
      </c>
      <c r="AJ76" s="65">
        <f>IFERROR(VLOOKUP('CALLER Portal'!$AB$43,$C$72:$BA$75,AJ26-1,FALSE),"")</f>
        <v>0</v>
      </c>
      <c r="AK76" s="65">
        <f>IFERROR(VLOOKUP('CALLER Portal'!$AB$43,$C$72:$BA$75,AK26-1,FALSE),"")</f>
        <v>0</v>
      </c>
      <c r="AL76" s="65">
        <f>IFERROR(VLOOKUP('CALLER Portal'!$AB$43,$C$72:$BA$75,AL26-1,FALSE),"")</f>
        <v>0</v>
      </c>
      <c r="AM76" s="65">
        <f>IFERROR(VLOOKUP('CALLER Portal'!$AB$43,$C$72:$BA$75,AM26-1,FALSE),"")</f>
        <v>0</v>
      </c>
      <c r="AN76" s="65">
        <f>IFERROR(VLOOKUP('CALLER Portal'!$AB$43,$C$72:$BA$75,AN26-1,FALSE),"")</f>
        <v>0</v>
      </c>
      <c r="AO76" s="65">
        <f>IFERROR(VLOOKUP('CALLER Portal'!$AB$43,$C$72:$BA$75,AO26-1,FALSE),"")</f>
        <v>0</v>
      </c>
      <c r="AP76" s="65">
        <f>IFERROR(VLOOKUP('CALLER Portal'!$AB$43,$C$72:$BA$75,AP26-1,FALSE),"")</f>
        <v>0</v>
      </c>
      <c r="AQ76" s="65">
        <f>IFERROR(VLOOKUP('CALLER Portal'!$AB$43,$C$72:$BA$75,AQ26-1,FALSE),"")</f>
        <v>0</v>
      </c>
      <c r="AR76" s="65">
        <f>IFERROR(VLOOKUP('CALLER Portal'!$AB$43,$C$72:$BA$75,AR26-1,FALSE),"")</f>
        <v>0</v>
      </c>
      <c r="AS76" s="65">
        <f>IFERROR(VLOOKUP('CALLER Portal'!$AB$43,$C$72:$BA$75,AS26-1,FALSE),"")</f>
        <v>0</v>
      </c>
      <c r="AT76" s="65">
        <f>IFERROR(VLOOKUP('CALLER Portal'!$AB$43,$C$72:$BA$75,AT26-1,FALSE),"")</f>
        <v>0</v>
      </c>
      <c r="AU76" s="65">
        <f>IFERROR(VLOOKUP('CALLER Portal'!$AB$43,$C$72:$BA$75,AU26-1,FALSE),"")</f>
        <v>0</v>
      </c>
      <c r="AV76" s="65">
        <f>IFERROR(VLOOKUP('CALLER Portal'!$AB$43,$C$72:$BA$75,AV26-1,FALSE),"")</f>
        <v>0</v>
      </c>
      <c r="AW76" s="65">
        <f>IFERROR(VLOOKUP('CALLER Portal'!$AB$43,$C$72:$BA$75,AW26-1,FALSE),"")</f>
        <v>0</v>
      </c>
      <c r="AX76" s="65">
        <f>IFERROR(VLOOKUP('CALLER Portal'!$AB$43,$C$72:$BA$75,AX26-1,FALSE),"")</f>
        <v>0</v>
      </c>
      <c r="AY76" s="65">
        <f>IFERROR(VLOOKUP('CALLER Portal'!$AB$43,$C$72:$BA$75,AY26-1,FALSE),"")</f>
        <v>0</v>
      </c>
      <c r="AZ76" s="65">
        <f>IFERROR(VLOOKUP('CALLER Portal'!$AB$43,$C$72:$BA$75,AZ26-1,FALSE),"")</f>
        <v>0</v>
      </c>
      <c r="BA76" s="65">
        <f>IFERROR(VLOOKUP('CALLER Portal'!$AB$43,$C$72:$BA$75,BA26-1,FALSE),"")</f>
        <v>0</v>
      </c>
    </row>
    <row r="77" spans="1:53" ht="15.75" thickBot="1" x14ac:dyDescent="0.3">
      <c r="A77" s="605"/>
      <c r="C77" s="58" t="s">
        <v>84</v>
      </c>
      <c r="D77" s="66" t="str">
        <f ca="1">'CALLER Portal'!C14</f>
        <v/>
      </c>
      <c r="E77" s="66" t="str">
        <f ca="1">'CALLER Portal'!D14</f>
        <v/>
      </c>
      <c r="F77" s="66" t="str">
        <f ca="1">'CALLER Portal'!E14</f>
        <v/>
      </c>
      <c r="G77" s="66" t="str">
        <f ca="1">'CALLER Portal'!F14</f>
        <v/>
      </c>
      <c r="H77" s="66" t="str">
        <f ca="1">'CALLER Portal'!G14</f>
        <v/>
      </c>
      <c r="I77" s="66" t="str">
        <f ca="1">'CALLER Portal'!H14</f>
        <v/>
      </c>
      <c r="J77" s="66" t="str">
        <f ca="1">'CALLER Portal'!I14</f>
        <v/>
      </c>
      <c r="K77" s="66" t="str">
        <f ca="1">'CALLER Portal'!J14</f>
        <v/>
      </c>
      <c r="L77" s="66" t="str">
        <f ca="1">'CALLER Portal'!K14</f>
        <v/>
      </c>
      <c r="M77" s="66" t="str">
        <f ca="1">'CALLER Portal'!L14</f>
        <v/>
      </c>
      <c r="N77" s="66" t="str">
        <f ca="1">'CALLER Portal'!M14</f>
        <v/>
      </c>
      <c r="O77" s="66" t="str">
        <f ca="1">'CALLER Portal'!N14</f>
        <v/>
      </c>
      <c r="P77" s="66" t="str">
        <f ca="1">'CALLER Portal'!O14</f>
        <v/>
      </c>
      <c r="Q77" s="66" t="str">
        <f ca="1">'CALLER Portal'!P14</f>
        <v/>
      </c>
      <c r="R77" s="66" t="str">
        <f ca="1">'CALLER Portal'!Q14</f>
        <v/>
      </c>
      <c r="S77" s="66" t="str">
        <f ca="1">'CALLER Portal'!R14</f>
        <v/>
      </c>
      <c r="T77" s="66" t="str">
        <f ca="1">'CALLER Portal'!S14</f>
        <v/>
      </c>
      <c r="U77" s="66" t="str">
        <f ca="1">'CALLER Portal'!T14</f>
        <v/>
      </c>
      <c r="V77" s="66" t="str">
        <f ca="1">'CALLER Portal'!U14</f>
        <v/>
      </c>
      <c r="W77" s="66" t="str">
        <f ca="1">'CALLER Portal'!V14</f>
        <v/>
      </c>
      <c r="X77" s="66" t="str">
        <f ca="1">'CALLER Portal'!W14</f>
        <v/>
      </c>
      <c r="Y77" s="66" t="str">
        <f ca="1">'CALLER Portal'!X14</f>
        <v/>
      </c>
      <c r="Z77" s="66" t="str">
        <f ca="1">'CALLER Portal'!Y14</f>
        <v/>
      </c>
      <c r="AA77" s="66" t="str">
        <f ca="1">'CALLER Portal'!Z14</f>
        <v/>
      </c>
      <c r="AB77" s="66" t="str">
        <f ca="1">'CALLER Portal'!AA14</f>
        <v/>
      </c>
      <c r="AC77" s="66" t="str">
        <f ca="1">'CALLER Portal'!AB14</f>
        <v/>
      </c>
      <c r="AD77" s="66" t="str">
        <f ca="1">'CALLER Portal'!AC14</f>
        <v/>
      </c>
      <c r="AE77" s="66" t="str">
        <f ca="1">'CALLER Portal'!AD14</f>
        <v/>
      </c>
      <c r="AF77" s="66" t="str">
        <f ca="1">'CALLER Portal'!AE14</f>
        <v/>
      </c>
      <c r="AG77" s="66" t="str">
        <f ca="1">'CALLER Portal'!AF14</f>
        <v/>
      </c>
      <c r="AH77" s="66" t="str">
        <f ca="1">'CALLER Portal'!AG14</f>
        <v/>
      </c>
      <c r="AI77" s="66" t="str">
        <f ca="1">'CALLER Portal'!AH14</f>
        <v/>
      </c>
      <c r="AJ77" s="66" t="str">
        <f ca="1">'CALLER Portal'!AI14</f>
        <v/>
      </c>
      <c r="AK77" s="66" t="str">
        <f ca="1">'CALLER Portal'!AJ14</f>
        <v/>
      </c>
      <c r="AL77" s="66" t="str">
        <f ca="1">'CALLER Portal'!AK14</f>
        <v/>
      </c>
      <c r="AM77" s="66" t="str">
        <f ca="1">'CALLER Portal'!AL14</f>
        <v/>
      </c>
      <c r="AN77" s="66" t="str">
        <f ca="1">'CALLER Portal'!AM14</f>
        <v/>
      </c>
      <c r="AO77" s="66" t="str">
        <f ca="1">'CALLER Portal'!AN14</f>
        <v/>
      </c>
      <c r="AP77" s="66" t="str">
        <f ca="1">'CALLER Portal'!AO14</f>
        <v/>
      </c>
      <c r="AQ77" s="66" t="str">
        <f ca="1">'CALLER Portal'!AP14</f>
        <v/>
      </c>
      <c r="AR77" s="66" t="str">
        <f ca="1">'CALLER Portal'!AQ14</f>
        <v/>
      </c>
      <c r="AS77" s="66" t="str">
        <f ca="1">'CALLER Portal'!AR14</f>
        <v/>
      </c>
      <c r="AT77" s="66" t="str">
        <f ca="1">'CALLER Portal'!AS14</f>
        <v/>
      </c>
      <c r="AU77" s="66" t="str">
        <f ca="1">'CALLER Portal'!AT14</f>
        <v/>
      </c>
      <c r="AV77" s="66" t="str">
        <f ca="1">'CALLER Portal'!AU14</f>
        <v/>
      </c>
      <c r="AW77" s="66" t="str">
        <f ca="1">'CALLER Portal'!AV14</f>
        <v/>
      </c>
      <c r="AX77" s="66" t="str">
        <f ca="1">'CALLER Portal'!AW14</f>
        <v/>
      </c>
      <c r="AY77" s="66" t="str">
        <f ca="1">'CALLER Portal'!AX14</f>
        <v/>
      </c>
      <c r="AZ77" s="66" t="str">
        <f ca="1">'CALLER Portal'!AY14</f>
        <v/>
      </c>
      <c r="BA77" s="66" t="str">
        <f ca="1">'CALLER Portal'!AZ14</f>
        <v/>
      </c>
    </row>
    <row r="79" spans="1:53" x14ac:dyDescent="0.25">
      <c r="A79"/>
      <c r="B79"/>
    </row>
    <row r="80" spans="1:53" x14ac:dyDescent="0.25">
      <c r="A80"/>
      <c r="B80"/>
    </row>
    <row r="81" spans="1:7" x14ac:dyDescent="0.25">
      <c r="A81"/>
      <c r="B81"/>
    </row>
    <row r="82" spans="1:7" x14ac:dyDescent="0.25">
      <c r="A82"/>
      <c r="B82"/>
      <c r="G82" t="s">
        <v>261</v>
      </c>
    </row>
    <row r="83" spans="1:7" x14ac:dyDescent="0.25">
      <c r="A83"/>
      <c r="B83"/>
    </row>
    <row r="84" spans="1:7" x14ac:dyDescent="0.25">
      <c r="A84"/>
      <c r="B84"/>
    </row>
    <row r="85" spans="1:7" x14ac:dyDescent="0.25">
      <c r="A85"/>
      <c r="B85"/>
    </row>
    <row r="86" spans="1:7" x14ac:dyDescent="0.25">
      <c r="A86"/>
      <c r="B86"/>
    </row>
    <row r="87" spans="1:7" x14ac:dyDescent="0.25">
      <c r="A87"/>
      <c r="B87"/>
    </row>
    <row r="88" spans="1:7" x14ac:dyDescent="0.25">
      <c r="A88"/>
      <c r="B88"/>
    </row>
    <row r="89" spans="1:7" x14ac:dyDescent="0.25">
      <c r="A89"/>
      <c r="B89"/>
    </row>
    <row r="90" spans="1:7" x14ac:dyDescent="0.25">
      <c r="A90"/>
      <c r="B90"/>
    </row>
    <row r="91" spans="1:7" x14ac:dyDescent="0.25">
      <c r="A91"/>
      <c r="B91"/>
    </row>
    <row r="92" spans="1:7" x14ac:dyDescent="0.25">
      <c r="A92"/>
      <c r="B92"/>
    </row>
    <row r="93" spans="1:7" x14ac:dyDescent="0.25">
      <c r="A93"/>
      <c r="B93"/>
    </row>
    <row r="94" spans="1:7" x14ac:dyDescent="0.25">
      <c r="A94"/>
      <c r="B94"/>
    </row>
    <row r="95" spans="1:7" x14ac:dyDescent="0.25">
      <c r="A95"/>
      <c r="B95"/>
    </row>
    <row r="96" spans="1:7" x14ac:dyDescent="0.25">
      <c r="A96"/>
      <c r="B96"/>
    </row>
    <row r="97" spans="1:2" x14ac:dyDescent="0.25">
      <c r="A97"/>
      <c r="B97"/>
    </row>
    <row r="98" spans="1:2" x14ac:dyDescent="0.25">
      <c r="A98"/>
      <c r="B98"/>
    </row>
    <row r="99" spans="1:2" x14ac:dyDescent="0.25">
      <c r="A99"/>
      <c r="B99"/>
    </row>
    <row r="100" spans="1:2" x14ac:dyDescent="0.25">
      <c r="A100"/>
      <c r="B100"/>
    </row>
    <row r="101" spans="1:2" x14ac:dyDescent="0.25">
      <c r="A101"/>
      <c r="B101"/>
    </row>
    <row r="102" spans="1:2" x14ac:dyDescent="0.25">
      <c r="A102"/>
      <c r="B102"/>
    </row>
    <row r="103" spans="1:2" x14ac:dyDescent="0.25">
      <c r="A103"/>
      <c r="B103"/>
    </row>
    <row r="104" spans="1:2" x14ac:dyDescent="0.25">
      <c r="A104"/>
      <c r="B104"/>
    </row>
    <row r="105" spans="1:2" x14ac:dyDescent="0.25">
      <c r="A105"/>
      <c r="B105"/>
    </row>
    <row r="106" spans="1:2" x14ac:dyDescent="0.25">
      <c r="A106"/>
      <c r="B106"/>
    </row>
    <row r="107" spans="1:2" x14ac:dyDescent="0.25">
      <c r="A107"/>
      <c r="B107"/>
    </row>
    <row r="108" spans="1:2" x14ac:dyDescent="0.25">
      <c r="A108"/>
      <c r="B108"/>
    </row>
    <row r="109" spans="1:2" x14ac:dyDescent="0.25">
      <c r="A109"/>
      <c r="B109"/>
    </row>
    <row r="110" spans="1:2" x14ac:dyDescent="0.25">
      <c r="A110"/>
      <c r="B110"/>
    </row>
    <row r="111" spans="1:2" x14ac:dyDescent="0.25">
      <c r="A111"/>
      <c r="B111"/>
    </row>
    <row r="112" spans="1:2" x14ac:dyDescent="0.25">
      <c r="A112"/>
      <c r="B112"/>
    </row>
    <row r="113" spans="1:2" x14ac:dyDescent="0.25">
      <c r="A113"/>
      <c r="B113"/>
    </row>
    <row r="114" spans="1:2" x14ac:dyDescent="0.25">
      <c r="A114"/>
      <c r="B114"/>
    </row>
    <row r="115" spans="1:2" x14ac:dyDescent="0.25">
      <c r="A115"/>
      <c r="B115"/>
    </row>
    <row r="116" spans="1:2" x14ac:dyDescent="0.25">
      <c r="A116"/>
      <c r="B116"/>
    </row>
    <row r="117" spans="1:2" x14ac:dyDescent="0.25">
      <c r="A117"/>
      <c r="B117"/>
    </row>
    <row r="118" spans="1:2" x14ac:dyDescent="0.25">
      <c r="A118"/>
      <c r="B118"/>
    </row>
    <row r="119" spans="1:2" x14ac:dyDescent="0.25">
      <c r="A119"/>
      <c r="B119"/>
    </row>
    <row r="120" spans="1:2" x14ac:dyDescent="0.25">
      <c r="A120"/>
      <c r="B120"/>
    </row>
    <row r="121" spans="1:2" x14ac:dyDescent="0.25">
      <c r="A121"/>
      <c r="B121"/>
    </row>
    <row r="122" spans="1:2" x14ac:dyDescent="0.25">
      <c r="A122"/>
      <c r="B122"/>
    </row>
    <row r="123" spans="1:2" x14ac:dyDescent="0.25">
      <c r="A123"/>
      <c r="B123"/>
    </row>
    <row r="124" spans="1:2" x14ac:dyDescent="0.25">
      <c r="A124"/>
      <c r="B124"/>
    </row>
    <row r="125" spans="1:2" x14ac:dyDescent="0.25">
      <c r="A125"/>
      <c r="B125"/>
    </row>
    <row r="126" spans="1:2" x14ac:dyDescent="0.25">
      <c r="A126"/>
      <c r="B126"/>
    </row>
    <row r="127" spans="1:2" x14ac:dyDescent="0.25">
      <c r="A127"/>
      <c r="B127"/>
    </row>
    <row r="128" spans="1:2" x14ac:dyDescent="0.25">
      <c r="A128"/>
      <c r="B128"/>
    </row>
    <row r="129" spans="1:2" x14ac:dyDescent="0.25">
      <c r="A129"/>
      <c r="B129"/>
    </row>
    <row r="130" spans="1:2" x14ac:dyDescent="0.25">
      <c r="A130"/>
      <c r="B130"/>
    </row>
    <row r="131" spans="1:2" x14ac:dyDescent="0.25">
      <c r="A131"/>
      <c r="B131"/>
    </row>
    <row r="132" spans="1:2" x14ac:dyDescent="0.25">
      <c r="A132"/>
      <c r="B132"/>
    </row>
    <row r="133" spans="1:2" x14ac:dyDescent="0.25">
      <c r="A133"/>
      <c r="B133"/>
    </row>
    <row r="134" spans="1:2" x14ac:dyDescent="0.25">
      <c r="A134"/>
      <c r="B134"/>
    </row>
    <row r="135" spans="1:2" x14ac:dyDescent="0.25">
      <c r="A135"/>
      <c r="B135"/>
    </row>
    <row r="136" spans="1:2" x14ac:dyDescent="0.25">
      <c r="A136"/>
      <c r="B136"/>
    </row>
    <row r="137" spans="1:2" x14ac:dyDescent="0.25">
      <c r="A137"/>
      <c r="B137"/>
    </row>
    <row r="138" spans="1:2" x14ac:dyDescent="0.25">
      <c r="A138"/>
      <c r="B138"/>
    </row>
  </sheetData>
  <mergeCells count="2">
    <mergeCell ref="A33:A68"/>
    <mergeCell ref="A70:A77"/>
  </mergeCells>
  <dataValidations count="1">
    <dataValidation type="list" allowBlank="1" showInputMessage="1" showErrorMessage="1" sqref="D20:V20">
      <formula1>$D$20:$V$20</formula1>
    </dataValidation>
  </dataValidations>
  <pageMargins left="0.7" right="0.7" top="0.75" bottom="0.75" header="0.3" footer="0.3"/>
  <pageSetup orientation="portrait" r:id="rId1"/>
  <ignoredErrors>
    <ignoredError sqref="D26:BA26" numberStoredAsText="1"/>
  </ignoredErrors>
  <drawing r:id="rId2"/>
  <legacyDrawing r:id="rId3"/>
  <controls>
    <mc:AlternateContent xmlns:mc="http://schemas.openxmlformats.org/markup-compatibility/2006">
      <mc:Choice Requires="x14">
        <control shapeId="2050" r:id="rId4" name="TextBox1">
          <controlPr locked="0" defaultSize="0" autoLine="0" autoPict="0" r:id="rId5">
            <anchor moveWithCells="1">
              <from>
                <xdr:col>11</xdr:col>
                <xdr:colOff>38100</xdr:colOff>
                <xdr:row>0</xdr:row>
                <xdr:rowOff>47625</xdr:rowOff>
              </from>
              <to>
                <xdr:col>21</xdr:col>
                <xdr:colOff>200025</xdr:colOff>
                <xdr:row>17</xdr:row>
                <xdr:rowOff>76200</xdr:rowOff>
              </to>
            </anchor>
          </controlPr>
        </control>
      </mc:Choice>
      <mc:Fallback>
        <control shapeId="2050" r:id="rId4" name="TextBox1"/>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
  <sheetViews>
    <sheetView workbookViewId="0"/>
  </sheetViews>
  <sheetFormatPr defaultRowHeight="15" x14ac:dyDescent="0.25"/>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Q46"/>
  <sheetViews>
    <sheetView workbookViewId="0">
      <selection activeCell="E30" sqref="E30"/>
    </sheetView>
  </sheetViews>
  <sheetFormatPr defaultRowHeight="15" x14ac:dyDescent="0.25"/>
  <sheetData>
    <row r="1" spans="1:17" x14ac:dyDescent="0.25">
      <c r="A1" s="93"/>
      <c r="B1" s="94"/>
      <c r="C1" s="93"/>
      <c r="D1" s="93"/>
      <c r="E1" s="93"/>
      <c r="F1" s="610"/>
      <c r="G1" s="610"/>
      <c r="H1" s="610"/>
      <c r="I1" s="610"/>
      <c r="J1" s="610"/>
      <c r="K1" s="610"/>
      <c r="L1" s="610"/>
      <c r="M1" s="93"/>
      <c r="N1" s="93"/>
      <c r="O1" s="93"/>
      <c r="P1" s="93"/>
      <c r="Q1" s="93"/>
    </row>
    <row r="2" spans="1:17" x14ac:dyDescent="0.25">
      <c r="A2" s="606" t="s">
        <v>172</v>
      </c>
      <c r="B2" s="608" t="s">
        <v>7</v>
      </c>
      <c r="C2" s="199" t="s">
        <v>173</v>
      </c>
      <c r="D2" s="198" t="s">
        <v>3</v>
      </c>
      <c r="E2" s="198" t="s">
        <v>176</v>
      </c>
      <c r="F2" s="198" t="s">
        <v>166</v>
      </c>
      <c r="G2" s="198" t="s">
        <v>8</v>
      </c>
      <c r="H2" s="198" t="s">
        <v>176</v>
      </c>
      <c r="I2" s="198" t="s">
        <v>166</v>
      </c>
      <c r="J2" s="198" t="s">
        <v>3</v>
      </c>
      <c r="K2" s="198" t="s">
        <v>21</v>
      </c>
      <c r="L2" s="198" t="s">
        <v>164</v>
      </c>
      <c r="M2" s="198" t="s">
        <v>166</v>
      </c>
      <c r="N2" s="198" t="s">
        <v>164</v>
      </c>
      <c r="O2" s="198" t="s">
        <v>164</v>
      </c>
      <c r="P2" s="198" t="s">
        <v>166</v>
      </c>
      <c r="Q2" s="197" t="s">
        <v>169</v>
      </c>
    </row>
    <row r="3" spans="1:17" x14ac:dyDescent="0.25">
      <c r="A3" s="607"/>
      <c r="B3" s="609"/>
      <c r="C3" s="196" t="s">
        <v>174</v>
      </c>
      <c r="D3" s="195" t="s">
        <v>175</v>
      </c>
      <c r="E3" s="195" t="s">
        <v>175</v>
      </c>
      <c r="F3" s="195" t="s">
        <v>175</v>
      </c>
      <c r="G3" s="195" t="s">
        <v>12</v>
      </c>
      <c r="H3" s="195" t="s">
        <v>9</v>
      </c>
      <c r="I3" s="195" t="s">
        <v>9</v>
      </c>
      <c r="J3" s="195" t="s">
        <v>9</v>
      </c>
      <c r="K3" s="195" t="s">
        <v>13</v>
      </c>
      <c r="L3" s="195" t="s">
        <v>165</v>
      </c>
      <c r="M3" s="195" t="s">
        <v>165</v>
      </c>
      <c r="N3" s="195" t="s">
        <v>167</v>
      </c>
      <c r="O3" s="195" t="s">
        <v>168</v>
      </c>
      <c r="P3" s="195" t="s">
        <v>168</v>
      </c>
      <c r="Q3" s="194" t="s">
        <v>170</v>
      </c>
    </row>
    <row r="4" spans="1:17" x14ac:dyDescent="0.25">
      <c r="A4" s="184">
        <v>1</v>
      </c>
      <c r="B4" s="193" t="s">
        <v>321</v>
      </c>
      <c r="C4" s="192">
        <v>2.617</v>
      </c>
      <c r="D4" s="191">
        <v>5</v>
      </c>
      <c r="E4" s="191">
        <v>2</v>
      </c>
      <c r="F4" s="191">
        <v>1</v>
      </c>
      <c r="G4" s="191">
        <v>10</v>
      </c>
      <c r="H4" s="190">
        <v>160</v>
      </c>
      <c r="I4" s="190">
        <v>160</v>
      </c>
      <c r="J4" s="190">
        <v>1320</v>
      </c>
      <c r="K4" s="189">
        <v>0.5</v>
      </c>
      <c r="L4" s="188">
        <v>0.6</v>
      </c>
      <c r="M4" s="188">
        <v>0.33329999999999999</v>
      </c>
      <c r="N4" s="187">
        <v>122.28</v>
      </c>
      <c r="O4" s="186">
        <v>1.1499999999999999</v>
      </c>
      <c r="P4" s="186">
        <v>0.38</v>
      </c>
      <c r="Q4" s="185">
        <v>0.79</v>
      </c>
    </row>
    <row r="5" spans="1:17" x14ac:dyDescent="0.25">
      <c r="A5" s="184">
        <v>2</v>
      </c>
      <c r="B5" s="193" t="s">
        <v>324</v>
      </c>
      <c r="C5" s="192">
        <v>2.153</v>
      </c>
      <c r="D5" s="191">
        <v>3</v>
      </c>
      <c r="E5" s="191">
        <v>2</v>
      </c>
      <c r="F5" s="191">
        <v>1</v>
      </c>
      <c r="G5" s="191">
        <v>13</v>
      </c>
      <c r="H5" s="190">
        <v>50</v>
      </c>
      <c r="I5" s="190">
        <v>60</v>
      </c>
      <c r="J5" s="190">
        <v>110</v>
      </c>
      <c r="K5" s="189">
        <v>0.23080000000000001</v>
      </c>
      <c r="L5" s="188">
        <v>1</v>
      </c>
      <c r="M5" s="188">
        <v>1</v>
      </c>
      <c r="N5" s="187">
        <v>51.09</v>
      </c>
      <c r="O5" s="186">
        <v>1.39</v>
      </c>
      <c r="P5" s="186">
        <v>0.46</v>
      </c>
      <c r="Q5" s="185">
        <v>0.75</v>
      </c>
    </row>
    <row r="6" spans="1:17" x14ac:dyDescent="0.25">
      <c r="A6" s="184">
        <v>3</v>
      </c>
      <c r="B6" s="193" t="s">
        <v>354</v>
      </c>
      <c r="C6" s="192">
        <v>1.2010000000000001</v>
      </c>
      <c r="D6" s="191">
        <v>1</v>
      </c>
      <c r="E6" s="191">
        <v>0</v>
      </c>
      <c r="F6" s="191">
        <v>1</v>
      </c>
      <c r="G6" s="191">
        <v>4</v>
      </c>
      <c r="H6" s="190">
        <v>0</v>
      </c>
      <c r="I6" s="190">
        <v>500</v>
      </c>
      <c r="J6" s="190">
        <v>500</v>
      </c>
      <c r="K6" s="189">
        <v>0.25</v>
      </c>
      <c r="L6" s="188">
        <v>1</v>
      </c>
      <c r="M6" s="188">
        <v>1</v>
      </c>
      <c r="N6" s="187">
        <v>416.32</v>
      </c>
      <c r="O6" s="186">
        <v>0.83</v>
      </c>
      <c r="P6" s="186">
        <v>0.83</v>
      </c>
      <c r="Q6" s="185">
        <v>0.74</v>
      </c>
    </row>
    <row r="7" spans="1:17" x14ac:dyDescent="0.25">
      <c r="A7" s="184">
        <v>4</v>
      </c>
      <c r="B7" s="193" t="s">
        <v>357</v>
      </c>
      <c r="C7" s="192">
        <v>7.6829999999999998</v>
      </c>
      <c r="D7" s="191">
        <v>10</v>
      </c>
      <c r="E7" s="191">
        <v>6</v>
      </c>
      <c r="F7" s="191">
        <v>1</v>
      </c>
      <c r="G7" s="191">
        <v>34</v>
      </c>
      <c r="H7" s="190">
        <v>360</v>
      </c>
      <c r="I7" s="190">
        <v>10</v>
      </c>
      <c r="J7" s="190">
        <v>595</v>
      </c>
      <c r="K7" s="189">
        <v>0.29409999999999997</v>
      </c>
      <c r="L7" s="188">
        <v>0.7</v>
      </c>
      <c r="M7" s="188">
        <v>0.25</v>
      </c>
      <c r="N7" s="187">
        <v>48.16</v>
      </c>
      <c r="O7" s="186">
        <v>0.91</v>
      </c>
      <c r="P7" s="186">
        <v>0.13</v>
      </c>
      <c r="Q7" s="185">
        <v>0.69</v>
      </c>
    </row>
    <row r="8" spans="1:17" x14ac:dyDescent="0.25">
      <c r="A8" s="184">
        <v>5</v>
      </c>
      <c r="B8" s="193" t="s">
        <v>282</v>
      </c>
      <c r="C8" s="192">
        <v>0.64400000000000002</v>
      </c>
      <c r="D8" s="191">
        <v>1</v>
      </c>
      <c r="E8" s="191">
        <v>1</v>
      </c>
      <c r="F8" s="191">
        <v>0</v>
      </c>
      <c r="G8" s="191">
        <v>3</v>
      </c>
      <c r="H8" s="190">
        <v>200</v>
      </c>
      <c r="I8" s="190">
        <v>0</v>
      </c>
      <c r="J8" s="190">
        <v>200</v>
      </c>
      <c r="K8" s="189">
        <v>0.33329999999999999</v>
      </c>
      <c r="L8" s="188">
        <v>1</v>
      </c>
      <c r="M8" s="188">
        <v>0</v>
      </c>
      <c r="N8" s="187">
        <v>310.56</v>
      </c>
      <c r="O8" s="186">
        <v>1.55</v>
      </c>
      <c r="P8" s="186">
        <v>0</v>
      </c>
      <c r="Q8" s="185">
        <v>0.63</v>
      </c>
    </row>
    <row r="9" spans="1:17" x14ac:dyDescent="0.25">
      <c r="A9" s="184">
        <v>6</v>
      </c>
      <c r="B9" s="193" t="s">
        <v>379</v>
      </c>
      <c r="C9" s="192">
        <v>4.6059999999999999</v>
      </c>
      <c r="D9" s="191">
        <v>7</v>
      </c>
      <c r="E9" s="191">
        <v>6</v>
      </c>
      <c r="F9" s="191">
        <v>0</v>
      </c>
      <c r="G9" s="191">
        <v>16</v>
      </c>
      <c r="H9" s="190">
        <v>275</v>
      </c>
      <c r="I9" s="190">
        <v>0</v>
      </c>
      <c r="J9" s="190">
        <v>325</v>
      </c>
      <c r="K9" s="189">
        <v>0.4375</v>
      </c>
      <c r="L9" s="188">
        <v>0.85709999999999997</v>
      </c>
      <c r="M9" s="188">
        <v>0</v>
      </c>
      <c r="N9" s="187">
        <v>59.7</v>
      </c>
      <c r="O9" s="186">
        <v>1.3</v>
      </c>
      <c r="P9" s="186">
        <v>0</v>
      </c>
      <c r="Q9" s="185">
        <v>0.6</v>
      </c>
    </row>
    <row r="10" spans="1:17" x14ac:dyDescent="0.25">
      <c r="A10" s="184">
        <v>7</v>
      </c>
      <c r="B10" s="193" t="s">
        <v>382</v>
      </c>
      <c r="C10" s="192">
        <v>5.0529999999999999</v>
      </c>
      <c r="D10" s="191">
        <v>7</v>
      </c>
      <c r="E10" s="191">
        <v>7</v>
      </c>
      <c r="F10" s="191">
        <v>0</v>
      </c>
      <c r="G10" s="191">
        <v>25</v>
      </c>
      <c r="H10" s="190">
        <v>345</v>
      </c>
      <c r="I10" s="190">
        <v>0</v>
      </c>
      <c r="J10" s="190">
        <v>345</v>
      </c>
      <c r="K10" s="189">
        <v>0.28000000000000003</v>
      </c>
      <c r="L10" s="188">
        <v>1</v>
      </c>
      <c r="M10" s="188">
        <v>0</v>
      </c>
      <c r="N10" s="187">
        <v>68.28</v>
      </c>
      <c r="O10" s="186">
        <v>1.39</v>
      </c>
      <c r="P10" s="186">
        <v>0</v>
      </c>
      <c r="Q10" s="185">
        <v>0.59</v>
      </c>
    </row>
    <row r="11" spans="1:17" x14ac:dyDescent="0.25">
      <c r="A11" s="184">
        <v>8</v>
      </c>
      <c r="B11" s="193" t="s">
        <v>330</v>
      </c>
      <c r="C11" s="192">
        <v>5.07</v>
      </c>
      <c r="D11" s="191">
        <v>8</v>
      </c>
      <c r="E11" s="191">
        <v>7</v>
      </c>
      <c r="F11" s="191">
        <v>0</v>
      </c>
      <c r="G11" s="191">
        <v>24</v>
      </c>
      <c r="H11" s="190">
        <v>295</v>
      </c>
      <c r="I11" s="190">
        <v>0</v>
      </c>
      <c r="J11" s="190">
        <v>320</v>
      </c>
      <c r="K11" s="189">
        <v>0.33329999999999999</v>
      </c>
      <c r="L11" s="188">
        <v>0.875</v>
      </c>
      <c r="M11" s="188">
        <v>0</v>
      </c>
      <c r="N11" s="187">
        <v>58.19</v>
      </c>
      <c r="O11" s="186">
        <v>1.38</v>
      </c>
      <c r="P11" s="186">
        <v>0</v>
      </c>
      <c r="Q11" s="185">
        <v>0.57999999999999996</v>
      </c>
    </row>
    <row r="12" spans="1:17" x14ac:dyDescent="0.25">
      <c r="A12" s="184">
        <v>9</v>
      </c>
      <c r="B12" s="193" t="s">
        <v>375</v>
      </c>
      <c r="C12" s="192">
        <v>3.8159999999999998</v>
      </c>
      <c r="D12" s="191">
        <v>4</v>
      </c>
      <c r="E12" s="191">
        <v>4</v>
      </c>
      <c r="F12" s="191">
        <v>0</v>
      </c>
      <c r="G12" s="191">
        <v>16</v>
      </c>
      <c r="H12" s="190">
        <v>350</v>
      </c>
      <c r="I12" s="190">
        <v>0</v>
      </c>
      <c r="J12" s="190">
        <v>350</v>
      </c>
      <c r="K12" s="189">
        <v>0.25</v>
      </c>
      <c r="L12" s="188">
        <v>1</v>
      </c>
      <c r="M12" s="188">
        <v>0</v>
      </c>
      <c r="N12" s="187">
        <v>91.72</v>
      </c>
      <c r="O12" s="186">
        <v>1.05</v>
      </c>
      <c r="P12" s="186">
        <v>0</v>
      </c>
      <c r="Q12" s="185">
        <v>0.54</v>
      </c>
    </row>
    <row r="13" spans="1:17" x14ac:dyDescent="0.25">
      <c r="A13" s="184">
        <v>10</v>
      </c>
      <c r="B13" s="193" t="s">
        <v>353</v>
      </c>
      <c r="C13" s="192">
        <v>2.698</v>
      </c>
      <c r="D13" s="191">
        <v>5</v>
      </c>
      <c r="E13" s="191">
        <v>3</v>
      </c>
      <c r="F13" s="191">
        <v>0</v>
      </c>
      <c r="G13" s="191">
        <v>14</v>
      </c>
      <c r="H13" s="190">
        <v>140</v>
      </c>
      <c r="I13" s="190">
        <v>0</v>
      </c>
      <c r="J13" s="190">
        <v>1240</v>
      </c>
      <c r="K13" s="189">
        <v>0.35709999999999997</v>
      </c>
      <c r="L13" s="188">
        <v>0.6</v>
      </c>
      <c r="M13" s="188">
        <v>0</v>
      </c>
      <c r="N13" s="187">
        <v>51.89</v>
      </c>
      <c r="O13" s="186">
        <v>1.1100000000000001</v>
      </c>
      <c r="P13" s="186">
        <v>0</v>
      </c>
      <c r="Q13" s="185">
        <v>0.52</v>
      </c>
    </row>
    <row r="14" spans="1:17" x14ac:dyDescent="0.25">
      <c r="A14" s="184">
        <v>11</v>
      </c>
      <c r="B14" s="193" t="s">
        <v>269</v>
      </c>
      <c r="C14" s="192">
        <v>7.5119999999999996</v>
      </c>
      <c r="D14" s="191">
        <v>7</v>
      </c>
      <c r="E14" s="191">
        <v>7</v>
      </c>
      <c r="F14" s="191">
        <v>0</v>
      </c>
      <c r="G14" s="191">
        <v>27</v>
      </c>
      <c r="H14" s="190">
        <v>190</v>
      </c>
      <c r="I14" s="190">
        <v>0</v>
      </c>
      <c r="J14" s="190">
        <v>190</v>
      </c>
      <c r="K14" s="189">
        <v>0.25929999999999997</v>
      </c>
      <c r="L14" s="188">
        <v>1</v>
      </c>
      <c r="M14" s="188">
        <v>0</v>
      </c>
      <c r="N14" s="187">
        <v>25.29</v>
      </c>
      <c r="O14" s="186">
        <v>0.93</v>
      </c>
      <c r="P14" s="186">
        <v>0</v>
      </c>
      <c r="Q14" s="185">
        <v>0.5</v>
      </c>
    </row>
    <row r="15" spans="1:17" x14ac:dyDescent="0.25">
      <c r="A15" s="184">
        <v>12</v>
      </c>
      <c r="B15" s="193" t="s">
        <v>322</v>
      </c>
      <c r="C15" s="192">
        <v>1.341</v>
      </c>
      <c r="D15" s="191">
        <v>1</v>
      </c>
      <c r="E15" s="191">
        <v>1</v>
      </c>
      <c r="F15" s="191">
        <v>0</v>
      </c>
      <c r="G15" s="191">
        <v>4</v>
      </c>
      <c r="H15" s="190">
        <v>150</v>
      </c>
      <c r="I15" s="190">
        <v>0</v>
      </c>
      <c r="J15" s="190">
        <v>150</v>
      </c>
      <c r="K15" s="189">
        <v>0.25</v>
      </c>
      <c r="L15" s="188">
        <v>1</v>
      </c>
      <c r="M15" s="188">
        <v>0</v>
      </c>
      <c r="N15" s="187">
        <v>111.86</v>
      </c>
      <c r="O15" s="186">
        <v>0.75</v>
      </c>
      <c r="P15" s="186">
        <v>0</v>
      </c>
      <c r="Q15" s="185">
        <v>0.49</v>
      </c>
    </row>
    <row r="16" spans="1:17" x14ac:dyDescent="0.25">
      <c r="A16" s="184">
        <v>13</v>
      </c>
      <c r="B16" s="193" t="s">
        <v>406</v>
      </c>
      <c r="C16" s="192">
        <v>4.5629999999999997</v>
      </c>
      <c r="D16" s="191">
        <v>7</v>
      </c>
      <c r="E16" s="191">
        <v>4</v>
      </c>
      <c r="F16" s="191">
        <v>0</v>
      </c>
      <c r="G16" s="191">
        <v>21</v>
      </c>
      <c r="H16" s="190">
        <v>280</v>
      </c>
      <c r="I16" s="190">
        <v>0</v>
      </c>
      <c r="J16" s="190">
        <v>365</v>
      </c>
      <c r="K16" s="189">
        <v>0.33329999999999999</v>
      </c>
      <c r="L16" s="188">
        <v>0.57140000000000002</v>
      </c>
      <c r="M16" s="188">
        <v>0</v>
      </c>
      <c r="N16" s="187">
        <v>61.36</v>
      </c>
      <c r="O16" s="186">
        <v>0.88</v>
      </c>
      <c r="P16" s="186">
        <v>0</v>
      </c>
      <c r="Q16" s="185">
        <v>0.48</v>
      </c>
    </row>
    <row r="17" spans="1:17" x14ac:dyDescent="0.25">
      <c r="A17" s="184">
        <v>14</v>
      </c>
      <c r="B17" s="193" t="s">
        <v>291</v>
      </c>
      <c r="C17" s="192">
        <v>8.8379999999999992</v>
      </c>
      <c r="D17" s="191">
        <v>14</v>
      </c>
      <c r="E17" s="191">
        <v>9</v>
      </c>
      <c r="F17" s="191">
        <v>0</v>
      </c>
      <c r="G17" s="191">
        <v>53</v>
      </c>
      <c r="H17" s="190">
        <v>340</v>
      </c>
      <c r="I17" s="190">
        <v>0</v>
      </c>
      <c r="J17" s="190">
        <v>505</v>
      </c>
      <c r="K17" s="189">
        <v>0.26419999999999999</v>
      </c>
      <c r="L17" s="188">
        <v>0.64290000000000003</v>
      </c>
      <c r="M17" s="188">
        <v>0</v>
      </c>
      <c r="N17" s="187">
        <v>38.47</v>
      </c>
      <c r="O17" s="186">
        <v>1.02</v>
      </c>
      <c r="P17" s="186">
        <v>0</v>
      </c>
      <c r="Q17" s="185">
        <v>0.48</v>
      </c>
    </row>
    <row r="18" spans="1:17" x14ac:dyDescent="0.25">
      <c r="A18" s="184">
        <v>15</v>
      </c>
      <c r="B18" s="193" t="s">
        <v>411</v>
      </c>
      <c r="C18" s="192">
        <v>5.33</v>
      </c>
      <c r="D18" s="191">
        <v>6</v>
      </c>
      <c r="E18" s="191">
        <v>5</v>
      </c>
      <c r="F18" s="191">
        <v>0</v>
      </c>
      <c r="G18" s="191">
        <v>29</v>
      </c>
      <c r="H18" s="190">
        <v>305</v>
      </c>
      <c r="I18" s="190">
        <v>0</v>
      </c>
      <c r="J18" s="190">
        <v>505</v>
      </c>
      <c r="K18" s="189">
        <v>0.2069</v>
      </c>
      <c r="L18" s="188">
        <v>0.83330000000000004</v>
      </c>
      <c r="M18" s="188">
        <v>0</v>
      </c>
      <c r="N18" s="187">
        <v>57.22</v>
      </c>
      <c r="O18" s="186">
        <v>0.94</v>
      </c>
      <c r="P18" s="186">
        <v>0</v>
      </c>
      <c r="Q18" s="185">
        <v>0.47</v>
      </c>
    </row>
    <row r="19" spans="1:17" x14ac:dyDescent="0.25">
      <c r="A19" s="184">
        <v>16</v>
      </c>
      <c r="B19" s="193" t="s">
        <v>385</v>
      </c>
      <c r="C19" s="192">
        <v>6.0510000000000002</v>
      </c>
      <c r="D19" s="191">
        <v>5</v>
      </c>
      <c r="E19" s="191">
        <v>4</v>
      </c>
      <c r="F19" s="191">
        <v>0</v>
      </c>
      <c r="G19" s="191">
        <v>11</v>
      </c>
      <c r="H19" s="190">
        <v>120</v>
      </c>
      <c r="I19" s="190">
        <v>0</v>
      </c>
      <c r="J19" s="190">
        <v>170</v>
      </c>
      <c r="K19" s="189">
        <v>0.45450000000000002</v>
      </c>
      <c r="L19" s="188">
        <v>0.8</v>
      </c>
      <c r="M19" s="188">
        <v>0</v>
      </c>
      <c r="N19" s="187">
        <v>19.829999999999998</v>
      </c>
      <c r="O19" s="186">
        <v>0.66</v>
      </c>
      <c r="P19" s="186">
        <v>0</v>
      </c>
      <c r="Q19" s="185">
        <v>0.44</v>
      </c>
    </row>
    <row r="20" spans="1:17" x14ac:dyDescent="0.25">
      <c r="A20" s="184">
        <v>17</v>
      </c>
      <c r="B20" s="193" t="s">
        <v>405</v>
      </c>
      <c r="C20" s="192">
        <v>5.6870000000000003</v>
      </c>
      <c r="D20" s="191">
        <v>5</v>
      </c>
      <c r="E20" s="191">
        <v>4</v>
      </c>
      <c r="F20" s="191">
        <v>0</v>
      </c>
      <c r="G20" s="191">
        <v>26</v>
      </c>
      <c r="H20" s="190">
        <v>1145</v>
      </c>
      <c r="I20" s="190">
        <v>0</v>
      </c>
      <c r="J20" s="190">
        <v>1245</v>
      </c>
      <c r="K20" s="189">
        <v>0.1923</v>
      </c>
      <c r="L20" s="188">
        <v>0.8</v>
      </c>
      <c r="M20" s="188">
        <v>0</v>
      </c>
      <c r="N20" s="187">
        <v>201.34</v>
      </c>
      <c r="O20" s="186">
        <v>0.7</v>
      </c>
      <c r="P20" s="186">
        <v>0</v>
      </c>
      <c r="Q20" s="185">
        <v>0.43</v>
      </c>
    </row>
    <row r="21" spans="1:17" x14ac:dyDescent="0.25">
      <c r="A21" s="184">
        <v>18</v>
      </c>
      <c r="B21" s="193" t="s">
        <v>348</v>
      </c>
      <c r="C21" s="192">
        <v>1.1739999999999999</v>
      </c>
      <c r="D21" s="191">
        <v>1</v>
      </c>
      <c r="E21" s="191">
        <v>1</v>
      </c>
      <c r="F21" s="191">
        <v>0</v>
      </c>
      <c r="G21" s="191">
        <v>5</v>
      </c>
      <c r="H21" s="190">
        <v>25</v>
      </c>
      <c r="I21" s="190">
        <v>0</v>
      </c>
      <c r="J21" s="190">
        <v>25</v>
      </c>
      <c r="K21" s="189">
        <v>0.2</v>
      </c>
      <c r="L21" s="188">
        <v>1</v>
      </c>
      <c r="M21" s="188">
        <v>0</v>
      </c>
      <c r="N21" s="187">
        <v>21.29</v>
      </c>
      <c r="O21" s="186">
        <v>0.85</v>
      </c>
      <c r="P21" s="186">
        <v>0</v>
      </c>
      <c r="Q21" s="185">
        <v>0.42</v>
      </c>
    </row>
    <row r="22" spans="1:17" x14ac:dyDescent="0.25">
      <c r="A22" s="184">
        <v>19</v>
      </c>
      <c r="B22" s="193" t="s">
        <v>403</v>
      </c>
      <c r="C22" s="192">
        <v>5.8230000000000004</v>
      </c>
      <c r="D22" s="191">
        <v>7</v>
      </c>
      <c r="E22" s="191">
        <v>5</v>
      </c>
      <c r="F22" s="191">
        <v>0</v>
      </c>
      <c r="G22" s="191">
        <v>28</v>
      </c>
      <c r="H22" s="190">
        <v>130</v>
      </c>
      <c r="I22" s="190">
        <v>0</v>
      </c>
      <c r="J22" s="190">
        <v>160</v>
      </c>
      <c r="K22" s="189">
        <v>0.25</v>
      </c>
      <c r="L22" s="188">
        <v>0.71430000000000005</v>
      </c>
      <c r="M22" s="188">
        <v>0</v>
      </c>
      <c r="N22" s="187">
        <v>22.33</v>
      </c>
      <c r="O22" s="186">
        <v>0.86</v>
      </c>
      <c r="P22" s="186">
        <v>0</v>
      </c>
      <c r="Q22" s="185">
        <v>0.41</v>
      </c>
    </row>
    <row r="23" spans="1:17" x14ac:dyDescent="0.25">
      <c r="A23" s="184">
        <v>20</v>
      </c>
      <c r="B23" s="193" t="s">
        <v>397</v>
      </c>
      <c r="C23" s="192">
        <v>4.6760000000000002</v>
      </c>
      <c r="D23" s="191">
        <v>5</v>
      </c>
      <c r="E23" s="191">
        <v>3</v>
      </c>
      <c r="F23" s="191">
        <v>0</v>
      </c>
      <c r="G23" s="191">
        <v>14</v>
      </c>
      <c r="H23" s="190">
        <v>125</v>
      </c>
      <c r="I23" s="190">
        <v>0</v>
      </c>
      <c r="J23" s="190">
        <v>175</v>
      </c>
      <c r="K23" s="189">
        <v>0.35709999999999997</v>
      </c>
      <c r="L23" s="188">
        <v>0.6</v>
      </c>
      <c r="M23" s="188">
        <v>0</v>
      </c>
      <c r="N23" s="187">
        <v>26.73</v>
      </c>
      <c r="O23" s="186">
        <v>0.64</v>
      </c>
      <c r="P23" s="186">
        <v>0</v>
      </c>
      <c r="Q23" s="185">
        <v>0.4</v>
      </c>
    </row>
    <row r="24" spans="1:17" x14ac:dyDescent="0.25">
      <c r="A24" s="184">
        <v>21</v>
      </c>
      <c r="B24" s="193" t="s">
        <v>351</v>
      </c>
      <c r="C24" s="192">
        <v>9.2379999999999995</v>
      </c>
      <c r="D24" s="191">
        <v>12</v>
      </c>
      <c r="E24" s="191">
        <v>6</v>
      </c>
      <c r="F24" s="191">
        <v>0</v>
      </c>
      <c r="G24" s="191">
        <v>38</v>
      </c>
      <c r="H24" s="190">
        <v>320</v>
      </c>
      <c r="I24" s="190">
        <v>0</v>
      </c>
      <c r="J24" s="190">
        <v>825</v>
      </c>
      <c r="K24" s="189">
        <v>0.31580000000000003</v>
      </c>
      <c r="L24" s="188">
        <v>0.5</v>
      </c>
      <c r="M24" s="188">
        <v>0</v>
      </c>
      <c r="N24" s="187">
        <v>34.64</v>
      </c>
      <c r="O24" s="186">
        <v>0.65</v>
      </c>
      <c r="P24" s="186">
        <v>0</v>
      </c>
      <c r="Q24" s="185">
        <v>0.39</v>
      </c>
    </row>
    <row r="25" spans="1:17" x14ac:dyDescent="0.25">
      <c r="A25" s="184">
        <v>22</v>
      </c>
      <c r="B25" s="193" t="s">
        <v>370</v>
      </c>
      <c r="C25" s="192">
        <v>1.5660000000000001</v>
      </c>
      <c r="D25" s="191">
        <v>1</v>
      </c>
      <c r="E25" s="191">
        <v>1</v>
      </c>
      <c r="F25" s="191">
        <v>0</v>
      </c>
      <c r="G25" s="191">
        <v>6</v>
      </c>
      <c r="H25" s="190">
        <v>50</v>
      </c>
      <c r="I25" s="190">
        <v>0</v>
      </c>
      <c r="J25" s="190">
        <v>50</v>
      </c>
      <c r="K25" s="189">
        <v>0.16669999999999999</v>
      </c>
      <c r="L25" s="188">
        <v>1</v>
      </c>
      <c r="M25" s="188">
        <v>0</v>
      </c>
      <c r="N25" s="187">
        <v>31.93</v>
      </c>
      <c r="O25" s="186">
        <v>0.64</v>
      </c>
      <c r="P25" s="186">
        <v>0</v>
      </c>
      <c r="Q25" s="185">
        <v>0.37</v>
      </c>
    </row>
    <row r="26" spans="1:17" x14ac:dyDescent="0.25">
      <c r="A26" s="184">
        <v>23</v>
      </c>
      <c r="B26" s="193" t="s">
        <v>365</v>
      </c>
      <c r="C26" s="192">
        <v>7.2489999999999997</v>
      </c>
      <c r="D26" s="191">
        <v>8</v>
      </c>
      <c r="E26" s="191">
        <v>6</v>
      </c>
      <c r="F26" s="191">
        <v>0</v>
      </c>
      <c r="G26" s="191">
        <v>38</v>
      </c>
      <c r="H26" s="190">
        <v>135</v>
      </c>
      <c r="I26" s="190">
        <v>0</v>
      </c>
      <c r="J26" s="190">
        <v>310</v>
      </c>
      <c r="K26" s="189">
        <v>0.21049999999999999</v>
      </c>
      <c r="L26" s="188">
        <v>0.75</v>
      </c>
      <c r="M26" s="188">
        <v>0</v>
      </c>
      <c r="N26" s="187">
        <v>18.62</v>
      </c>
      <c r="O26" s="186">
        <v>0.83</v>
      </c>
      <c r="P26" s="186">
        <v>0</v>
      </c>
      <c r="Q26" s="185">
        <v>0.37</v>
      </c>
    </row>
    <row r="27" spans="1:17" x14ac:dyDescent="0.25">
      <c r="A27" s="184">
        <v>24</v>
      </c>
      <c r="B27" s="193" t="s">
        <v>359</v>
      </c>
      <c r="C27" s="192">
        <v>5.6470000000000002</v>
      </c>
      <c r="D27" s="191">
        <v>4</v>
      </c>
      <c r="E27" s="191">
        <v>4</v>
      </c>
      <c r="F27" s="191">
        <v>0</v>
      </c>
      <c r="G27" s="191">
        <v>32</v>
      </c>
      <c r="H27" s="190">
        <v>130</v>
      </c>
      <c r="I27" s="190">
        <v>0</v>
      </c>
      <c r="J27" s="190">
        <v>130</v>
      </c>
      <c r="K27" s="189">
        <v>0.125</v>
      </c>
      <c r="L27" s="188">
        <v>1</v>
      </c>
      <c r="M27" s="188">
        <v>0</v>
      </c>
      <c r="N27" s="187">
        <v>23.02</v>
      </c>
      <c r="O27" s="186">
        <v>0.71</v>
      </c>
      <c r="P27" s="186">
        <v>0</v>
      </c>
      <c r="Q27" s="185">
        <v>0.36</v>
      </c>
    </row>
    <row r="28" spans="1:17" x14ac:dyDescent="0.25">
      <c r="A28" s="184">
        <v>25</v>
      </c>
      <c r="B28" s="193" t="s">
        <v>274</v>
      </c>
      <c r="C28" s="192">
        <v>4.508</v>
      </c>
      <c r="D28" s="191">
        <v>3</v>
      </c>
      <c r="E28" s="191">
        <v>3</v>
      </c>
      <c r="F28" s="191">
        <v>0</v>
      </c>
      <c r="G28" s="191">
        <v>19</v>
      </c>
      <c r="H28" s="190">
        <v>70</v>
      </c>
      <c r="I28" s="190">
        <v>0</v>
      </c>
      <c r="J28" s="190">
        <v>70</v>
      </c>
      <c r="K28" s="189">
        <v>0.15790000000000001</v>
      </c>
      <c r="L28" s="188">
        <v>1</v>
      </c>
      <c r="M28" s="188">
        <v>0</v>
      </c>
      <c r="N28" s="187">
        <v>15.53</v>
      </c>
      <c r="O28" s="186">
        <v>0.67</v>
      </c>
      <c r="P28" s="186">
        <v>0</v>
      </c>
      <c r="Q28" s="185">
        <v>0.35</v>
      </c>
    </row>
    <row r="29" spans="1:17" x14ac:dyDescent="0.25">
      <c r="A29" s="184">
        <v>26</v>
      </c>
      <c r="B29" s="193" t="s">
        <v>433</v>
      </c>
      <c r="C29" s="192">
        <v>5.952</v>
      </c>
      <c r="D29" s="191">
        <v>6</v>
      </c>
      <c r="E29" s="191">
        <v>5</v>
      </c>
      <c r="F29" s="191">
        <v>0</v>
      </c>
      <c r="G29" s="191">
        <v>42</v>
      </c>
      <c r="H29" s="190">
        <v>105</v>
      </c>
      <c r="I29" s="190">
        <v>0</v>
      </c>
      <c r="J29" s="190">
        <v>125</v>
      </c>
      <c r="K29" s="189">
        <v>0.1429</v>
      </c>
      <c r="L29" s="188">
        <v>0.83330000000000004</v>
      </c>
      <c r="M29" s="188">
        <v>0</v>
      </c>
      <c r="N29" s="187">
        <v>17.64</v>
      </c>
      <c r="O29" s="186">
        <v>0.84</v>
      </c>
      <c r="P29" s="186">
        <v>0</v>
      </c>
      <c r="Q29" s="185">
        <v>0.35</v>
      </c>
    </row>
    <row r="30" spans="1:17" x14ac:dyDescent="0.25">
      <c r="A30" s="184">
        <v>27</v>
      </c>
      <c r="B30" s="193" t="s">
        <v>314</v>
      </c>
      <c r="C30" s="192">
        <v>10.653</v>
      </c>
      <c r="D30" s="191">
        <v>10</v>
      </c>
      <c r="E30" s="191">
        <v>7</v>
      </c>
      <c r="F30" s="191">
        <v>0</v>
      </c>
      <c r="G30" s="191">
        <v>62</v>
      </c>
      <c r="H30" s="190">
        <v>365</v>
      </c>
      <c r="I30" s="190">
        <v>0</v>
      </c>
      <c r="J30" s="190">
        <v>465</v>
      </c>
      <c r="K30" s="189">
        <v>0.1613</v>
      </c>
      <c r="L30" s="188">
        <v>0.7</v>
      </c>
      <c r="M30" s="188">
        <v>0</v>
      </c>
      <c r="N30" s="187">
        <v>34.26</v>
      </c>
      <c r="O30" s="186">
        <v>0.66</v>
      </c>
      <c r="P30" s="186">
        <v>0</v>
      </c>
      <c r="Q30" s="185">
        <v>0.33</v>
      </c>
    </row>
    <row r="31" spans="1:17" x14ac:dyDescent="0.25">
      <c r="A31" s="184">
        <v>28</v>
      </c>
      <c r="B31" s="193" t="s">
        <v>392</v>
      </c>
      <c r="C31" s="192">
        <v>4.0949999999999998</v>
      </c>
      <c r="D31" s="191">
        <v>2</v>
      </c>
      <c r="E31" s="191">
        <v>2</v>
      </c>
      <c r="F31" s="191">
        <v>0</v>
      </c>
      <c r="G31" s="191">
        <v>28</v>
      </c>
      <c r="H31" s="190">
        <v>55</v>
      </c>
      <c r="I31" s="190">
        <v>0</v>
      </c>
      <c r="J31" s="190">
        <v>55</v>
      </c>
      <c r="K31" s="189">
        <v>7.1400000000000005E-2</v>
      </c>
      <c r="L31" s="188">
        <v>1</v>
      </c>
      <c r="M31" s="188">
        <v>0</v>
      </c>
      <c r="N31" s="187">
        <v>13.43</v>
      </c>
      <c r="O31" s="186">
        <v>0.49</v>
      </c>
      <c r="P31" s="186">
        <v>0</v>
      </c>
      <c r="Q31" s="185">
        <v>0.28000000000000003</v>
      </c>
    </row>
    <row r="32" spans="1:17" x14ac:dyDescent="0.25">
      <c r="A32" s="184">
        <v>29</v>
      </c>
      <c r="B32" s="193" t="s">
        <v>384</v>
      </c>
      <c r="C32" s="192">
        <v>4.9210000000000003</v>
      </c>
      <c r="D32" s="191">
        <v>2</v>
      </c>
      <c r="E32" s="191">
        <v>2</v>
      </c>
      <c r="F32" s="191">
        <v>0</v>
      </c>
      <c r="G32" s="191">
        <v>15</v>
      </c>
      <c r="H32" s="190">
        <v>50</v>
      </c>
      <c r="I32" s="190">
        <v>0</v>
      </c>
      <c r="J32" s="190">
        <v>50</v>
      </c>
      <c r="K32" s="189">
        <v>0.1333</v>
      </c>
      <c r="L32" s="188">
        <v>1</v>
      </c>
      <c r="M32" s="188">
        <v>0</v>
      </c>
      <c r="N32" s="187">
        <v>10.16</v>
      </c>
      <c r="O32" s="186">
        <v>0.41</v>
      </c>
      <c r="P32" s="186">
        <v>0</v>
      </c>
      <c r="Q32" s="185">
        <v>0.28000000000000003</v>
      </c>
    </row>
    <row r="33" spans="1:17" x14ac:dyDescent="0.25">
      <c r="A33" s="184">
        <v>30</v>
      </c>
      <c r="B33" s="193" t="s">
        <v>363</v>
      </c>
      <c r="C33" s="192">
        <v>8.6950000000000003</v>
      </c>
      <c r="D33" s="191">
        <v>4</v>
      </c>
      <c r="E33" s="191">
        <v>4</v>
      </c>
      <c r="F33" s="191">
        <v>0</v>
      </c>
      <c r="G33" s="191">
        <v>46</v>
      </c>
      <c r="H33" s="190">
        <v>80</v>
      </c>
      <c r="I33" s="190">
        <v>0</v>
      </c>
      <c r="J33" s="190">
        <v>80</v>
      </c>
      <c r="K33" s="189">
        <v>8.6999999999999994E-2</v>
      </c>
      <c r="L33" s="188">
        <v>1</v>
      </c>
      <c r="M33" s="188">
        <v>0</v>
      </c>
      <c r="N33" s="187">
        <v>9.1999999999999993</v>
      </c>
      <c r="O33" s="186">
        <v>0.46</v>
      </c>
      <c r="P33" s="186">
        <v>0</v>
      </c>
      <c r="Q33" s="185">
        <v>0.27</v>
      </c>
    </row>
    <row r="34" spans="1:17" x14ac:dyDescent="0.25">
      <c r="A34" s="184">
        <v>31</v>
      </c>
      <c r="B34" s="193" t="s">
        <v>389</v>
      </c>
      <c r="C34" s="192">
        <v>5.5359999999999996</v>
      </c>
      <c r="D34" s="191">
        <v>7</v>
      </c>
      <c r="E34" s="191">
        <v>2</v>
      </c>
      <c r="F34" s="191">
        <v>0</v>
      </c>
      <c r="G34" s="191">
        <v>28</v>
      </c>
      <c r="H34" s="190">
        <v>75</v>
      </c>
      <c r="I34" s="190">
        <v>0</v>
      </c>
      <c r="J34" s="190">
        <v>280</v>
      </c>
      <c r="K34" s="189">
        <v>0.25</v>
      </c>
      <c r="L34" s="188">
        <v>0.28570000000000001</v>
      </c>
      <c r="M34" s="188">
        <v>0</v>
      </c>
      <c r="N34" s="187">
        <v>13.55</v>
      </c>
      <c r="O34" s="186">
        <v>0.36</v>
      </c>
      <c r="P34" s="186">
        <v>0</v>
      </c>
      <c r="Q34" s="185">
        <v>0.26</v>
      </c>
    </row>
    <row r="35" spans="1:17" x14ac:dyDescent="0.25">
      <c r="A35" s="184">
        <v>32</v>
      </c>
      <c r="B35" s="193" t="s">
        <v>355</v>
      </c>
      <c r="C35" s="192">
        <v>4.1890000000000001</v>
      </c>
      <c r="D35" s="191">
        <v>2</v>
      </c>
      <c r="E35" s="191">
        <v>2</v>
      </c>
      <c r="F35" s="191">
        <v>0</v>
      </c>
      <c r="G35" s="191">
        <v>32</v>
      </c>
      <c r="H35" s="190">
        <v>30</v>
      </c>
      <c r="I35" s="190">
        <v>0</v>
      </c>
      <c r="J35" s="190">
        <v>30</v>
      </c>
      <c r="K35" s="189">
        <v>6.25E-2</v>
      </c>
      <c r="L35" s="188">
        <v>1</v>
      </c>
      <c r="M35" s="188">
        <v>0</v>
      </c>
      <c r="N35" s="187">
        <v>7.16</v>
      </c>
      <c r="O35" s="186">
        <v>0.48</v>
      </c>
      <c r="P35" s="186">
        <v>0</v>
      </c>
      <c r="Q35" s="185">
        <v>0.25</v>
      </c>
    </row>
    <row r="36" spans="1:17" x14ac:dyDescent="0.25">
      <c r="A36" s="184">
        <v>33</v>
      </c>
      <c r="B36" s="193" t="s">
        <v>315</v>
      </c>
      <c r="C36" s="192">
        <v>6.1529999999999996</v>
      </c>
      <c r="D36" s="191">
        <v>2</v>
      </c>
      <c r="E36" s="191">
        <v>2</v>
      </c>
      <c r="F36" s="191">
        <v>0</v>
      </c>
      <c r="G36" s="191">
        <v>27</v>
      </c>
      <c r="H36" s="190">
        <v>50</v>
      </c>
      <c r="I36" s="190">
        <v>0</v>
      </c>
      <c r="J36" s="190">
        <v>50</v>
      </c>
      <c r="K36" s="189">
        <v>7.4099999999999999E-2</v>
      </c>
      <c r="L36" s="188">
        <v>1</v>
      </c>
      <c r="M36" s="188">
        <v>0</v>
      </c>
      <c r="N36" s="187">
        <v>8.1300000000000008</v>
      </c>
      <c r="O36" s="186">
        <v>0.33</v>
      </c>
      <c r="P36" s="186">
        <v>0</v>
      </c>
      <c r="Q36" s="185">
        <v>0.24</v>
      </c>
    </row>
    <row r="37" spans="1:17" x14ac:dyDescent="0.25">
      <c r="A37" s="184">
        <v>34</v>
      </c>
      <c r="B37" s="193" t="s">
        <v>336</v>
      </c>
      <c r="C37" s="192">
        <v>2.6659999999999999</v>
      </c>
      <c r="D37" s="191">
        <v>1</v>
      </c>
      <c r="E37" s="191">
        <v>1</v>
      </c>
      <c r="F37" s="191">
        <v>0</v>
      </c>
      <c r="G37" s="191">
        <v>18</v>
      </c>
      <c r="H37" s="190">
        <v>25</v>
      </c>
      <c r="I37" s="190">
        <v>0</v>
      </c>
      <c r="J37" s="190">
        <v>25</v>
      </c>
      <c r="K37" s="189">
        <v>5.5599999999999997E-2</v>
      </c>
      <c r="L37" s="188">
        <v>1</v>
      </c>
      <c r="M37" s="188">
        <v>0</v>
      </c>
      <c r="N37" s="187">
        <v>9.3800000000000008</v>
      </c>
      <c r="O37" s="186">
        <v>0.38</v>
      </c>
      <c r="P37" s="186">
        <v>0</v>
      </c>
      <c r="Q37" s="185">
        <v>0.24</v>
      </c>
    </row>
    <row r="38" spans="1:17" x14ac:dyDescent="0.25">
      <c r="A38" s="184">
        <v>35</v>
      </c>
      <c r="B38" s="193" t="s">
        <v>316</v>
      </c>
      <c r="C38" s="192">
        <v>5.883</v>
      </c>
      <c r="D38" s="191">
        <v>1</v>
      </c>
      <c r="E38" s="191">
        <v>0</v>
      </c>
      <c r="F38" s="191">
        <v>0</v>
      </c>
      <c r="G38" s="191">
        <v>2</v>
      </c>
      <c r="H38" s="190">
        <v>0</v>
      </c>
      <c r="I38" s="190">
        <v>0</v>
      </c>
      <c r="J38" s="190">
        <v>1000</v>
      </c>
      <c r="K38" s="189">
        <v>0.5</v>
      </c>
      <c r="L38" s="188">
        <v>0</v>
      </c>
      <c r="M38" s="188">
        <v>0</v>
      </c>
      <c r="N38" s="187">
        <v>0</v>
      </c>
      <c r="O38" s="186">
        <v>0</v>
      </c>
      <c r="P38" s="186">
        <v>0</v>
      </c>
      <c r="Q38" s="185">
        <v>0.21</v>
      </c>
    </row>
    <row r="39" spans="1:17" x14ac:dyDescent="0.25">
      <c r="A39" s="184">
        <v>36</v>
      </c>
      <c r="B39" s="193" t="s">
        <v>366</v>
      </c>
      <c r="C39" s="192">
        <v>9.5310000000000006</v>
      </c>
      <c r="D39" s="191">
        <v>8</v>
      </c>
      <c r="E39" s="191">
        <v>2</v>
      </c>
      <c r="F39" s="191">
        <v>0</v>
      </c>
      <c r="G39" s="191">
        <v>41</v>
      </c>
      <c r="H39" s="190">
        <v>45</v>
      </c>
      <c r="I39" s="190">
        <v>0</v>
      </c>
      <c r="J39" s="190">
        <v>145</v>
      </c>
      <c r="K39" s="189">
        <v>0.1951</v>
      </c>
      <c r="L39" s="188">
        <v>0.25</v>
      </c>
      <c r="M39" s="188">
        <v>0</v>
      </c>
      <c r="N39" s="187">
        <v>4.72</v>
      </c>
      <c r="O39" s="186">
        <v>0.21</v>
      </c>
      <c r="P39" s="186">
        <v>0</v>
      </c>
      <c r="Q39" s="185">
        <v>0.19</v>
      </c>
    </row>
    <row r="40" spans="1:17" x14ac:dyDescent="0.25">
      <c r="A40" s="184">
        <v>37</v>
      </c>
      <c r="B40" s="193" t="s">
        <v>281</v>
      </c>
      <c r="C40" s="192">
        <v>5.8789999999999996</v>
      </c>
      <c r="D40" s="191">
        <v>6</v>
      </c>
      <c r="E40" s="191">
        <v>1</v>
      </c>
      <c r="F40" s="191">
        <v>0</v>
      </c>
      <c r="G40" s="191">
        <v>25</v>
      </c>
      <c r="H40" s="190">
        <v>25</v>
      </c>
      <c r="I40" s="190">
        <v>0</v>
      </c>
      <c r="J40" s="190">
        <v>640</v>
      </c>
      <c r="K40" s="189">
        <v>0.24</v>
      </c>
      <c r="L40" s="188">
        <v>0.16669999999999999</v>
      </c>
      <c r="M40" s="188">
        <v>0</v>
      </c>
      <c r="N40" s="187">
        <v>4.25</v>
      </c>
      <c r="O40" s="186">
        <v>0.17</v>
      </c>
      <c r="P40" s="186">
        <v>0</v>
      </c>
      <c r="Q40" s="185">
        <v>0.19</v>
      </c>
    </row>
    <row r="41" spans="1:17" x14ac:dyDescent="0.25">
      <c r="A41" s="184">
        <v>38</v>
      </c>
      <c r="B41" s="193" t="s">
        <v>350</v>
      </c>
      <c r="C41" s="192">
        <v>5.92</v>
      </c>
      <c r="D41" s="191">
        <v>4</v>
      </c>
      <c r="E41" s="191">
        <v>1</v>
      </c>
      <c r="F41" s="191">
        <v>0</v>
      </c>
      <c r="G41" s="191">
        <v>27</v>
      </c>
      <c r="H41" s="190">
        <v>25</v>
      </c>
      <c r="I41" s="190">
        <v>0</v>
      </c>
      <c r="J41" s="190">
        <v>150</v>
      </c>
      <c r="K41" s="189">
        <v>0.14810000000000001</v>
      </c>
      <c r="L41" s="188">
        <v>0.25</v>
      </c>
      <c r="M41" s="188">
        <v>0</v>
      </c>
      <c r="N41" s="187">
        <v>4.22</v>
      </c>
      <c r="O41" s="186">
        <v>0.17</v>
      </c>
      <c r="P41" s="186">
        <v>0</v>
      </c>
      <c r="Q41" s="185">
        <v>0.15</v>
      </c>
    </row>
    <row r="42" spans="1:17" x14ac:dyDescent="0.25">
      <c r="A42" s="184">
        <v>39</v>
      </c>
      <c r="B42" s="193" t="s">
        <v>408</v>
      </c>
      <c r="C42" s="192">
        <v>4.5389999999999997</v>
      </c>
      <c r="D42" s="191">
        <v>1</v>
      </c>
      <c r="E42" s="191">
        <v>0</v>
      </c>
      <c r="F42" s="191">
        <v>0</v>
      </c>
      <c r="G42" s="191">
        <v>14</v>
      </c>
      <c r="H42" s="190">
        <v>0</v>
      </c>
      <c r="I42" s="190">
        <v>0</v>
      </c>
      <c r="J42" s="190">
        <v>40</v>
      </c>
      <c r="K42" s="189">
        <v>7.1400000000000005E-2</v>
      </c>
      <c r="L42" s="188">
        <v>0</v>
      </c>
      <c r="M42" s="188">
        <v>0</v>
      </c>
      <c r="N42" s="187">
        <v>0</v>
      </c>
      <c r="O42" s="186">
        <v>0</v>
      </c>
      <c r="P42" s="186">
        <v>0</v>
      </c>
      <c r="Q42" s="185">
        <v>0.05</v>
      </c>
    </row>
    <row r="43" spans="1:17" x14ac:dyDescent="0.25">
      <c r="A43" s="184">
        <v>40</v>
      </c>
      <c r="B43" s="193" t="s">
        <v>288</v>
      </c>
      <c r="C43" s="192">
        <v>1.863</v>
      </c>
      <c r="D43" s="191">
        <v>0</v>
      </c>
      <c r="E43" s="191">
        <v>0</v>
      </c>
      <c r="F43" s="191">
        <v>0</v>
      </c>
      <c r="G43" s="191">
        <v>13</v>
      </c>
      <c r="H43" s="190">
        <v>0</v>
      </c>
      <c r="I43" s="190">
        <v>0</v>
      </c>
      <c r="J43" s="190">
        <v>0</v>
      </c>
      <c r="K43" s="189">
        <v>0</v>
      </c>
      <c r="L43" s="188">
        <v>0</v>
      </c>
      <c r="M43" s="188">
        <v>0</v>
      </c>
      <c r="N43" s="187">
        <v>0</v>
      </c>
      <c r="O43" s="186">
        <v>0</v>
      </c>
      <c r="P43" s="186">
        <v>0</v>
      </c>
      <c r="Q43" s="185">
        <v>0.02</v>
      </c>
    </row>
    <row r="44" spans="1:17" x14ac:dyDescent="0.25">
      <c r="A44" s="184">
        <v>41</v>
      </c>
      <c r="B44" s="193" t="s">
        <v>290</v>
      </c>
      <c r="C44" s="192">
        <v>1.774</v>
      </c>
      <c r="D44" s="191">
        <v>0</v>
      </c>
      <c r="E44" s="191">
        <v>0</v>
      </c>
      <c r="F44" s="191">
        <v>0</v>
      </c>
      <c r="G44" s="191">
        <v>9</v>
      </c>
      <c r="H44" s="190">
        <v>0</v>
      </c>
      <c r="I44" s="190">
        <v>0</v>
      </c>
      <c r="J44" s="190">
        <v>0</v>
      </c>
      <c r="K44" s="189">
        <v>0</v>
      </c>
      <c r="L44" s="188">
        <v>0</v>
      </c>
      <c r="M44" s="188">
        <v>0</v>
      </c>
      <c r="N44" s="187">
        <v>0</v>
      </c>
      <c r="O44" s="186">
        <v>0</v>
      </c>
      <c r="P44" s="186">
        <v>0</v>
      </c>
      <c r="Q44" s="185">
        <v>0.02</v>
      </c>
    </row>
    <row r="45" spans="1:17" x14ac:dyDescent="0.25">
      <c r="A45" s="184">
        <v>42</v>
      </c>
      <c r="B45" s="193" t="s">
        <v>326</v>
      </c>
      <c r="C45" s="192">
        <v>1.4730000000000001</v>
      </c>
      <c r="D45" s="191">
        <v>0</v>
      </c>
      <c r="E45" s="191">
        <v>0</v>
      </c>
      <c r="F45" s="191">
        <v>0</v>
      </c>
      <c r="G45" s="191">
        <v>4</v>
      </c>
      <c r="H45" s="190">
        <v>0</v>
      </c>
      <c r="I45" s="190">
        <v>0</v>
      </c>
      <c r="J45" s="190">
        <v>0</v>
      </c>
      <c r="K45" s="189">
        <v>0</v>
      </c>
      <c r="L45" s="188">
        <v>0</v>
      </c>
      <c r="M45" s="188">
        <v>0</v>
      </c>
      <c r="N45" s="187">
        <v>0</v>
      </c>
      <c r="O45" s="186">
        <v>0</v>
      </c>
      <c r="P45" s="186">
        <v>0</v>
      </c>
      <c r="Q45" s="185">
        <v>0.02</v>
      </c>
    </row>
    <row r="46" spans="1:17" x14ac:dyDescent="0.25">
      <c r="A46" s="184" t="s">
        <v>171</v>
      </c>
      <c r="B46" s="183" t="s">
        <v>3</v>
      </c>
      <c r="C46" s="182">
        <v>204.46600000000001</v>
      </c>
      <c r="D46" s="181">
        <v>193</v>
      </c>
      <c r="E46" s="181">
        <v>132</v>
      </c>
      <c r="F46" s="181">
        <v>4</v>
      </c>
      <c r="G46" s="181">
        <v>943</v>
      </c>
      <c r="H46" s="180">
        <v>6620</v>
      </c>
      <c r="I46" s="180">
        <v>730</v>
      </c>
      <c r="J46" s="180">
        <v>13315</v>
      </c>
      <c r="K46" s="179">
        <v>0.20469999999999999</v>
      </c>
      <c r="L46" s="178">
        <v>0.70469999999999999</v>
      </c>
      <c r="M46" s="178">
        <v>6.5600000000000006E-2</v>
      </c>
      <c r="N46" s="177">
        <v>35.950000000000003</v>
      </c>
      <c r="O46" s="176">
        <v>0.67</v>
      </c>
      <c r="P46" s="176">
        <v>0.02</v>
      </c>
      <c r="Q46" s="175" t="s">
        <v>171</v>
      </c>
    </row>
  </sheetData>
  <mergeCells count="3">
    <mergeCell ref="A2:A3"/>
    <mergeCell ref="B2:B3"/>
    <mergeCell ref="F1:L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0000"/>
  </sheetPr>
  <dimension ref="A1:Q47"/>
  <sheetViews>
    <sheetView workbookViewId="0">
      <selection sqref="A1:Q22"/>
    </sheetView>
  </sheetViews>
  <sheetFormatPr defaultRowHeight="22.5" customHeight="1" x14ac:dyDescent="0.25"/>
  <cols>
    <col min="1" max="1" width="6" style="93" bestFit="1" customWidth="1"/>
    <col min="2" max="2" width="22.42578125" style="94" bestFit="1" customWidth="1"/>
    <col min="3" max="3" width="8.28515625" style="93" bestFit="1" customWidth="1"/>
    <col min="4" max="4" width="6" style="93" bestFit="1" customWidth="1"/>
    <col min="5" max="5" width="10.28515625" style="93" bestFit="1" customWidth="1"/>
    <col min="6" max="6" width="10.42578125" style="93" bestFit="1" customWidth="1"/>
    <col min="7" max="7" width="8.42578125" style="93" bestFit="1" customWidth="1"/>
    <col min="8" max="9" width="12" style="93" bestFit="1" customWidth="1"/>
    <col min="10" max="11" width="13.42578125" style="93" bestFit="1" customWidth="1"/>
    <col min="12" max="12" width="11.42578125" style="93" bestFit="1" customWidth="1"/>
    <col min="13" max="13" width="10.42578125" style="93" bestFit="1" customWidth="1"/>
    <col min="14" max="14" width="11.85546875" style="93" bestFit="1" customWidth="1"/>
    <col min="15" max="15" width="11.42578125" style="93" bestFit="1" customWidth="1"/>
    <col min="16" max="16" width="10.42578125" style="93" bestFit="1" customWidth="1"/>
    <col min="17" max="17" width="12.28515625" style="93" bestFit="1" customWidth="1"/>
    <col min="18" max="16384" width="9.140625" style="93"/>
  </cols>
  <sheetData>
    <row r="1" spans="1:17" ht="22.5" customHeight="1" x14ac:dyDescent="0.25">
      <c r="F1" s="610"/>
      <c r="G1" s="610"/>
      <c r="H1" s="610"/>
      <c r="I1" s="610"/>
      <c r="J1" s="610"/>
      <c r="K1" s="610"/>
      <c r="L1" s="610"/>
    </row>
    <row r="2" spans="1:17" ht="22.5" customHeight="1" x14ac:dyDescent="0.25">
      <c r="A2" s="606" t="s">
        <v>172</v>
      </c>
      <c r="B2" s="608" t="s">
        <v>7</v>
      </c>
      <c r="C2" s="199" t="s">
        <v>173</v>
      </c>
      <c r="D2" s="198" t="s">
        <v>3</v>
      </c>
      <c r="E2" s="198" t="s">
        <v>176</v>
      </c>
      <c r="F2" s="198" t="s">
        <v>166</v>
      </c>
      <c r="G2" s="198" t="s">
        <v>8</v>
      </c>
      <c r="H2" s="198" t="s">
        <v>176</v>
      </c>
      <c r="I2" s="198" t="s">
        <v>166</v>
      </c>
      <c r="J2" s="198" t="s">
        <v>3</v>
      </c>
      <c r="K2" s="198" t="s">
        <v>21</v>
      </c>
      <c r="L2" s="198" t="s">
        <v>164</v>
      </c>
      <c r="M2" s="198" t="s">
        <v>166</v>
      </c>
      <c r="N2" s="198" t="s">
        <v>164</v>
      </c>
      <c r="O2" s="198" t="s">
        <v>164</v>
      </c>
      <c r="P2" s="198" t="s">
        <v>166</v>
      </c>
      <c r="Q2" s="197" t="s">
        <v>169</v>
      </c>
    </row>
    <row r="3" spans="1:17" ht="22.5" customHeight="1" x14ac:dyDescent="0.25">
      <c r="A3" s="607"/>
      <c r="B3" s="609"/>
      <c r="C3" s="196" t="s">
        <v>174</v>
      </c>
      <c r="D3" s="195" t="s">
        <v>175</v>
      </c>
      <c r="E3" s="195" t="s">
        <v>175</v>
      </c>
      <c r="F3" s="195" t="s">
        <v>175</v>
      </c>
      <c r="G3" s="195" t="s">
        <v>12</v>
      </c>
      <c r="H3" s="195" t="s">
        <v>9</v>
      </c>
      <c r="I3" s="195" t="s">
        <v>9</v>
      </c>
      <c r="J3" s="195" t="s">
        <v>9</v>
      </c>
      <c r="K3" s="195" t="s">
        <v>13</v>
      </c>
      <c r="L3" s="195" t="s">
        <v>165</v>
      </c>
      <c r="M3" s="195" t="s">
        <v>165</v>
      </c>
      <c r="N3" s="195" t="s">
        <v>167</v>
      </c>
      <c r="O3" s="195" t="s">
        <v>168</v>
      </c>
      <c r="P3" s="195" t="s">
        <v>168</v>
      </c>
      <c r="Q3" s="194" t="s">
        <v>170</v>
      </c>
    </row>
    <row r="4" spans="1:17" ht="22.5" customHeight="1" x14ac:dyDescent="0.25">
      <c r="A4" s="184">
        <v>1</v>
      </c>
      <c r="B4" s="193" t="s">
        <v>274</v>
      </c>
      <c r="C4" s="192">
        <v>3.1280000000000001</v>
      </c>
      <c r="D4" s="191">
        <v>5</v>
      </c>
      <c r="E4" s="191">
        <v>2</v>
      </c>
      <c r="F4" s="191">
        <v>1</v>
      </c>
      <c r="G4" s="191">
        <v>14</v>
      </c>
      <c r="H4" s="190">
        <v>120</v>
      </c>
      <c r="I4" s="190">
        <v>240</v>
      </c>
      <c r="J4" s="190">
        <v>960</v>
      </c>
      <c r="K4" s="189">
        <v>0.35709999999999997</v>
      </c>
      <c r="L4" s="188">
        <v>0.6</v>
      </c>
      <c r="M4" s="188">
        <v>0.33329999999999999</v>
      </c>
      <c r="N4" s="187">
        <v>115.09</v>
      </c>
      <c r="O4" s="186">
        <v>0.96</v>
      </c>
      <c r="P4" s="186">
        <v>0.32</v>
      </c>
      <c r="Q4" s="185">
        <v>0.8</v>
      </c>
    </row>
    <row r="5" spans="1:17" ht="22.5" customHeight="1" x14ac:dyDescent="0.25">
      <c r="A5" s="184">
        <v>2</v>
      </c>
      <c r="B5" s="193" t="s">
        <v>314</v>
      </c>
      <c r="C5" s="192">
        <v>7.5529999999999999</v>
      </c>
      <c r="D5" s="191">
        <v>7</v>
      </c>
      <c r="E5" s="191">
        <v>5</v>
      </c>
      <c r="F5" s="191">
        <v>1</v>
      </c>
      <c r="G5" s="191">
        <v>27</v>
      </c>
      <c r="H5" s="190">
        <v>445</v>
      </c>
      <c r="I5" s="190">
        <v>120</v>
      </c>
      <c r="J5" s="190">
        <v>615</v>
      </c>
      <c r="K5" s="189">
        <v>0.25929999999999997</v>
      </c>
      <c r="L5" s="188">
        <v>0.85709999999999997</v>
      </c>
      <c r="M5" s="188">
        <v>0.5</v>
      </c>
      <c r="N5" s="187">
        <v>74.8</v>
      </c>
      <c r="O5" s="186">
        <v>0.79</v>
      </c>
      <c r="P5" s="186">
        <v>0.13</v>
      </c>
      <c r="Q5" s="185">
        <v>0.79</v>
      </c>
    </row>
    <row r="6" spans="1:17" ht="22.5" customHeight="1" x14ac:dyDescent="0.25">
      <c r="A6" s="184">
        <v>3</v>
      </c>
      <c r="B6" s="193" t="s">
        <v>405</v>
      </c>
      <c r="C6" s="192">
        <v>6.7809999999999997</v>
      </c>
      <c r="D6" s="191">
        <v>6</v>
      </c>
      <c r="E6" s="191">
        <v>4</v>
      </c>
      <c r="F6" s="191">
        <v>1</v>
      </c>
      <c r="G6" s="191">
        <v>33</v>
      </c>
      <c r="H6" s="190">
        <v>200</v>
      </c>
      <c r="I6" s="190">
        <v>600</v>
      </c>
      <c r="J6" s="190">
        <v>850</v>
      </c>
      <c r="K6" s="189">
        <v>0.18179999999999999</v>
      </c>
      <c r="L6" s="188">
        <v>0.83330000000000004</v>
      </c>
      <c r="M6" s="188">
        <v>0.5</v>
      </c>
      <c r="N6" s="187">
        <v>117.98</v>
      </c>
      <c r="O6" s="186">
        <v>0.74</v>
      </c>
      <c r="P6" s="186">
        <v>0.15</v>
      </c>
      <c r="Q6" s="185">
        <v>0.76</v>
      </c>
    </row>
    <row r="7" spans="1:17" ht="22.5" customHeight="1" x14ac:dyDescent="0.25">
      <c r="A7" s="184">
        <v>4</v>
      </c>
      <c r="B7" s="193" t="s">
        <v>382</v>
      </c>
      <c r="C7" s="192">
        <v>7.4710000000000001</v>
      </c>
      <c r="D7" s="191">
        <v>6</v>
      </c>
      <c r="E7" s="191">
        <v>3</v>
      </c>
      <c r="F7" s="191">
        <v>1</v>
      </c>
      <c r="G7" s="191">
        <v>18</v>
      </c>
      <c r="H7" s="190">
        <v>70</v>
      </c>
      <c r="I7" s="190">
        <v>100</v>
      </c>
      <c r="J7" s="190">
        <v>315</v>
      </c>
      <c r="K7" s="189">
        <v>0.33329999999999999</v>
      </c>
      <c r="L7" s="188">
        <v>0.66669999999999996</v>
      </c>
      <c r="M7" s="188">
        <v>0.33329999999999999</v>
      </c>
      <c r="N7" s="187">
        <v>22.75</v>
      </c>
      <c r="O7" s="186">
        <v>0.54</v>
      </c>
      <c r="P7" s="186">
        <v>0.13</v>
      </c>
      <c r="Q7" s="185">
        <v>0.7</v>
      </c>
    </row>
    <row r="8" spans="1:17" ht="22.5" customHeight="1" x14ac:dyDescent="0.25">
      <c r="A8" s="184">
        <v>5</v>
      </c>
      <c r="B8" s="193" t="s">
        <v>435</v>
      </c>
      <c r="C8" s="192">
        <v>3.9350000000000001</v>
      </c>
      <c r="D8" s="191">
        <v>4</v>
      </c>
      <c r="E8" s="191">
        <v>4</v>
      </c>
      <c r="F8" s="191">
        <v>0</v>
      </c>
      <c r="G8" s="191">
        <v>10</v>
      </c>
      <c r="H8" s="190">
        <v>835</v>
      </c>
      <c r="I8" s="190">
        <v>0</v>
      </c>
      <c r="J8" s="190">
        <v>835</v>
      </c>
      <c r="K8" s="189">
        <v>0.4</v>
      </c>
      <c r="L8" s="188">
        <v>1</v>
      </c>
      <c r="M8" s="188">
        <v>0</v>
      </c>
      <c r="N8" s="187">
        <v>212.2</v>
      </c>
      <c r="O8" s="186">
        <v>1.02</v>
      </c>
      <c r="P8" s="186">
        <v>0</v>
      </c>
      <c r="Q8" s="185">
        <v>0.68</v>
      </c>
    </row>
    <row r="9" spans="1:17" ht="22.5" customHeight="1" x14ac:dyDescent="0.25">
      <c r="A9" s="184">
        <v>6</v>
      </c>
      <c r="B9" s="193" t="s">
        <v>281</v>
      </c>
      <c r="C9" s="192">
        <v>7.4089999999999998</v>
      </c>
      <c r="D9" s="191">
        <v>4</v>
      </c>
      <c r="E9" s="191">
        <v>3</v>
      </c>
      <c r="F9" s="191">
        <v>1</v>
      </c>
      <c r="G9" s="191">
        <v>30</v>
      </c>
      <c r="H9" s="190">
        <v>125</v>
      </c>
      <c r="I9" s="190">
        <v>60</v>
      </c>
      <c r="J9" s="190">
        <v>185</v>
      </c>
      <c r="K9" s="189">
        <v>0.1333</v>
      </c>
      <c r="L9" s="188">
        <v>1</v>
      </c>
      <c r="M9" s="188">
        <v>1</v>
      </c>
      <c r="N9" s="187">
        <v>24.97</v>
      </c>
      <c r="O9" s="186">
        <v>0.54</v>
      </c>
      <c r="P9" s="186">
        <v>0.13</v>
      </c>
      <c r="Q9" s="185">
        <v>0.66</v>
      </c>
    </row>
    <row r="10" spans="1:17" ht="22.5" customHeight="1" x14ac:dyDescent="0.25">
      <c r="A10" s="184">
        <v>7</v>
      </c>
      <c r="B10" s="193" t="s">
        <v>330</v>
      </c>
      <c r="C10" s="192">
        <v>6.5039999999999996</v>
      </c>
      <c r="D10" s="191">
        <v>8</v>
      </c>
      <c r="E10" s="191">
        <v>7</v>
      </c>
      <c r="F10" s="191">
        <v>0</v>
      </c>
      <c r="G10" s="191">
        <v>22</v>
      </c>
      <c r="H10" s="190">
        <v>270</v>
      </c>
      <c r="I10" s="190">
        <v>0</v>
      </c>
      <c r="J10" s="190">
        <v>285</v>
      </c>
      <c r="K10" s="189">
        <v>0.36359999999999998</v>
      </c>
      <c r="L10" s="188">
        <v>0.875</v>
      </c>
      <c r="M10" s="188">
        <v>0</v>
      </c>
      <c r="N10" s="187">
        <v>41.51</v>
      </c>
      <c r="O10" s="186">
        <v>1.08</v>
      </c>
      <c r="P10" s="186">
        <v>0</v>
      </c>
      <c r="Q10" s="185">
        <v>0.63</v>
      </c>
    </row>
    <row r="11" spans="1:17" ht="22.5" customHeight="1" x14ac:dyDescent="0.25">
      <c r="A11" s="184">
        <v>8</v>
      </c>
      <c r="B11" s="193" t="s">
        <v>357</v>
      </c>
      <c r="C11" s="192">
        <v>6.7329999999999997</v>
      </c>
      <c r="D11" s="191">
        <v>8</v>
      </c>
      <c r="E11" s="191">
        <v>5</v>
      </c>
      <c r="F11" s="191">
        <v>0</v>
      </c>
      <c r="G11" s="191">
        <v>16</v>
      </c>
      <c r="H11" s="190">
        <v>615</v>
      </c>
      <c r="I11" s="190">
        <v>0</v>
      </c>
      <c r="J11" s="190">
        <v>795</v>
      </c>
      <c r="K11" s="189">
        <v>0.5</v>
      </c>
      <c r="L11" s="188">
        <v>0.625</v>
      </c>
      <c r="M11" s="188">
        <v>0</v>
      </c>
      <c r="N11" s="187">
        <v>91.34</v>
      </c>
      <c r="O11" s="186">
        <v>0.74</v>
      </c>
      <c r="P11" s="186">
        <v>0</v>
      </c>
      <c r="Q11" s="185">
        <v>0.6</v>
      </c>
    </row>
    <row r="12" spans="1:17" ht="22.5" customHeight="1" x14ac:dyDescent="0.25">
      <c r="A12" s="184">
        <v>9</v>
      </c>
      <c r="B12" s="193" t="s">
        <v>411</v>
      </c>
      <c r="C12" s="192">
        <v>6.8819999999999997</v>
      </c>
      <c r="D12" s="191">
        <v>5</v>
      </c>
      <c r="E12" s="191">
        <v>5</v>
      </c>
      <c r="F12" s="191">
        <v>0</v>
      </c>
      <c r="G12" s="191">
        <v>21</v>
      </c>
      <c r="H12" s="190">
        <v>1725</v>
      </c>
      <c r="I12" s="190">
        <v>0</v>
      </c>
      <c r="J12" s="190">
        <v>1725</v>
      </c>
      <c r="K12" s="189">
        <v>0.23810000000000001</v>
      </c>
      <c r="L12" s="188">
        <v>1</v>
      </c>
      <c r="M12" s="188">
        <v>0</v>
      </c>
      <c r="N12" s="187">
        <v>250.65</v>
      </c>
      <c r="O12" s="186">
        <v>0.73</v>
      </c>
      <c r="P12" s="186">
        <v>0</v>
      </c>
      <c r="Q12" s="185">
        <v>0.59</v>
      </c>
    </row>
    <row r="13" spans="1:17" ht="22.5" customHeight="1" x14ac:dyDescent="0.25">
      <c r="A13" s="184">
        <v>10</v>
      </c>
      <c r="B13" s="193" t="s">
        <v>336</v>
      </c>
      <c r="C13" s="192">
        <v>4.0170000000000003</v>
      </c>
      <c r="D13" s="191">
        <v>5</v>
      </c>
      <c r="E13" s="191">
        <v>4</v>
      </c>
      <c r="F13" s="191">
        <v>0</v>
      </c>
      <c r="G13" s="191">
        <v>21</v>
      </c>
      <c r="H13" s="190">
        <v>300</v>
      </c>
      <c r="I13" s="190">
        <v>0</v>
      </c>
      <c r="J13" s="190">
        <v>305</v>
      </c>
      <c r="K13" s="189">
        <v>0.23810000000000001</v>
      </c>
      <c r="L13" s="188">
        <v>0.8</v>
      </c>
      <c r="M13" s="188">
        <v>0</v>
      </c>
      <c r="N13" s="187">
        <v>74.680000000000007</v>
      </c>
      <c r="O13" s="186">
        <v>1</v>
      </c>
      <c r="P13" s="186">
        <v>0</v>
      </c>
      <c r="Q13" s="185">
        <v>0.57999999999999996</v>
      </c>
    </row>
    <row r="14" spans="1:17" ht="22.5" customHeight="1" x14ac:dyDescent="0.25">
      <c r="A14" s="184">
        <v>11</v>
      </c>
      <c r="B14" s="193" t="s">
        <v>375</v>
      </c>
      <c r="C14" s="192">
        <v>8.3219999999999992</v>
      </c>
      <c r="D14" s="191">
        <v>5</v>
      </c>
      <c r="E14" s="191">
        <v>5</v>
      </c>
      <c r="F14" s="191">
        <v>0</v>
      </c>
      <c r="G14" s="191">
        <v>17</v>
      </c>
      <c r="H14" s="190">
        <v>340</v>
      </c>
      <c r="I14" s="190">
        <v>0</v>
      </c>
      <c r="J14" s="190">
        <v>340</v>
      </c>
      <c r="K14" s="189">
        <v>0.29409999999999997</v>
      </c>
      <c r="L14" s="188">
        <v>1</v>
      </c>
      <c r="M14" s="188">
        <v>0</v>
      </c>
      <c r="N14" s="187">
        <v>40.86</v>
      </c>
      <c r="O14" s="186">
        <v>0.6</v>
      </c>
      <c r="P14" s="186">
        <v>0</v>
      </c>
      <c r="Q14" s="185">
        <v>0.56000000000000005</v>
      </c>
    </row>
    <row r="15" spans="1:17" ht="22.5" customHeight="1" x14ac:dyDescent="0.25">
      <c r="A15" s="184">
        <v>12</v>
      </c>
      <c r="B15" s="193" t="s">
        <v>316</v>
      </c>
      <c r="C15" s="192">
        <v>6.6520000000000001</v>
      </c>
      <c r="D15" s="191">
        <v>3</v>
      </c>
      <c r="E15" s="191">
        <v>2</v>
      </c>
      <c r="F15" s="191">
        <v>0</v>
      </c>
      <c r="G15" s="191">
        <v>3</v>
      </c>
      <c r="H15" s="190">
        <v>460</v>
      </c>
      <c r="I15" s="190">
        <v>0</v>
      </c>
      <c r="J15" s="190">
        <v>465</v>
      </c>
      <c r="K15" s="189">
        <v>1</v>
      </c>
      <c r="L15" s="188">
        <v>0.66669999999999996</v>
      </c>
      <c r="M15" s="188">
        <v>0</v>
      </c>
      <c r="N15" s="187">
        <v>69.150000000000006</v>
      </c>
      <c r="O15" s="186">
        <v>0.3</v>
      </c>
      <c r="P15" s="186">
        <v>0</v>
      </c>
      <c r="Q15" s="185">
        <v>0.54</v>
      </c>
    </row>
    <row r="16" spans="1:17" ht="22.5" customHeight="1" x14ac:dyDescent="0.25">
      <c r="A16" s="184">
        <v>13</v>
      </c>
      <c r="B16" s="193" t="s">
        <v>324</v>
      </c>
      <c r="C16" s="192">
        <v>1.2050000000000001</v>
      </c>
      <c r="D16" s="191">
        <v>1</v>
      </c>
      <c r="E16" s="191">
        <v>1</v>
      </c>
      <c r="F16" s="191">
        <v>0</v>
      </c>
      <c r="G16" s="191">
        <v>6</v>
      </c>
      <c r="H16" s="190">
        <v>40</v>
      </c>
      <c r="I16" s="190">
        <v>0</v>
      </c>
      <c r="J16" s="190">
        <v>40</v>
      </c>
      <c r="K16" s="189">
        <v>0.16669999999999999</v>
      </c>
      <c r="L16" s="188">
        <v>1</v>
      </c>
      <c r="M16" s="188">
        <v>0</v>
      </c>
      <c r="N16" s="187">
        <v>33.200000000000003</v>
      </c>
      <c r="O16" s="186">
        <v>0.83</v>
      </c>
      <c r="P16" s="186">
        <v>0</v>
      </c>
      <c r="Q16" s="185">
        <v>0.51</v>
      </c>
    </row>
    <row r="17" spans="1:17" ht="22.5" customHeight="1" x14ac:dyDescent="0.25">
      <c r="A17" s="184">
        <v>14</v>
      </c>
      <c r="B17" s="193" t="s">
        <v>354</v>
      </c>
      <c r="C17" s="192">
        <v>6.399</v>
      </c>
      <c r="D17" s="191">
        <v>5</v>
      </c>
      <c r="E17" s="191">
        <v>3</v>
      </c>
      <c r="F17" s="191">
        <v>0</v>
      </c>
      <c r="G17" s="191">
        <v>13</v>
      </c>
      <c r="H17" s="190">
        <v>175</v>
      </c>
      <c r="I17" s="190">
        <v>0</v>
      </c>
      <c r="J17" s="190">
        <v>230</v>
      </c>
      <c r="K17" s="189">
        <v>0.3846</v>
      </c>
      <c r="L17" s="188">
        <v>0.6</v>
      </c>
      <c r="M17" s="188">
        <v>0</v>
      </c>
      <c r="N17" s="187">
        <v>27.35</v>
      </c>
      <c r="O17" s="186">
        <v>0.47</v>
      </c>
      <c r="P17" s="186">
        <v>0</v>
      </c>
      <c r="Q17" s="185">
        <v>0.5</v>
      </c>
    </row>
    <row r="18" spans="1:17" ht="22.5" customHeight="1" x14ac:dyDescent="0.25">
      <c r="A18" s="184">
        <v>15</v>
      </c>
      <c r="B18" s="193" t="s">
        <v>365</v>
      </c>
      <c r="C18" s="192">
        <v>7.0259999999999998</v>
      </c>
      <c r="D18" s="191">
        <v>8</v>
      </c>
      <c r="E18" s="191">
        <v>5</v>
      </c>
      <c r="F18" s="191">
        <v>0</v>
      </c>
      <c r="G18" s="191">
        <v>40</v>
      </c>
      <c r="H18" s="190">
        <v>325</v>
      </c>
      <c r="I18" s="190">
        <v>0</v>
      </c>
      <c r="J18" s="190">
        <v>425</v>
      </c>
      <c r="K18" s="189">
        <v>0.2</v>
      </c>
      <c r="L18" s="188">
        <v>0.625</v>
      </c>
      <c r="M18" s="188">
        <v>0</v>
      </c>
      <c r="N18" s="187">
        <v>46.26</v>
      </c>
      <c r="O18" s="186">
        <v>0.71</v>
      </c>
      <c r="P18" s="186">
        <v>0</v>
      </c>
      <c r="Q18" s="185">
        <v>0.49</v>
      </c>
    </row>
    <row r="19" spans="1:17" ht="22.5" customHeight="1" x14ac:dyDescent="0.25">
      <c r="A19" s="184">
        <v>16</v>
      </c>
      <c r="B19" s="193" t="s">
        <v>363</v>
      </c>
      <c r="C19" s="192">
        <v>6.9790000000000001</v>
      </c>
      <c r="D19" s="191">
        <v>7</v>
      </c>
      <c r="E19" s="191">
        <v>4</v>
      </c>
      <c r="F19" s="191">
        <v>0</v>
      </c>
      <c r="G19" s="191">
        <v>24</v>
      </c>
      <c r="H19" s="190">
        <v>225</v>
      </c>
      <c r="I19" s="190">
        <v>0</v>
      </c>
      <c r="J19" s="190">
        <v>305</v>
      </c>
      <c r="K19" s="189">
        <v>0.29170000000000001</v>
      </c>
      <c r="L19" s="188">
        <v>0.57140000000000002</v>
      </c>
      <c r="M19" s="188">
        <v>0</v>
      </c>
      <c r="N19" s="187">
        <v>32.24</v>
      </c>
      <c r="O19" s="186">
        <v>0.56999999999999995</v>
      </c>
      <c r="P19" s="186">
        <v>0</v>
      </c>
      <c r="Q19" s="185">
        <v>0.48</v>
      </c>
    </row>
    <row r="20" spans="1:17" ht="22.5" customHeight="1" x14ac:dyDescent="0.25">
      <c r="A20" s="184">
        <v>17</v>
      </c>
      <c r="B20" s="193" t="s">
        <v>384</v>
      </c>
      <c r="C20" s="192">
        <v>6.657</v>
      </c>
      <c r="D20" s="191">
        <v>3</v>
      </c>
      <c r="E20" s="191">
        <v>3</v>
      </c>
      <c r="F20" s="191">
        <v>0</v>
      </c>
      <c r="G20" s="191">
        <v>15</v>
      </c>
      <c r="H20" s="190">
        <v>195</v>
      </c>
      <c r="I20" s="190">
        <v>0</v>
      </c>
      <c r="J20" s="190">
        <v>195</v>
      </c>
      <c r="K20" s="189">
        <v>0.2</v>
      </c>
      <c r="L20" s="188">
        <v>1</v>
      </c>
      <c r="M20" s="188">
        <v>0</v>
      </c>
      <c r="N20" s="187">
        <v>29.29</v>
      </c>
      <c r="O20" s="186">
        <v>0.45</v>
      </c>
      <c r="P20" s="186">
        <v>0</v>
      </c>
      <c r="Q20" s="185">
        <v>0.48</v>
      </c>
    </row>
    <row r="21" spans="1:17" ht="22.5" customHeight="1" x14ac:dyDescent="0.25">
      <c r="A21" s="184">
        <v>18</v>
      </c>
      <c r="B21" s="193" t="s">
        <v>291</v>
      </c>
      <c r="C21" s="192">
        <v>6.5839999999999996</v>
      </c>
      <c r="D21" s="191">
        <v>3</v>
      </c>
      <c r="E21" s="191">
        <v>0</v>
      </c>
      <c r="F21" s="191">
        <v>1</v>
      </c>
      <c r="G21" s="191">
        <v>19</v>
      </c>
      <c r="H21" s="190">
        <v>0</v>
      </c>
      <c r="I21" s="190">
        <v>120</v>
      </c>
      <c r="J21" s="190">
        <v>170</v>
      </c>
      <c r="K21" s="189">
        <v>0.15790000000000001</v>
      </c>
      <c r="L21" s="188">
        <v>0.33329999999999999</v>
      </c>
      <c r="M21" s="188">
        <v>0.33329999999999999</v>
      </c>
      <c r="N21" s="187">
        <v>18.23</v>
      </c>
      <c r="O21" s="186">
        <v>0.15</v>
      </c>
      <c r="P21" s="186">
        <v>0.15</v>
      </c>
      <c r="Q21" s="185">
        <v>0.47</v>
      </c>
    </row>
    <row r="22" spans="1:17" ht="22.5" customHeight="1" x14ac:dyDescent="0.25">
      <c r="A22" s="184">
        <v>19</v>
      </c>
      <c r="B22" s="193" t="s">
        <v>385</v>
      </c>
      <c r="C22" s="192">
        <v>4.32</v>
      </c>
      <c r="D22" s="191">
        <v>2</v>
      </c>
      <c r="E22" s="191">
        <v>2</v>
      </c>
      <c r="F22" s="191">
        <v>0</v>
      </c>
      <c r="G22" s="191">
        <v>10</v>
      </c>
      <c r="H22" s="190">
        <v>75</v>
      </c>
      <c r="I22" s="190">
        <v>0</v>
      </c>
      <c r="J22" s="190">
        <v>75</v>
      </c>
      <c r="K22" s="189">
        <v>0.2</v>
      </c>
      <c r="L22" s="188">
        <v>1</v>
      </c>
      <c r="M22" s="188">
        <v>0</v>
      </c>
      <c r="N22" s="187">
        <v>17.36</v>
      </c>
      <c r="O22" s="186">
        <v>0.46</v>
      </c>
      <c r="P22" s="186">
        <v>0</v>
      </c>
      <c r="Q22" s="185">
        <v>0.46</v>
      </c>
    </row>
    <row r="23" spans="1:17" ht="22.5" customHeight="1" x14ac:dyDescent="0.25">
      <c r="A23" s="184">
        <v>20</v>
      </c>
      <c r="B23" s="193" t="s">
        <v>433</v>
      </c>
      <c r="C23" s="192">
        <v>6.8170000000000002</v>
      </c>
      <c r="D23" s="191">
        <v>3</v>
      </c>
      <c r="E23" s="191">
        <v>3</v>
      </c>
      <c r="F23" s="191">
        <v>0</v>
      </c>
      <c r="G23" s="191">
        <v>26</v>
      </c>
      <c r="H23" s="190">
        <v>375</v>
      </c>
      <c r="I23" s="190">
        <v>0</v>
      </c>
      <c r="J23" s="190">
        <v>375</v>
      </c>
      <c r="K23" s="189">
        <v>0.1154</v>
      </c>
      <c r="L23" s="188">
        <v>1</v>
      </c>
      <c r="M23" s="188">
        <v>0</v>
      </c>
      <c r="N23" s="187">
        <v>55.01</v>
      </c>
      <c r="O23" s="186">
        <v>0.44</v>
      </c>
      <c r="P23" s="186">
        <v>0</v>
      </c>
      <c r="Q23" s="185">
        <v>0.45</v>
      </c>
    </row>
    <row r="24" spans="1:17" ht="22.5" customHeight="1" x14ac:dyDescent="0.25">
      <c r="A24" s="184">
        <v>21</v>
      </c>
      <c r="B24" s="193" t="s">
        <v>353</v>
      </c>
      <c r="C24" s="192">
        <v>4.4050000000000002</v>
      </c>
      <c r="D24" s="191">
        <v>5</v>
      </c>
      <c r="E24" s="191">
        <v>2</v>
      </c>
      <c r="F24" s="191">
        <v>0</v>
      </c>
      <c r="G24" s="191">
        <v>12</v>
      </c>
      <c r="H24" s="190">
        <v>50</v>
      </c>
      <c r="I24" s="190">
        <v>0</v>
      </c>
      <c r="J24" s="190">
        <v>245</v>
      </c>
      <c r="K24" s="189">
        <v>0.41670000000000001</v>
      </c>
      <c r="L24" s="188">
        <v>0.4</v>
      </c>
      <c r="M24" s="188">
        <v>0</v>
      </c>
      <c r="N24" s="187">
        <v>11.35</v>
      </c>
      <c r="O24" s="186">
        <v>0.45</v>
      </c>
      <c r="P24" s="186">
        <v>0</v>
      </c>
      <c r="Q24" s="185">
        <v>0.44</v>
      </c>
    </row>
    <row r="25" spans="1:17" ht="22.5" customHeight="1" x14ac:dyDescent="0.25">
      <c r="A25" s="184">
        <v>22</v>
      </c>
      <c r="B25" s="193" t="s">
        <v>352</v>
      </c>
      <c r="C25" s="192">
        <v>5.468</v>
      </c>
      <c r="D25" s="191">
        <v>4</v>
      </c>
      <c r="E25" s="191">
        <v>2</v>
      </c>
      <c r="F25" s="191">
        <v>0</v>
      </c>
      <c r="G25" s="191">
        <v>11</v>
      </c>
      <c r="H25" s="190">
        <v>120</v>
      </c>
      <c r="I25" s="190">
        <v>0</v>
      </c>
      <c r="J25" s="190">
        <v>345</v>
      </c>
      <c r="K25" s="189">
        <v>0.36359999999999998</v>
      </c>
      <c r="L25" s="188">
        <v>0.5</v>
      </c>
      <c r="M25" s="188">
        <v>0</v>
      </c>
      <c r="N25" s="187">
        <v>21.95</v>
      </c>
      <c r="O25" s="186">
        <v>0.37</v>
      </c>
      <c r="P25" s="186">
        <v>0</v>
      </c>
      <c r="Q25" s="185">
        <v>0.43</v>
      </c>
    </row>
    <row r="26" spans="1:17" ht="22.5" customHeight="1" x14ac:dyDescent="0.25">
      <c r="A26" s="184">
        <v>23</v>
      </c>
      <c r="B26" s="193" t="s">
        <v>351</v>
      </c>
      <c r="C26" s="192">
        <v>2.706</v>
      </c>
      <c r="D26" s="191">
        <v>3</v>
      </c>
      <c r="E26" s="191">
        <v>1</v>
      </c>
      <c r="F26" s="191">
        <v>0</v>
      </c>
      <c r="G26" s="191">
        <v>9</v>
      </c>
      <c r="H26" s="190">
        <v>50</v>
      </c>
      <c r="I26" s="190">
        <v>0</v>
      </c>
      <c r="J26" s="190">
        <v>150</v>
      </c>
      <c r="K26" s="189">
        <v>0.33329999999999999</v>
      </c>
      <c r="L26" s="188">
        <v>0.33329999999999999</v>
      </c>
      <c r="M26" s="188">
        <v>0</v>
      </c>
      <c r="N26" s="187">
        <v>18.48</v>
      </c>
      <c r="O26" s="186">
        <v>0.37</v>
      </c>
      <c r="P26" s="186">
        <v>0</v>
      </c>
      <c r="Q26" s="185">
        <v>0.38</v>
      </c>
    </row>
    <row r="27" spans="1:17" ht="22.5" customHeight="1" x14ac:dyDescent="0.25">
      <c r="A27" s="184">
        <v>24</v>
      </c>
      <c r="B27" s="193" t="s">
        <v>315</v>
      </c>
      <c r="C27" s="192">
        <v>7.0410000000000004</v>
      </c>
      <c r="D27" s="191">
        <v>4</v>
      </c>
      <c r="E27" s="191">
        <v>3</v>
      </c>
      <c r="F27" s="191">
        <v>0</v>
      </c>
      <c r="G27" s="191">
        <v>24</v>
      </c>
      <c r="H27" s="190">
        <v>75</v>
      </c>
      <c r="I27" s="190">
        <v>0</v>
      </c>
      <c r="J27" s="190">
        <v>100</v>
      </c>
      <c r="K27" s="189">
        <v>0.16669999999999999</v>
      </c>
      <c r="L27" s="188">
        <v>0.75</v>
      </c>
      <c r="M27" s="188">
        <v>0</v>
      </c>
      <c r="N27" s="187">
        <v>10.65</v>
      </c>
      <c r="O27" s="186">
        <v>0.43</v>
      </c>
      <c r="P27" s="186">
        <v>0</v>
      </c>
      <c r="Q27" s="185">
        <v>0.38</v>
      </c>
    </row>
    <row r="28" spans="1:17" ht="22.5" customHeight="1" x14ac:dyDescent="0.25">
      <c r="A28" s="184">
        <v>25</v>
      </c>
      <c r="B28" s="193" t="s">
        <v>326</v>
      </c>
      <c r="C28" s="192">
        <v>7.0190000000000001</v>
      </c>
      <c r="D28" s="191">
        <v>2</v>
      </c>
      <c r="E28" s="191">
        <v>1</v>
      </c>
      <c r="F28" s="191">
        <v>0</v>
      </c>
      <c r="G28" s="191">
        <v>4</v>
      </c>
      <c r="H28" s="190">
        <v>50</v>
      </c>
      <c r="I28" s="190">
        <v>0</v>
      </c>
      <c r="J28" s="190">
        <v>150</v>
      </c>
      <c r="K28" s="189">
        <v>0.5</v>
      </c>
      <c r="L28" s="188">
        <v>0.5</v>
      </c>
      <c r="M28" s="188">
        <v>0</v>
      </c>
      <c r="N28" s="187">
        <v>7.12</v>
      </c>
      <c r="O28" s="186">
        <v>0.14000000000000001</v>
      </c>
      <c r="P28" s="186">
        <v>0</v>
      </c>
      <c r="Q28" s="185">
        <v>0.37</v>
      </c>
    </row>
    <row r="29" spans="1:17" ht="22.5" customHeight="1" x14ac:dyDescent="0.25">
      <c r="A29" s="184">
        <v>26</v>
      </c>
      <c r="B29" s="193" t="s">
        <v>403</v>
      </c>
      <c r="C29" s="192">
        <v>3.7090000000000001</v>
      </c>
      <c r="D29" s="191">
        <v>3</v>
      </c>
      <c r="E29" s="191">
        <v>1</v>
      </c>
      <c r="F29" s="191">
        <v>0</v>
      </c>
      <c r="G29" s="191">
        <v>10</v>
      </c>
      <c r="H29" s="190">
        <v>50</v>
      </c>
      <c r="I29" s="190">
        <v>0</v>
      </c>
      <c r="J29" s="190">
        <v>275</v>
      </c>
      <c r="K29" s="189">
        <v>0.3</v>
      </c>
      <c r="L29" s="188">
        <v>0.33329999999999999</v>
      </c>
      <c r="M29" s="188">
        <v>0</v>
      </c>
      <c r="N29" s="187">
        <v>13.48</v>
      </c>
      <c r="O29" s="186">
        <v>0.27</v>
      </c>
      <c r="P29" s="186">
        <v>0</v>
      </c>
      <c r="Q29" s="185">
        <v>0.35</v>
      </c>
    </row>
    <row r="30" spans="1:17" ht="22.5" customHeight="1" x14ac:dyDescent="0.25">
      <c r="A30" s="184">
        <v>27</v>
      </c>
      <c r="B30" s="193" t="s">
        <v>321</v>
      </c>
      <c r="C30" s="192">
        <v>5.6120000000000001</v>
      </c>
      <c r="D30" s="191">
        <v>3</v>
      </c>
      <c r="E30" s="191">
        <v>1</v>
      </c>
      <c r="F30" s="191">
        <v>0</v>
      </c>
      <c r="G30" s="191">
        <v>16</v>
      </c>
      <c r="H30" s="190">
        <v>300</v>
      </c>
      <c r="I30" s="190">
        <v>0</v>
      </c>
      <c r="J30" s="190">
        <v>375</v>
      </c>
      <c r="K30" s="189">
        <v>0.1875</v>
      </c>
      <c r="L30" s="188">
        <v>0.33329999999999999</v>
      </c>
      <c r="M30" s="188">
        <v>0</v>
      </c>
      <c r="N30" s="187">
        <v>53.46</v>
      </c>
      <c r="O30" s="186">
        <v>0.18</v>
      </c>
      <c r="P30" s="186">
        <v>0</v>
      </c>
      <c r="Q30" s="185">
        <v>0.35</v>
      </c>
    </row>
    <row r="31" spans="1:17" ht="22.5" customHeight="1" x14ac:dyDescent="0.25">
      <c r="A31" s="184">
        <v>28</v>
      </c>
      <c r="B31" s="193" t="s">
        <v>269</v>
      </c>
      <c r="C31" s="192">
        <v>6.5019999999999998</v>
      </c>
      <c r="D31" s="191">
        <v>4</v>
      </c>
      <c r="E31" s="191">
        <v>2</v>
      </c>
      <c r="F31" s="191">
        <v>0</v>
      </c>
      <c r="G31" s="191">
        <v>22</v>
      </c>
      <c r="H31" s="190">
        <v>75</v>
      </c>
      <c r="I31" s="190">
        <v>0</v>
      </c>
      <c r="J31" s="190">
        <v>125</v>
      </c>
      <c r="K31" s="189">
        <v>0.18179999999999999</v>
      </c>
      <c r="L31" s="188">
        <v>0.5</v>
      </c>
      <c r="M31" s="188">
        <v>0</v>
      </c>
      <c r="N31" s="187">
        <v>11.53</v>
      </c>
      <c r="O31" s="186">
        <v>0.31</v>
      </c>
      <c r="P31" s="186">
        <v>0</v>
      </c>
      <c r="Q31" s="185">
        <v>0.33</v>
      </c>
    </row>
    <row r="32" spans="1:17" ht="22.5" customHeight="1" x14ac:dyDescent="0.25">
      <c r="A32" s="184">
        <v>29</v>
      </c>
      <c r="B32" s="193" t="s">
        <v>389</v>
      </c>
      <c r="C32" s="192">
        <v>4.8289999999999997</v>
      </c>
      <c r="D32" s="191">
        <v>6</v>
      </c>
      <c r="E32" s="191">
        <v>1</v>
      </c>
      <c r="F32" s="191">
        <v>0</v>
      </c>
      <c r="G32" s="191">
        <v>23</v>
      </c>
      <c r="H32" s="190">
        <v>1</v>
      </c>
      <c r="I32" s="190">
        <v>0</v>
      </c>
      <c r="J32" s="190">
        <v>171</v>
      </c>
      <c r="K32" s="189">
        <v>0.26090000000000002</v>
      </c>
      <c r="L32" s="188">
        <v>0.16669999999999999</v>
      </c>
      <c r="M32" s="188">
        <v>0</v>
      </c>
      <c r="N32" s="187">
        <v>0.21</v>
      </c>
      <c r="O32" s="186">
        <v>0.21</v>
      </c>
      <c r="P32" s="186">
        <v>0</v>
      </c>
      <c r="Q32" s="185">
        <v>0.3</v>
      </c>
    </row>
    <row r="33" spans="1:17" ht="22.5" customHeight="1" x14ac:dyDescent="0.25">
      <c r="A33" s="184">
        <v>30</v>
      </c>
      <c r="B33" s="193" t="s">
        <v>350</v>
      </c>
      <c r="C33" s="192">
        <v>13.129</v>
      </c>
      <c r="D33" s="191">
        <v>3</v>
      </c>
      <c r="E33" s="191">
        <v>2</v>
      </c>
      <c r="F33" s="191">
        <v>0</v>
      </c>
      <c r="G33" s="191">
        <v>20</v>
      </c>
      <c r="H33" s="190">
        <v>55</v>
      </c>
      <c r="I33" s="190">
        <v>0</v>
      </c>
      <c r="J33" s="190">
        <v>155</v>
      </c>
      <c r="K33" s="189">
        <v>0.15</v>
      </c>
      <c r="L33" s="188">
        <v>0.66669999999999996</v>
      </c>
      <c r="M33" s="188">
        <v>0</v>
      </c>
      <c r="N33" s="187">
        <v>4.1900000000000004</v>
      </c>
      <c r="O33" s="186">
        <v>0.15</v>
      </c>
      <c r="P33" s="186">
        <v>0</v>
      </c>
      <c r="Q33" s="185">
        <v>0.28999999999999998</v>
      </c>
    </row>
    <row r="34" spans="1:17" ht="22.5" customHeight="1" x14ac:dyDescent="0.25">
      <c r="A34" s="184">
        <v>31</v>
      </c>
      <c r="B34" s="193" t="s">
        <v>420</v>
      </c>
      <c r="C34" s="192">
        <v>6.9219999999999997</v>
      </c>
      <c r="D34" s="191">
        <v>1</v>
      </c>
      <c r="E34" s="191">
        <v>1</v>
      </c>
      <c r="F34" s="191">
        <v>0</v>
      </c>
      <c r="G34" s="191">
        <v>16</v>
      </c>
      <c r="H34" s="190">
        <v>20</v>
      </c>
      <c r="I34" s="190">
        <v>0</v>
      </c>
      <c r="J34" s="190">
        <v>20</v>
      </c>
      <c r="K34" s="189">
        <v>6.25E-2</v>
      </c>
      <c r="L34" s="188">
        <v>1</v>
      </c>
      <c r="M34" s="188">
        <v>0</v>
      </c>
      <c r="N34" s="187">
        <v>2.89</v>
      </c>
      <c r="O34" s="186">
        <v>0.14000000000000001</v>
      </c>
      <c r="P34" s="186">
        <v>0</v>
      </c>
      <c r="Q34" s="185">
        <v>0.28999999999999998</v>
      </c>
    </row>
    <row r="35" spans="1:17" ht="22.5" customHeight="1" x14ac:dyDescent="0.25">
      <c r="A35" s="184">
        <v>32</v>
      </c>
      <c r="B35" s="193" t="s">
        <v>359</v>
      </c>
      <c r="C35" s="192">
        <v>4.3710000000000004</v>
      </c>
      <c r="D35" s="191">
        <v>3</v>
      </c>
      <c r="E35" s="191">
        <v>1</v>
      </c>
      <c r="F35" s="191">
        <v>0</v>
      </c>
      <c r="G35" s="191">
        <v>17</v>
      </c>
      <c r="H35" s="190">
        <v>25</v>
      </c>
      <c r="I35" s="190">
        <v>0</v>
      </c>
      <c r="J35" s="190">
        <v>95</v>
      </c>
      <c r="K35" s="189">
        <v>0.17649999999999999</v>
      </c>
      <c r="L35" s="188">
        <v>0.33329999999999999</v>
      </c>
      <c r="M35" s="188">
        <v>0</v>
      </c>
      <c r="N35" s="187">
        <v>5.72</v>
      </c>
      <c r="O35" s="186">
        <v>0.23</v>
      </c>
      <c r="P35" s="186">
        <v>0</v>
      </c>
      <c r="Q35" s="185">
        <v>0.27</v>
      </c>
    </row>
    <row r="36" spans="1:17" ht="22.5" customHeight="1" x14ac:dyDescent="0.25">
      <c r="A36" s="184">
        <v>33</v>
      </c>
      <c r="B36" s="193" t="s">
        <v>379</v>
      </c>
      <c r="C36" s="192">
        <v>6.218</v>
      </c>
      <c r="D36" s="191">
        <v>2</v>
      </c>
      <c r="E36" s="191">
        <v>1</v>
      </c>
      <c r="F36" s="191">
        <v>0</v>
      </c>
      <c r="G36" s="191">
        <v>12</v>
      </c>
      <c r="H36" s="190">
        <v>25</v>
      </c>
      <c r="I36" s="190">
        <v>0</v>
      </c>
      <c r="J36" s="190">
        <v>225</v>
      </c>
      <c r="K36" s="189">
        <v>0.16669999999999999</v>
      </c>
      <c r="L36" s="188">
        <v>0.5</v>
      </c>
      <c r="M36" s="188">
        <v>0</v>
      </c>
      <c r="N36" s="187">
        <v>4.0199999999999996</v>
      </c>
      <c r="O36" s="186">
        <v>0.16</v>
      </c>
      <c r="P36" s="186">
        <v>0</v>
      </c>
      <c r="Q36" s="185">
        <v>0.27</v>
      </c>
    </row>
    <row r="37" spans="1:17" ht="22.5" customHeight="1" x14ac:dyDescent="0.25">
      <c r="A37" s="184">
        <v>34</v>
      </c>
      <c r="B37" s="193" t="s">
        <v>397</v>
      </c>
      <c r="C37" s="192">
        <v>4.2430000000000003</v>
      </c>
      <c r="D37" s="191">
        <v>1</v>
      </c>
      <c r="E37" s="191">
        <v>0</v>
      </c>
      <c r="F37" s="191">
        <v>0</v>
      </c>
      <c r="G37" s="191">
        <v>1</v>
      </c>
      <c r="H37" s="190">
        <v>0</v>
      </c>
      <c r="I37" s="190">
        <v>0</v>
      </c>
      <c r="J37" s="190">
        <v>25</v>
      </c>
      <c r="K37" s="189">
        <v>1</v>
      </c>
      <c r="L37" s="188">
        <v>0</v>
      </c>
      <c r="M37" s="188">
        <v>0</v>
      </c>
      <c r="N37" s="187">
        <v>0</v>
      </c>
      <c r="O37" s="186">
        <v>0</v>
      </c>
      <c r="P37" s="186">
        <v>0</v>
      </c>
      <c r="Q37" s="185">
        <v>0.2</v>
      </c>
    </row>
    <row r="38" spans="1:17" ht="22.5" customHeight="1" x14ac:dyDescent="0.25">
      <c r="A38" s="184">
        <v>35</v>
      </c>
      <c r="B38" s="193" t="s">
        <v>408</v>
      </c>
      <c r="C38" s="192">
        <v>0.22900000000000001</v>
      </c>
      <c r="D38" s="191">
        <v>1</v>
      </c>
      <c r="E38" s="191">
        <v>0</v>
      </c>
      <c r="F38" s="191">
        <v>0</v>
      </c>
      <c r="G38" s="191">
        <v>1</v>
      </c>
      <c r="H38" s="190">
        <v>0</v>
      </c>
      <c r="I38" s="190">
        <v>0</v>
      </c>
      <c r="J38" s="190">
        <v>100</v>
      </c>
      <c r="K38" s="189">
        <v>1</v>
      </c>
      <c r="L38" s="188">
        <v>0</v>
      </c>
      <c r="M38" s="188">
        <v>0</v>
      </c>
      <c r="N38" s="187">
        <v>0</v>
      </c>
      <c r="O38" s="186">
        <v>0</v>
      </c>
      <c r="P38" s="186">
        <v>0</v>
      </c>
      <c r="Q38" s="185">
        <v>0.2</v>
      </c>
    </row>
    <row r="39" spans="1:17" ht="22.5" customHeight="1" x14ac:dyDescent="0.25">
      <c r="A39" s="184">
        <v>36</v>
      </c>
      <c r="B39" s="193" t="s">
        <v>355</v>
      </c>
      <c r="C39" s="192">
        <v>3.956</v>
      </c>
      <c r="D39" s="191">
        <v>2</v>
      </c>
      <c r="E39" s="191">
        <v>0</v>
      </c>
      <c r="F39" s="191">
        <v>0</v>
      </c>
      <c r="G39" s="191">
        <v>15</v>
      </c>
      <c r="H39" s="190">
        <v>0</v>
      </c>
      <c r="I39" s="190">
        <v>0</v>
      </c>
      <c r="J39" s="190">
        <v>50</v>
      </c>
      <c r="K39" s="189">
        <v>0.1333</v>
      </c>
      <c r="L39" s="188">
        <v>0</v>
      </c>
      <c r="M39" s="188">
        <v>0</v>
      </c>
      <c r="N39" s="187">
        <v>0</v>
      </c>
      <c r="O39" s="186">
        <v>0</v>
      </c>
      <c r="P39" s="186">
        <v>0</v>
      </c>
      <c r="Q39" s="185">
        <v>0.06</v>
      </c>
    </row>
    <row r="40" spans="1:17" ht="22.5" customHeight="1" x14ac:dyDescent="0.25">
      <c r="A40" s="184">
        <v>37</v>
      </c>
      <c r="B40" s="193" t="s">
        <v>366</v>
      </c>
      <c r="C40" s="192">
        <v>0.13700000000000001</v>
      </c>
      <c r="D40" s="191">
        <v>0</v>
      </c>
      <c r="E40" s="191">
        <v>0</v>
      </c>
      <c r="F40" s="191">
        <v>0</v>
      </c>
      <c r="G40" s="191">
        <v>0</v>
      </c>
      <c r="H40" s="190">
        <v>0</v>
      </c>
      <c r="I40" s="190">
        <v>0</v>
      </c>
      <c r="J40" s="190">
        <v>0</v>
      </c>
      <c r="K40" s="189">
        <v>0</v>
      </c>
      <c r="L40" s="188">
        <v>0</v>
      </c>
      <c r="M40" s="188">
        <v>0</v>
      </c>
      <c r="N40" s="187">
        <v>0</v>
      </c>
      <c r="O40" s="186">
        <v>0</v>
      </c>
      <c r="P40" s="186">
        <v>0</v>
      </c>
      <c r="Q40" s="185">
        <v>0.02</v>
      </c>
    </row>
    <row r="41" spans="1:17" ht="22.5" customHeight="1" x14ac:dyDescent="0.25">
      <c r="A41" s="184">
        <v>38</v>
      </c>
      <c r="B41" s="193" t="s">
        <v>392</v>
      </c>
      <c r="C41" s="192">
        <v>0.44500000000000001</v>
      </c>
      <c r="D41" s="191">
        <v>0</v>
      </c>
      <c r="E41" s="191">
        <v>0</v>
      </c>
      <c r="F41" s="191">
        <v>0</v>
      </c>
      <c r="G41" s="191">
        <v>0</v>
      </c>
      <c r="H41" s="190">
        <v>0</v>
      </c>
      <c r="I41" s="190">
        <v>0</v>
      </c>
      <c r="J41" s="190">
        <v>0</v>
      </c>
      <c r="K41" s="189">
        <v>0</v>
      </c>
      <c r="L41" s="188">
        <v>0</v>
      </c>
      <c r="M41" s="188">
        <v>0</v>
      </c>
      <c r="N41" s="187">
        <v>0</v>
      </c>
      <c r="O41" s="186">
        <v>0</v>
      </c>
      <c r="P41" s="186">
        <v>0</v>
      </c>
      <c r="Q41" s="185">
        <v>0.02</v>
      </c>
    </row>
    <row r="42" spans="1:17" ht="22.5" customHeight="1" x14ac:dyDescent="0.25">
      <c r="A42" s="184">
        <v>39</v>
      </c>
      <c r="B42" s="193" t="s">
        <v>295</v>
      </c>
      <c r="C42" s="192">
        <v>0.55800000000000005</v>
      </c>
      <c r="D42" s="191">
        <v>0</v>
      </c>
      <c r="E42" s="191">
        <v>0</v>
      </c>
      <c r="F42" s="191">
        <v>0</v>
      </c>
      <c r="G42" s="191">
        <v>0</v>
      </c>
      <c r="H42" s="190">
        <v>0</v>
      </c>
      <c r="I42" s="190">
        <v>0</v>
      </c>
      <c r="J42" s="190">
        <v>0</v>
      </c>
      <c r="K42" s="189">
        <v>0</v>
      </c>
      <c r="L42" s="188">
        <v>0</v>
      </c>
      <c r="M42" s="188">
        <v>0</v>
      </c>
      <c r="N42" s="187">
        <v>0</v>
      </c>
      <c r="O42" s="186">
        <v>0</v>
      </c>
      <c r="P42" s="186">
        <v>0</v>
      </c>
      <c r="Q42" s="185">
        <v>0.02</v>
      </c>
    </row>
    <row r="43" spans="1:17" ht="22.5" customHeight="1" x14ac:dyDescent="0.25">
      <c r="A43" s="184">
        <v>40</v>
      </c>
      <c r="B43" s="193" t="s">
        <v>275</v>
      </c>
      <c r="C43" s="192">
        <v>0.121</v>
      </c>
      <c r="D43" s="191">
        <v>0</v>
      </c>
      <c r="E43" s="191">
        <v>0</v>
      </c>
      <c r="F43" s="191">
        <v>0</v>
      </c>
      <c r="G43" s="191">
        <v>0</v>
      </c>
      <c r="H43" s="190">
        <v>0</v>
      </c>
      <c r="I43" s="190">
        <v>0</v>
      </c>
      <c r="J43" s="190">
        <v>0</v>
      </c>
      <c r="K43" s="189">
        <v>0</v>
      </c>
      <c r="L43" s="188">
        <v>0</v>
      </c>
      <c r="M43" s="188">
        <v>0</v>
      </c>
      <c r="N43" s="187">
        <v>0</v>
      </c>
      <c r="O43" s="186">
        <v>0</v>
      </c>
      <c r="P43" s="186">
        <v>0</v>
      </c>
      <c r="Q43" s="185">
        <v>0.02</v>
      </c>
    </row>
    <row r="44" spans="1:17" ht="22.5" customHeight="1" x14ac:dyDescent="0.25">
      <c r="A44" s="184">
        <v>41</v>
      </c>
      <c r="B44" s="193" t="s">
        <v>332</v>
      </c>
      <c r="C44" s="192">
        <v>3.3330000000000002</v>
      </c>
      <c r="D44" s="191">
        <v>0</v>
      </c>
      <c r="E44" s="191">
        <v>0</v>
      </c>
      <c r="F44" s="191">
        <v>0</v>
      </c>
      <c r="G44" s="191">
        <v>10</v>
      </c>
      <c r="H44" s="190">
        <v>0</v>
      </c>
      <c r="I44" s="190">
        <v>0</v>
      </c>
      <c r="J44" s="190">
        <v>0</v>
      </c>
      <c r="K44" s="189">
        <v>0</v>
      </c>
      <c r="L44" s="188">
        <v>0</v>
      </c>
      <c r="M44" s="188">
        <v>0</v>
      </c>
      <c r="N44" s="187">
        <v>0</v>
      </c>
      <c r="O44" s="186">
        <v>0</v>
      </c>
      <c r="P44" s="186">
        <v>0</v>
      </c>
      <c r="Q44" s="185">
        <v>0.02</v>
      </c>
    </row>
    <row r="45" spans="1:17" ht="22.5" customHeight="1" x14ac:dyDescent="0.25">
      <c r="A45" s="184">
        <v>42</v>
      </c>
      <c r="B45" s="193" t="s">
        <v>303</v>
      </c>
      <c r="C45" s="192">
        <v>2.5000000000000001E-2</v>
      </c>
      <c r="D45" s="191">
        <v>0</v>
      </c>
      <c r="E45" s="191">
        <v>0</v>
      </c>
      <c r="F45" s="191">
        <v>0</v>
      </c>
      <c r="G45" s="191">
        <v>0</v>
      </c>
      <c r="H45" s="190">
        <v>0</v>
      </c>
      <c r="I45" s="190">
        <v>0</v>
      </c>
      <c r="J45" s="190">
        <v>0</v>
      </c>
      <c r="K45" s="189">
        <v>0</v>
      </c>
      <c r="L45" s="188">
        <v>0</v>
      </c>
      <c r="M45" s="188">
        <v>0</v>
      </c>
      <c r="N45" s="187">
        <v>0</v>
      </c>
      <c r="O45" s="186">
        <v>0</v>
      </c>
      <c r="P45" s="186">
        <v>0</v>
      </c>
      <c r="Q45" s="185">
        <v>0.02</v>
      </c>
    </row>
    <row r="46" spans="1:17" ht="22.5" customHeight="1" x14ac:dyDescent="0.25">
      <c r="A46" s="184">
        <v>43</v>
      </c>
      <c r="B46" s="193" t="s">
        <v>282</v>
      </c>
      <c r="C46" s="192">
        <v>1.5660000000000001</v>
      </c>
      <c r="D46" s="191">
        <v>0</v>
      </c>
      <c r="E46" s="191">
        <v>0</v>
      </c>
      <c r="F46" s="191">
        <v>0</v>
      </c>
      <c r="G46" s="191">
        <v>7</v>
      </c>
      <c r="H46" s="190">
        <v>0</v>
      </c>
      <c r="I46" s="190">
        <v>0</v>
      </c>
      <c r="J46" s="190">
        <v>0</v>
      </c>
      <c r="K46" s="189">
        <v>0</v>
      </c>
      <c r="L46" s="188">
        <v>0</v>
      </c>
      <c r="M46" s="188">
        <v>0</v>
      </c>
      <c r="N46" s="187">
        <v>0</v>
      </c>
      <c r="O46" s="186">
        <v>0</v>
      </c>
      <c r="P46" s="186">
        <v>0</v>
      </c>
      <c r="Q46" s="185">
        <v>0.02</v>
      </c>
    </row>
    <row r="47" spans="1:17" ht="22.5" customHeight="1" x14ac:dyDescent="0.25">
      <c r="A47" s="184" t="s">
        <v>171</v>
      </c>
      <c r="B47" s="183" t="s">
        <v>3</v>
      </c>
      <c r="C47" s="182">
        <v>213.91900000000001</v>
      </c>
      <c r="D47" s="181">
        <v>145</v>
      </c>
      <c r="E47" s="181">
        <v>89</v>
      </c>
      <c r="F47" s="181">
        <v>6</v>
      </c>
      <c r="G47" s="181">
        <v>615</v>
      </c>
      <c r="H47" s="180">
        <v>7811</v>
      </c>
      <c r="I47" s="180">
        <v>1240</v>
      </c>
      <c r="J47" s="180">
        <v>12096</v>
      </c>
      <c r="K47" s="179">
        <v>0.23580000000000001</v>
      </c>
      <c r="L47" s="178">
        <v>0.6552</v>
      </c>
      <c r="M47" s="178">
        <v>0.1071</v>
      </c>
      <c r="N47" s="177">
        <v>42.31</v>
      </c>
      <c r="O47" s="176">
        <v>0.44</v>
      </c>
      <c r="P47" s="176">
        <v>0.03</v>
      </c>
      <c r="Q47" s="175" t="s">
        <v>171</v>
      </c>
    </row>
  </sheetData>
  <sortState ref="B3:R45">
    <sortCondition descending="1" ref="Q3"/>
  </sortState>
  <mergeCells count="3">
    <mergeCell ref="F1:L1"/>
    <mergeCell ref="A2:A3"/>
    <mergeCell ref="B2:B3"/>
  </mergeCells>
  <pageMargins left="0.25" right="0.25" top="0.25" bottom="0.5" header="0.25" footer="0.25"/>
  <pageSetup orientation="portrait" cellComments="atEnd"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0000"/>
  </sheetPr>
  <dimension ref="A1:Q48"/>
  <sheetViews>
    <sheetView topLeftCell="A31" workbookViewId="0">
      <selection sqref="A1:Q22"/>
    </sheetView>
  </sheetViews>
  <sheetFormatPr defaultRowHeight="22.5" customHeight="1" x14ac:dyDescent="0.25"/>
  <cols>
    <col min="1" max="1" width="6" style="93" bestFit="1" customWidth="1"/>
    <col min="2" max="2" width="22.42578125" style="94" bestFit="1" customWidth="1"/>
    <col min="3" max="3" width="8.28515625" style="93" bestFit="1" customWidth="1"/>
    <col min="4" max="4" width="6" style="93" bestFit="1" customWidth="1"/>
    <col min="5" max="5" width="10.28515625" style="93" bestFit="1" customWidth="1"/>
    <col min="6" max="6" width="10.42578125" style="93" bestFit="1" customWidth="1"/>
    <col min="7" max="7" width="8.42578125" style="93" bestFit="1" customWidth="1"/>
    <col min="8" max="8" width="12" style="93" bestFit="1" customWidth="1"/>
    <col min="9" max="9" width="10.42578125" style="93" bestFit="1" customWidth="1"/>
    <col min="10" max="10" width="12" style="93" bestFit="1" customWidth="1"/>
    <col min="11" max="11" width="13.42578125" style="93" bestFit="1" customWidth="1"/>
    <col min="12" max="12" width="11.42578125" style="93" bestFit="1" customWidth="1"/>
    <col min="13" max="13" width="10.42578125" style="93" bestFit="1" customWidth="1"/>
    <col min="14" max="14" width="11.85546875" style="93" bestFit="1" customWidth="1"/>
    <col min="15" max="15" width="11.42578125" style="93" bestFit="1" customWidth="1"/>
    <col min="16" max="16" width="10.42578125" style="93" bestFit="1" customWidth="1"/>
    <col min="17" max="17" width="12.28515625" style="93" bestFit="1" customWidth="1"/>
    <col min="18" max="16384" width="9.140625" style="93"/>
  </cols>
  <sheetData>
    <row r="1" spans="1:17" ht="22.5" customHeight="1" x14ac:dyDescent="0.25">
      <c r="F1" s="610"/>
      <c r="G1" s="610"/>
      <c r="H1" s="610"/>
      <c r="I1" s="610"/>
      <c r="J1" s="610"/>
      <c r="K1" s="610"/>
      <c r="L1" s="610"/>
    </row>
    <row r="2" spans="1:17" ht="22.5" customHeight="1" x14ac:dyDescent="0.25">
      <c r="A2" s="606" t="s">
        <v>172</v>
      </c>
      <c r="B2" s="608" t="s">
        <v>7</v>
      </c>
      <c r="C2" s="199" t="s">
        <v>173</v>
      </c>
      <c r="D2" s="198" t="s">
        <v>3</v>
      </c>
      <c r="E2" s="198" t="s">
        <v>176</v>
      </c>
      <c r="F2" s="198" t="s">
        <v>166</v>
      </c>
      <c r="G2" s="198" t="s">
        <v>8</v>
      </c>
      <c r="H2" s="198" t="s">
        <v>176</v>
      </c>
      <c r="I2" s="198" t="s">
        <v>166</v>
      </c>
      <c r="J2" s="198" t="s">
        <v>3</v>
      </c>
      <c r="K2" s="198" t="s">
        <v>21</v>
      </c>
      <c r="L2" s="198" t="s">
        <v>164</v>
      </c>
      <c r="M2" s="198" t="s">
        <v>166</v>
      </c>
      <c r="N2" s="198" t="s">
        <v>164</v>
      </c>
      <c r="O2" s="198" t="s">
        <v>164</v>
      </c>
      <c r="P2" s="198" t="s">
        <v>166</v>
      </c>
      <c r="Q2" s="197" t="s">
        <v>169</v>
      </c>
    </row>
    <row r="3" spans="1:17" ht="22.5" customHeight="1" x14ac:dyDescent="0.25">
      <c r="A3" s="607"/>
      <c r="B3" s="609"/>
      <c r="C3" s="196" t="s">
        <v>174</v>
      </c>
      <c r="D3" s="195" t="s">
        <v>175</v>
      </c>
      <c r="E3" s="195" t="s">
        <v>175</v>
      </c>
      <c r="F3" s="195" t="s">
        <v>175</v>
      </c>
      <c r="G3" s="195" t="s">
        <v>12</v>
      </c>
      <c r="H3" s="195" t="s">
        <v>9</v>
      </c>
      <c r="I3" s="195" t="s">
        <v>9</v>
      </c>
      <c r="J3" s="195" t="s">
        <v>9</v>
      </c>
      <c r="K3" s="195" t="s">
        <v>13</v>
      </c>
      <c r="L3" s="195" t="s">
        <v>165</v>
      </c>
      <c r="M3" s="195" t="s">
        <v>165</v>
      </c>
      <c r="N3" s="195" t="s">
        <v>167</v>
      </c>
      <c r="O3" s="195" t="s">
        <v>168</v>
      </c>
      <c r="P3" s="195" t="s">
        <v>168</v>
      </c>
      <c r="Q3" s="194" t="s">
        <v>170</v>
      </c>
    </row>
    <row r="4" spans="1:17" ht="22.5" customHeight="1" x14ac:dyDescent="0.25">
      <c r="A4" s="184">
        <v>1</v>
      </c>
      <c r="B4" s="193" t="s">
        <v>392</v>
      </c>
      <c r="C4" s="192">
        <v>1.5760000000000001</v>
      </c>
      <c r="D4" s="191">
        <v>3</v>
      </c>
      <c r="E4" s="191">
        <v>2</v>
      </c>
      <c r="F4" s="191">
        <v>1</v>
      </c>
      <c r="G4" s="191">
        <v>4</v>
      </c>
      <c r="H4" s="190">
        <v>35</v>
      </c>
      <c r="I4" s="190">
        <v>120</v>
      </c>
      <c r="J4" s="190">
        <v>155</v>
      </c>
      <c r="K4" s="189">
        <v>0.75</v>
      </c>
      <c r="L4" s="188">
        <v>1</v>
      </c>
      <c r="M4" s="188">
        <v>1</v>
      </c>
      <c r="N4" s="187">
        <v>98.35</v>
      </c>
      <c r="O4" s="186">
        <v>1.9</v>
      </c>
      <c r="P4" s="186">
        <v>0.63</v>
      </c>
      <c r="Q4" s="185">
        <v>0.86</v>
      </c>
    </row>
    <row r="5" spans="1:17" ht="22.5" customHeight="1" x14ac:dyDescent="0.25">
      <c r="A5" s="184">
        <v>2</v>
      </c>
      <c r="B5" s="193" t="s">
        <v>282</v>
      </c>
      <c r="C5" s="192">
        <v>1.806</v>
      </c>
      <c r="D5" s="191">
        <v>1</v>
      </c>
      <c r="E5" s="191">
        <v>0</v>
      </c>
      <c r="F5" s="191">
        <v>1</v>
      </c>
      <c r="G5" s="191">
        <v>5</v>
      </c>
      <c r="H5" s="190">
        <v>0</v>
      </c>
      <c r="I5" s="190">
        <v>120</v>
      </c>
      <c r="J5" s="190">
        <v>120</v>
      </c>
      <c r="K5" s="189">
        <v>0.2</v>
      </c>
      <c r="L5" s="188">
        <v>1</v>
      </c>
      <c r="M5" s="188">
        <v>1</v>
      </c>
      <c r="N5" s="187">
        <v>66.45</v>
      </c>
      <c r="O5" s="186">
        <v>0.55000000000000004</v>
      </c>
      <c r="P5" s="186">
        <v>0.55000000000000004</v>
      </c>
      <c r="Q5" s="185">
        <v>0.76</v>
      </c>
    </row>
    <row r="6" spans="1:17" ht="22.5" customHeight="1" x14ac:dyDescent="0.25">
      <c r="A6" s="184">
        <v>3</v>
      </c>
      <c r="B6" s="193" t="s">
        <v>365</v>
      </c>
      <c r="C6" s="192">
        <v>5.9109999999999996</v>
      </c>
      <c r="D6" s="191">
        <v>5</v>
      </c>
      <c r="E6" s="191">
        <v>4</v>
      </c>
      <c r="F6" s="191">
        <v>1</v>
      </c>
      <c r="G6" s="191">
        <v>36</v>
      </c>
      <c r="H6" s="190">
        <v>140</v>
      </c>
      <c r="I6" s="190">
        <v>50</v>
      </c>
      <c r="J6" s="190">
        <v>190</v>
      </c>
      <c r="K6" s="189">
        <v>0.1389</v>
      </c>
      <c r="L6" s="188">
        <v>1</v>
      </c>
      <c r="M6" s="188">
        <v>1</v>
      </c>
      <c r="N6" s="187">
        <v>32.14</v>
      </c>
      <c r="O6" s="186">
        <v>0.85</v>
      </c>
      <c r="P6" s="186">
        <v>0.17</v>
      </c>
      <c r="Q6" s="185">
        <v>0.74</v>
      </c>
    </row>
    <row r="7" spans="1:17" ht="22.5" customHeight="1" x14ac:dyDescent="0.25">
      <c r="A7" s="184">
        <v>4</v>
      </c>
      <c r="B7" s="193" t="s">
        <v>384</v>
      </c>
      <c r="C7" s="192">
        <v>2.9969999999999999</v>
      </c>
      <c r="D7" s="191">
        <v>2</v>
      </c>
      <c r="E7" s="191">
        <v>1</v>
      </c>
      <c r="F7" s="191">
        <v>1</v>
      </c>
      <c r="G7" s="191">
        <v>11</v>
      </c>
      <c r="H7" s="190">
        <v>5</v>
      </c>
      <c r="I7" s="190">
        <v>60</v>
      </c>
      <c r="J7" s="190">
        <v>65</v>
      </c>
      <c r="K7" s="189">
        <v>0.18179999999999999</v>
      </c>
      <c r="L7" s="188">
        <v>1</v>
      </c>
      <c r="M7" s="188">
        <v>1</v>
      </c>
      <c r="N7" s="187">
        <v>21.69</v>
      </c>
      <c r="O7" s="186">
        <v>0.67</v>
      </c>
      <c r="P7" s="186">
        <v>0.33</v>
      </c>
      <c r="Q7" s="185">
        <v>0.73</v>
      </c>
    </row>
    <row r="8" spans="1:17" ht="22.5" customHeight="1" x14ac:dyDescent="0.25">
      <c r="A8" s="184">
        <v>5</v>
      </c>
      <c r="B8" s="193" t="s">
        <v>314</v>
      </c>
      <c r="C8" s="192">
        <v>5.0469999999999997</v>
      </c>
      <c r="D8" s="191">
        <v>4</v>
      </c>
      <c r="E8" s="191">
        <v>2</v>
      </c>
      <c r="F8" s="191">
        <v>1</v>
      </c>
      <c r="G8" s="191">
        <v>24</v>
      </c>
      <c r="H8" s="190">
        <v>25</v>
      </c>
      <c r="I8" s="190">
        <v>120</v>
      </c>
      <c r="J8" s="190">
        <v>205</v>
      </c>
      <c r="K8" s="189">
        <v>0.16669999999999999</v>
      </c>
      <c r="L8" s="188">
        <v>0.75</v>
      </c>
      <c r="M8" s="188">
        <v>0.5</v>
      </c>
      <c r="N8" s="187">
        <v>28.73</v>
      </c>
      <c r="O8" s="186">
        <v>0.59</v>
      </c>
      <c r="P8" s="186">
        <v>0.2</v>
      </c>
      <c r="Q8" s="185">
        <v>0.69</v>
      </c>
    </row>
    <row r="9" spans="1:17" ht="22.5" customHeight="1" x14ac:dyDescent="0.25">
      <c r="A9" s="184">
        <v>6</v>
      </c>
      <c r="B9" s="193" t="s">
        <v>295</v>
      </c>
      <c r="C9" s="192">
        <v>0.57799999999999996</v>
      </c>
      <c r="D9" s="191">
        <v>1</v>
      </c>
      <c r="E9" s="191">
        <v>1</v>
      </c>
      <c r="F9" s="191">
        <v>0</v>
      </c>
      <c r="G9" s="191">
        <v>2</v>
      </c>
      <c r="H9" s="190">
        <v>50</v>
      </c>
      <c r="I9" s="190">
        <v>0</v>
      </c>
      <c r="J9" s="190">
        <v>50</v>
      </c>
      <c r="K9" s="189">
        <v>0.5</v>
      </c>
      <c r="L9" s="188">
        <v>1</v>
      </c>
      <c r="M9" s="188">
        <v>0</v>
      </c>
      <c r="N9" s="187">
        <v>86.51</v>
      </c>
      <c r="O9" s="186">
        <v>1.73</v>
      </c>
      <c r="P9" s="186">
        <v>0</v>
      </c>
      <c r="Q9" s="185">
        <v>0.63</v>
      </c>
    </row>
    <row r="10" spans="1:17" ht="22.5" customHeight="1" x14ac:dyDescent="0.25">
      <c r="A10" s="184">
        <v>7</v>
      </c>
      <c r="B10" s="193" t="s">
        <v>405</v>
      </c>
      <c r="C10" s="192">
        <v>4.1130000000000004</v>
      </c>
      <c r="D10" s="191">
        <v>5</v>
      </c>
      <c r="E10" s="191">
        <v>4</v>
      </c>
      <c r="F10" s="191">
        <v>0</v>
      </c>
      <c r="G10" s="191">
        <v>18</v>
      </c>
      <c r="H10" s="190">
        <v>350</v>
      </c>
      <c r="I10" s="190">
        <v>0</v>
      </c>
      <c r="J10" s="190">
        <v>550</v>
      </c>
      <c r="K10" s="189">
        <v>0.27779999999999999</v>
      </c>
      <c r="L10" s="188">
        <v>0.8</v>
      </c>
      <c r="M10" s="188">
        <v>0</v>
      </c>
      <c r="N10" s="187">
        <v>85.1</v>
      </c>
      <c r="O10" s="186">
        <v>0.97</v>
      </c>
      <c r="P10" s="186">
        <v>0</v>
      </c>
      <c r="Q10" s="185">
        <v>0.6</v>
      </c>
    </row>
    <row r="11" spans="1:17" ht="22.5" customHeight="1" x14ac:dyDescent="0.25">
      <c r="A11" s="184">
        <v>8</v>
      </c>
      <c r="B11" s="193" t="s">
        <v>357</v>
      </c>
      <c r="C11" s="192">
        <v>5.83</v>
      </c>
      <c r="D11" s="191">
        <v>6</v>
      </c>
      <c r="E11" s="191">
        <v>5</v>
      </c>
      <c r="F11" s="191">
        <v>0</v>
      </c>
      <c r="G11" s="191">
        <v>19</v>
      </c>
      <c r="H11" s="190">
        <v>185</v>
      </c>
      <c r="I11" s="190">
        <v>0</v>
      </c>
      <c r="J11" s="190">
        <v>190</v>
      </c>
      <c r="K11" s="189">
        <v>0.31580000000000003</v>
      </c>
      <c r="L11" s="188">
        <v>0.83330000000000004</v>
      </c>
      <c r="M11" s="188">
        <v>0</v>
      </c>
      <c r="N11" s="187">
        <v>31.73</v>
      </c>
      <c r="O11" s="186">
        <v>0.86</v>
      </c>
      <c r="P11" s="186">
        <v>0</v>
      </c>
      <c r="Q11" s="185">
        <v>0.57999999999999996</v>
      </c>
    </row>
    <row r="12" spans="1:17" ht="22.5" customHeight="1" x14ac:dyDescent="0.25">
      <c r="A12" s="184">
        <v>9</v>
      </c>
      <c r="B12" s="193" t="s">
        <v>281</v>
      </c>
      <c r="C12" s="192">
        <v>5.6340000000000003</v>
      </c>
      <c r="D12" s="191">
        <v>4</v>
      </c>
      <c r="E12" s="191">
        <v>4</v>
      </c>
      <c r="F12" s="191">
        <v>0</v>
      </c>
      <c r="G12" s="191">
        <v>22</v>
      </c>
      <c r="H12" s="190">
        <v>250</v>
      </c>
      <c r="I12" s="190">
        <v>0</v>
      </c>
      <c r="J12" s="190">
        <v>250</v>
      </c>
      <c r="K12" s="189">
        <v>0.18179999999999999</v>
      </c>
      <c r="L12" s="188">
        <v>1</v>
      </c>
      <c r="M12" s="188">
        <v>0</v>
      </c>
      <c r="N12" s="187">
        <v>44.37</v>
      </c>
      <c r="O12" s="186">
        <v>0.71</v>
      </c>
      <c r="P12" s="186">
        <v>0</v>
      </c>
      <c r="Q12" s="185">
        <v>0.56000000000000005</v>
      </c>
    </row>
    <row r="13" spans="1:17" ht="22.5" customHeight="1" x14ac:dyDescent="0.25">
      <c r="A13" s="184">
        <v>10</v>
      </c>
      <c r="B13" s="193" t="s">
        <v>290</v>
      </c>
      <c r="C13" s="192">
        <v>2.54</v>
      </c>
      <c r="D13" s="191">
        <v>2</v>
      </c>
      <c r="E13" s="191">
        <v>2</v>
      </c>
      <c r="F13" s="191">
        <v>0</v>
      </c>
      <c r="G13" s="191">
        <v>8</v>
      </c>
      <c r="H13" s="190">
        <v>80</v>
      </c>
      <c r="I13" s="190">
        <v>0</v>
      </c>
      <c r="J13" s="190">
        <v>80</v>
      </c>
      <c r="K13" s="189">
        <v>0.25</v>
      </c>
      <c r="L13" s="188">
        <v>1</v>
      </c>
      <c r="M13" s="188">
        <v>0</v>
      </c>
      <c r="N13" s="187">
        <v>31.5</v>
      </c>
      <c r="O13" s="186">
        <v>0.79</v>
      </c>
      <c r="P13" s="186">
        <v>0</v>
      </c>
      <c r="Q13" s="185">
        <v>0.56000000000000005</v>
      </c>
    </row>
    <row r="14" spans="1:17" ht="22.5" customHeight="1" x14ac:dyDescent="0.25">
      <c r="A14" s="184">
        <v>11</v>
      </c>
      <c r="B14" s="193" t="s">
        <v>351</v>
      </c>
      <c r="C14" s="192">
        <v>1.7809999999999999</v>
      </c>
      <c r="D14" s="191">
        <v>2</v>
      </c>
      <c r="E14" s="191">
        <v>2</v>
      </c>
      <c r="F14" s="191">
        <v>0</v>
      </c>
      <c r="G14" s="191">
        <v>12</v>
      </c>
      <c r="H14" s="190">
        <v>45</v>
      </c>
      <c r="I14" s="190">
        <v>0</v>
      </c>
      <c r="J14" s="190">
        <v>45</v>
      </c>
      <c r="K14" s="189">
        <v>0.16669999999999999</v>
      </c>
      <c r="L14" s="188">
        <v>1</v>
      </c>
      <c r="M14" s="188">
        <v>0</v>
      </c>
      <c r="N14" s="187">
        <v>25.27</v>
      </c>
      <c r="O14" s="186">
        <v>1.1200000000000001</v>
      </c>
      <c r="P14" s="186">
        <v>0</v>
      </c>
      <c r="Q14" s="185">
        <v>0.54</v>
      </c>
    </row>
    <row r="15" spans="1:17" ht="22.5" customHeight="1" x14ac:dyDescent="0.25">
      <c r="A15" s="184">
        <v>12</v>
      </c>
      <c r="B15" s="193" t="s">
        <v>330</v>
      </c>
      <c r="C15" s="192">
        <v>4.4130000000000003</v>
      </c>
      <c r="D15" s="191">
        <v>3</v>
      </c>
      <c r="E15" s="191">
        <v>2</v>
      </c>
      <c r="F15" s="191">
        <v>0</v>
      </c>
      <c r="G15" s="191">
        <v>5</v>
      </c>
      <c r="H15" s="190">
        <v>150</v>
      </c>
      <c r="I15" s="190">
        <v>0</v>
      </c>
      <c r="J15" s="190">
        <v>200</v>
      </c>
      <c r="K15" s="189">
        <v>0.6</v>
      </c>
      <c r="L15" s="188">
        <v>0.66669999999999996</v>
      </c>
      <c r="M15" s="188">
        <v>0</v>
      </c>
      <c r="N15" s="187">
        <v>33.99</v>
      </c>
      <c r="O15" s="186">
        <v>0.45</v>
      </c>
      <c r="P15" s="186">
        <v>0</v>
      </c>
      <c r="Q15" s="185">
        <v>0.51</v>
      </c>
    </row>
    <row r="16" spans="1:17" ht="22.5" customHeight="1" x14ac:dyDescent="0.25">
      <c r="A16" s="184">
        <v>13</v>
      </c>
      <c r="B16" s="193" t="s">
        <v>435</v>
      </c>
      <c r="C16" s="192">
        <v>5.4009999999999998</v>
      </c>
      <c r="D16" s="191">
        <v>4</v>
      </c>
      <c r="E16" s="191">
        <v>3</v>
      </c>
      <c r="F16" s="191">
        <v>0</v>
      </c>
      <c r="G16" s="191">
        <v>31</v>
      </c>
      <c r="H16" s="190">
        <v>550</v>
      </c>
      <c r="I16" s="190">
        <v>0</v>
      </c>
      <c r="J16" s="190">
        <v>575</v>
      </c>
      <c r="K16" s="189">
        <v>0.129</v>
      </c>
      <c r="L16" s="188">
        <v>0.75</v>
      </c>
      <c r="M16" s="188">
        <v>0</v>
      </c>
      <c r="N16" s="187">
        <v>101.83</v>
      </c>
      <c r="O16" s="186">
        <v>0.56000000000000005</v>
      </c>
      <c r="P16" s="186">
        <v>0</v>
      </c>
      <c r="Q16" s="185">
        <v>0.49</v>
      </c>
    </row>
    <row r="17" spans="1:17" ht="22.5" customHeight="1" x14ac:dyDescent="0.25">
      <c r="A17" s="184">
        <v>14</v>
      </c>
      <c r="B17" s="193" t="s">
        <v>352</v>
      </c>
      <c r="C17" s="192">
        <v>5.7949999999999999</v>
      </c>
      <c r="D17" s="191">
        <v>4</v>
      </c>
      <c r="E17" s="191">
        <v>3</v>
      </c>
      <c r="F17" s="191">
        <v>0</v>
      </c>
      <c r="G17" s="191">
        <v>23</v>
      </c>
      <c r="H17" s="190">
        <v>170</v>
      </c>
      <c r="I17" s="190">
        <v>0</v>
      </c>
      <c r="J17" s="190">
        <v>190</v>
      </c>
      <c r="K17" s="189">
        <v>0.1739</v>
      </c>
      <c r="L17" s="188">
        <v>0.75</v>
      </c>
      <c r="M17" s="188">
        <v>0</v>
      </c>
      <c r="N17" s="187">
        <v>29.34</v>
      </c>
      <c r="O17" s="186">
        <v>0.52</v>
      </c>
      <c r="P17" s="186">
        <v>0</v>
      </c>
      <c r="Q17" s="185">
        <v>0.48</v>
      </c>
    </row>
    <row r="18" spans="1:17" ht="22.5" customHeight="1" x14ac:dyDescent="0.25">
      <c r="A18" s="184">
        <v>15</v>
      </c>
      <c r="B18" s="193" t="s">
        <v>321</v>
      </c>
      <c r="C18" s="192">
        <v>3.254</v>
      </c>
      <c r="D18" s="191">
        <v>2</v>
      </c>
      <c r="E18" s="191">
        <v>2</v>
      </c>
      <c r="F18" s="191">
        <v>0</v>
      </c>
      <c r="G18" s="191">
        <v>15</v>
      </c>
      <c r="H18" s="190">
        <v>60</v>
      </c>
      <c r="I18" s="190">
        <v>0</v>
      </c>
      <c r="J18" s="190">
        <v>60</v>
      </c>
      <c r="K18" s="189">
        <v>0.1333</v>
      </c>
      <c r="L18" s="188">
        <v>1</v>
      </c>
      <c r="M18" s="188">
        <v>0</v>
      </c>
      <c r="N18" s="187">
        <v>18.440000000000001</v>
      </c>
      <c r="O18" s="186">
        <v>0.61</v>
      </c>
      <c r="P18" s="186">
        <v>0</v>
      </c>
      <c r="Q18" s="185">
        <v>0.48</v>
      </c>
    </row>
    <row r="19" spans="1:17" ht="22.5" customHeight="1" x14ac:dyDescent="0.25">
      <c r="A19" s="184">
        <v>16</v>
      </c>
      <c r="B19" s="193" t="s">
        <v>382</v>
      </c>
      <c r="C19" s="192">
        <v>1.4279999999999999</v>
      </c>
      <c r="D19" s="191">
        <v>1</v>
      </c>
      <c r="E19" s="191">
        <v>1</v>
      </c>
      <c r="F19" s="191">
        <v>0</v>
      </c>
      <c r="G19" s="191">
        <v>7</v>
      </c>
      <c r="H19" s="190">
        <v>10</v>
      </c>
      <c r="I19" s="190">
        <v>0</v>
      </c>
      <c r="J19" s="190">
        <v>10</v>
      </c>
      <c r="K19" s="189">
        <v>0.1429</v>
      </c>
      <c r="L19" s="188">
        <v>1</v>
      </c>
      <c r="M19" s="188">
        <v>0</v>
      </c>
      <c r="N19" s="187">
        <v>7</v>
      </c>
      <c r="O19" s="186">
        <v>0.7</v>
      </c>
      <c r="P19" s="186">
        <v>0</v>
      </c>
      <c r="Q19" s="185">
        <v>0.46</v>
      </c>
    </row>
    <row r="20" spans="1:17" ht="22.5" customHeight="1" x14ac:dyDescent="0.25">
      <c r="A20" s="184">
        <v>17</v>
      </c>
      <c r="B20" s="193" t="s">
        <v>406</v>
      </c>
      <c r="C20" s="192">
        <v>6.694</v>
      </c>
      <c r="D20" s="191">
        <v>3</v>
      </c>
      <c r="E20" s="191">
        <v>3</v>
      </c>
      <c r="F20" s="191">
        <v>0</v>
      </c>
      <c r="G20" s="191">
        <v>50</v>
      </c>
      <c r="H20" s="190">
        <v>170</v>
      </c>
      <c r="I20" s="190">
        <v>0</v>
      </c>
      <c r="J20" s="190">
        <v>170</v>
      </c>
      <c r="K20" s="189">
        <v>0.06</v>
      </c>
      <c r="L20" s="188">
        <v>1</v>
      </c>
      <c r="M20" s="188">
        <v>0</v>
      </c>
      <c r="N20" s="187">
        <v>25.4</v>
      </c>
      <c r="O20" s="186">
        <v>0.45</v>
      </c>
      <c r="P20" s="186">
        <v>0</v>
      </c>
      <c r="Q20" s="185">
        <v>0.41</v>
      </c>
    </row>
    <row r="21" spans="1:17" ht="22.5" customHeight="1" x14ac:dyDescent="0.25">
      <c r="A21" s="184">
        <v>18</v>
      </c>
      <c r="B21" s="193" t="s">
        <v>324</v>
      </c>
      <c r="C21" s="192">
        <v>2.3029999999999999</v>
      </c>
      <c r="D21" s="191">
        <v>1</v>
      </c>
      <c r="E21" s="191">
        <v>1</v>
      </c>
      <c r="F21" s="191">
        <v>0</v>
      </c>
      <c r="G21" s="191">
        <v>9</v>
      </c>
      <c r="H21" s="190">
        <v>25</v>
      </c>
      <c r="I21" s="190">
        <v>0</v>
      </c>
      <c r="J21" s="190">
        <v>25</v>
      </c>
      <c r="K21" s="189">
        <v>0.1111</v>
      </c>
      <c r="L21" s="188">
        <v>1</v>
      </c>
      <c r="M21" s="188">
        <v>0</v>
      </c>
      <c r="N21" s="187">
        <v>10.86</v>
      </c>
      <c r="O21" s="186">
        <v>0.43</v>
      </c>
      <c r="P21" s="186">
        <v>0</v>
      </c>
      <c r="Q21" s="185">
        <v>0.41</v>
      </c>
    </row>
    <row r="22" spans="1:17" ht="22.5" customHeight="1" x14ac:dyDescent="0.25">
      <c r="A22" s="184">
        <v>19</v>
      </c>
      <c r="B22" s="193" t="s">
        <v>433</v>
      </c>
      <c r="C22" s="192">
        <v>7.1020000000000003</v>
      </c>
      <c r="D22" s="191">
        <v>4</v>
      </c>
      <c r="E22" s="191">
        <v>4</v>
      </c>
      <c r="F22" s="191">
        <v>0</v>
      </c>
      <c r="G22" s="191">
        <v>48</v>
      </c>
      <c r="H22" s="190">
        <v>55</v>
      </c>
      <c r="I22" s="190">
        <v>0</v>
      </c>
      <c r="J22" s="190">
        <v>55</v>
      </c>
      <c r="K22" s="189">
        <v>8.3299999999999999E-2</v>
      </c>
      <c r="L22" s="188">
        <v>1</v>
      </c>
      <c r="M22" s="188">
        <v>0</v>
      </c>
      <c r="N22" s="187">
        <v>7.74</v>
      </c>
      <c r="O22" s="186">
        <v>0.56000000000000005</v>
      </c>
      <c r="P22" s="186">
        <v>0</v>
      </c>
      <c r="Q22" s="185">
        <v>0.41</v>
      </c>
    </row>
    <row r="23" spans="1:17" ht="22.5" customHeight="1" x14ac:dyDescent="0.25">
      <c r="A23" s="184">
        <v>20</v>
      </c>
      <c r="B23" s="193" t="s">
        <v>275</v>
      </c>
      <c r="C23" s="192">
        <v>3.8239999999999998</v>
      </c>
      <c r="D23" s="191">
        <v>1</v>
      </c>
      <c r="E23" s="191">
        <v>1</v>
      </c>
      <c r="F23" s="191">
        <v>0</v>
      </c>
      <c r="G23" s="191">
        <v>5</v>
      </c>
      <c r="H23" s="190">
        <v>10</v>
      </c>
      <c r="I23" s="190">
        <v>0</v>
      </c>
      <c r="J23" s="190">
        <v>10</v>
      </c>
      <c r="K23" s="189">
        <v>0.2</v>
      </c>
      <c r="L23" s="188">
        <v>1</v>
      </c>
      <c r="M23" s="188">
        <v>0</v>
      </c>
      <c r="N23" s="187">
        <v>2.62</v>
      </c>
      <c r="O23" s="186">
        <v>0.26</v>
      </c>
      <c r="P23" s="186">
        <v>0</v>
      </c>
      <c r="Q23" s="185">
        <v>0.4</v>
      </c>
    </row>
    <row r="24" spans="1:17" ht="22.5" customHeight="1" x14ac:dyDescent="0.25">
      <c r="A24" s="184">
        <v>21</v>
      </c>
      <c r="B24" s="193" t="s">
        <v>411</v>
      </c>
      <c r="C24" s="192">
        <v>5.0759999999999996</v>
      </c>
      <c r="D24" s="191">
        <v>2</v>
      </c>
      <c r="E24" s="191">
        <v>2</v>
      </c>
      <c r="F24" s="191">
        <v>0</v>
      </c>
      <c r="G24" s="191">
        <v>19</v>
      </c>
      <c r="H24" s="190">
        <v>75</v>
      </c>
      <c r="I24" s="190">
        <v>0</v>
      </c>
      <c r="J24" s="190">
        <v>75</v>
      </c>
      <c r="K24" s="189">
        <v>0.1053</v>
      </c>
      <c r="L24" s="188">
        <v>1</v>
      </c>
      <c r="M24" s="188">
        <v>0</v>
      </c>
      <c r="N24" s="187">
        <v>14.78</v>
      </c>
      <c r="O24" s="186">
        <v>0.39</v>
      </c>
      <c r="P24" s="186">
        <v>0</v>
      </c>
      <c r="Q24" s="185">
        <v>0.4</v>
      </c>
    </row>
    <row r="25" spans="1:17" ht="22.5" customHeight="1" x14ac:dyDescent="0.25">
      <c r="A25" s="184">
        <v>22</v>
      </c>
      <c r="B25" s="193" t="s">
        <v>403</v>
      </c>
      <c r="C25" s="192">
        <v>3.9329999999999998</v>
      </c>
      <c r="D25" s="191">
        <v>3</v>
      </c>
      <c r="E25" s="191">
        <v>2</v>
      </c>
      <c r="F25" s="191">
        <v>0</v>
      </c>
      <c r="G25" s="191">
        <v>30</v>
      </c>
      <c r="H25" s="190">
        <v>45</v>
      </c>
      <c r="I25" s="190">
        <v>0</v>
      </c>
      <c r="J25" s="190">
        <v>50</v>
      </c>
      <c r="K25" s="189">
        <v>0.1</v>
      </c>
      <c r="L25" s="188">
        <v>0.66669999999999996</v>
      </c>
      <c r="M25" s="188">
        <v>0</v>
      </c>
      <c r="N25" s="187">
        <v>11.44</v>
      </c>
      <c r="O25" s="186">
        <v>0.51</v>
      </c>
      <c r="P25" s="186">
        <v>0</v>
      </c>
      <c r="Q25" s="185">
        <v>0.38</v>
      </c>
    </row>
    <row r="26" spans="1:17" ht="22.5" customHeight="1" x14ac:dyDescent="0.25">
      <c r="A26" s="184">
        <v>23</v>
      </c>
      <c r="B26" s="193" t="s">
        <v>269</v>
      </c>
      <c r="C26" s="192">
        <v>7.0910000000000002</v>
      </c>
      <c r="D26" s="191">
        <v>2</v>
      </c>
      <c r="E26" s="191">
        <v>2</v>
      </c>
      <c r="F26" s="191">
        <v>0</v>
      </c>
      <c r="G26" s="191">
        <v>37</v>
      </c>
      <c r="H26" s="190">
        <v>110</v>
      </c>
      <c r="I26" s="190">
        <v>0</v>
      </c>
      <c r="J26" s="190">
        <v>110</v>
      </c>
      <c r="K26" s="189">
        <v>5.4100000000000002E-2</v>
      </c>
      <c r="L26" s="188">
        <v>1</v>
      </c>
      <c r="M26" s="188">
        <v>0</v>
      </c>
      <c r="N26" s="187">
        <v>15.51</v>
      </c>
      <c r="O26" s="186">
        <v>0.28000000000000003</v>
      </c>
      <c r="P26" s="186">
        <v>0</v>
      </c>
      <c r="Q26" s="185">
        <v>0.37</v>
      </c>
    </row>
    <row r="27" spans="1:17" ht="22.5" customHeight="1" x14ac:dyDescent="0.25">
      <c r="A27" s="184">
        <v>24</v>
      </c>
      <c r="B27" s="193" t="s">
        <v>315</v>
      </c>
      <c r="C27" s="192">
        <v>7.4169999999999998</v>
      </c>
      <c r="D27" s="191">
        <v>2</v>
      </c>
      <c r="E27" s="191">
        <v>2</v>
      </c>
      <c r="F27" s="191">
        <v>0</v>
      </c>
      <c r="G27" s="191">
        <v>35</v>
      </c>
      <c r="H27" s="190">
        <v>110</v>
      </c>
      <c r="I27" s="190">
        <v>0</v>
      </c>
      <c r="J27" s="190">
        <v>110</v>
      </c>
      <c r="K27" s="189">
        <v>5.7099999999999998E-2</v>
      </c>
      <c r="L27" s="188">
        <v>1</v>
      </c>
      <c r="M27" s="188">
        <v>0</v>
      </c>
      <c r="N27" s="187">
        <v>14.83</v>
      </c>
      <c r="O27" s="186">
        <v>0.27</v>
      </c>
      <c r="P27" s="186">
        <v>0</v>
      </c>
      <c r="Q27" s="185">
        <v>0.36</v>
      </c>
    </row>
    <row r="28" spans="1:17" ht="22.5" customHeight="1" x14ac:dyDescent="0.25">
      <c r="A28" s="184">
        <v>25</v>
      </c>
      <c r="B28" s="193" t="s">
        <v>397</v>
      </c>
      <c r="C28" s="192">
        <v>5.7249999999999996</v>
      </c>
      <c r="D28" s="191">
        <v>1</v>
      </c>
      <c r="E28" s="191">
        <v>1</v>
      </c>
      <c r="F28" s="191">
        <v>0</v>
      </c>
      <c r="G28" s="191">
        <v>7</v>
      </c>
      <c r="H28" s="190">
        <v>25</v>
      </c>
      <c r="I28" s="190">
        <v>0</v>
      </c>
      <c r="J28" s="190">
        <v>25</v>
      </c>
      <c r="K28" s="189">
        <v>0.1429</v>
      </c>
      <c r="L28" s="188">
        <v>1</v>
      </c>
      <c r="M28" s="188">
        <v>0</v>
      </c>
      <c r="N28" s="187">
        <v>4.37</v>
      </c>
      <c r="O28" s="186">
        <v>0.17</v>
      </c>
      <c r="P28" s="186">
        <v>0</v>
      </c>
      <c r="Q28" s="185">
        <v>0.36</v>
      </c>
    </row>
    <row r="29" spans="1:17" ht="22.5" customHeight="1" x14ac:dyDescent="0.25">
      <c r="A29" s="184">
        <v>26</v>
      </c>
      <c r="B29" s="193" t="s">
        <v>355</v>
      </c>
      <c r="C29" s="192">
        <v>2.4319999999999999</v>
      </c>
      <c r="D29" s="191">
        <v>1</v>
      </c>
      <c r="E29" s="191">
        <v>1</v>
      </c>
      <c r="F29" s="191">
        <v>0</v>
      </c>
      <c r="G29" s="191">
        <v>14</v>
      </c>
      <c r="H29" s="190">
        <v>10</v>
      </c>
      <c r="I29" s="190">
        <v>0</v>
      </c>
      <c r="J29" s="190">
        <v>10</v>
      </c>
      <c r="K29" s="189">
        <v>7.1400000000000005E-2</v>
      </c>
      <c r="L29" s="188">
        <v>1</v>
      </c>
      <c r="M29" s="188">
        <v>0</v>
      </c>
      <c r="N29" s="187">
        <v>4.1100000000000003</v>
      </c>
      <c r="O29" s="186">
        <v>0.41</v>
      </c>
      <c r="P29" s="186">
        <v>0</v>
      </c>
      <c r="Q29" s="185">
        <v>0.35</v>
      </c>
    </row>
    <row r="30" spans="1:17" ht="22.5" customHeight="1" x14ac:dyDescent="0.25">
      <c r="A30" s="184">
        <v>27</v>
      </c>
      <c r="B30" s="193" t="s">
        <v>274</v>
      </c>
      <c r="C30" s="192">
        <v>3.6429999999999998</v>
      </c>
      <c r="D30" s="191">
        <v>1</v>
      </c>
      <c r="E30" s="191">
        <v>1</v>
      </c>
      <c r="F30" s="191">
        <v>0</v>
      </c>
      <c r="G30" s="191">
        <v>14</v>
      </c>
      <c r="H30" s="190">
        <v>25</v>
      </c>
      <c r="I30" s="190">
        <v>0</v>
      </c>
      <c r="J30" s="190">
        <v>25</v>
      </c>
      <c r="K30" s="189">
        <v>7.1400000000000005E-2</v>
      </c>
      <c r="L30" s="188">
        <v>1</v>
      </c>
      <c r="M30" s="188">
        <v>0</v>
      </c>
      <c r="N30" s="187">
        <v>6.86</v>
      </c>
      <c r="O30" s="186">
        <v>0.27</v>
      </c>
      <c r="P30" s="186">
        <v>0</v>
      </c>
      <c r="Q30" s="185">
        <v>0.34</v>
      </c>
    </row>
    <row r="31" spans="1:17" ht="22.5" customHeight="1" x14ac:dyDescent="0.25">
      <c r="A31" s="184">
        <v>28</v>
      </c>
      <c r="B31" s="193" t="s">
        <v>420</v>
      </c>
      <c r="C31" s="192">
        <v>5.4059999999999997</v>
      </c>
      <c r="D31" s="191">
        <v>1</v>
      </c>
      <c r="E31" s="191">
        <v>1</v>
      </c>
      <c r="F31" s="191">
        <v>0</v>
      </c>
      <c r="G31" s="191">
        <v>14</v>
      </c>
      <c r="H31" s="190">
        <v>50</v>
      </c>
      <c r="I31" s="190">
        <v>0</v>
      </c>
      <c r="J31" s="190">
        <v>50</v>
      </c>
      <c r="K31" s="189">
        <v>7.1400000000000005E-2</v>
      </c>
      <c r="L31" s="188">
        <v>1</v>
      </c>
      <c r="M31" s="188">
        <v>0</v>
      </c>
      <c r="N31" s="187">
        <v>9.25</v>
      </c>
      <c r="O31" s="186">
        <v>0.18</v>
      </c>
      <c r="P31" s="186">
        <v>0</v>
      </c>
      <c r="Q31" s="185">
        <v>0.34</v>
      </c>
    </row>
    <row r="32" spans="1:17" ht="22.5" customHeight="1" x14ac:dyDescent="0.25">
      <c r="A32" s="184">
        <v>29</v>
      </c>
      <c r="B32" s="193" t="s">
        <v>354</v>
      </c>
      <c r="C32" s="192">
        <v>4.8789999999999996</v>
      </c>
      <c r="D32" s="191">
        <v>1</v>
      </c>
      <c r="E32" s="191">
        <v>1</v>
      </c>
      <c r="F32" s="191">
        <v>0</v>
      </c>
      <c r="G32" s="191">
        <v>12</v>
      </c>
      <c r="H32" s="190">
        <v>20</v>
      </c>
      <c r="I32" s="190">
        <v>0</v>
      </c>
      <c r="J32" s="190">
        <v>20</v>
      </c>
      <c r="K32" s="189">
        <v>8.3299999999999999E-2</v>
      </c>
      <c r="L32" s="188">
        <v>1</v>
      </c>
      <c r="M32" s="188">
        <v>0</v>
      </c>
      <c r="N32" s="187">
        <v>4.0999999999999996</v>
      </c>
      <c r="O32" s="186">
        <v>0.2</v>
      </c>
      <c r="P32" s="186">
        <v>0</v>
      </c>
      <c r="Q32" s="185">
        <v>0.33</v>
      </c>
    </row>
    <row r="33" spans="1:17" ht="22.5" customHeight="1" x14ac:dyDescent="0.25">
      <c r="A33" s="184">
        <v>30</v>
      </c>
      <c r="B33" s="193" t="s">
        <v>389</v>
      </c>
      <c r="C33" s="192">
        <v>7.5039999999999996</v>
      </c>
      <c r="D33" s="191">
        <v>1</v>
      </c>
      <c r="E33" s="191">
        <v>1</v>
      </c>
      <c r="F33" s="191">
        <v>0</v>
      </c>
      <c r="G33" s="191">
        <v>30</v>
      </c>
      <c r="H33" s="190">
        <v>100</v>
      </c>
      <c r="I33" s="190">
        <v>0</v>
      </c>
      <c r="J33" s="190">
        <v>100</v>
      </c>
      <c r="K33" s="189">
        <v>3.3300000000000003E-2</v>
      </c>
      <c r="L33" s="188">
        <v>1</v>
      </c>
      <c r="M33" s="188">
        <v>0</v>
      </c>
      <c r="N33" s="187">
        <v>13.33</v>
      </c>
      <c r="O33" s="186">
        <v>0.13</v>
      </c>
      <c r="P33" s="186">
        <v>0</v>
      </c>
      <c r="Q33" s="185">
        <v>0.31</v>
      </c>
    </row>
    <row r="34" spans="1:17" ht="22.5" customHeight="1" x14ac:dyDescent="0.25">
      <c r="A34" s="184">
        <v>31</v>
      </c>
      <c r="B34" s="193" t="s">
        <v>363</v>
      </c>
      <c r="C34" s="192">
        <v>5.9379999999999997</v>
      </c>
      <c r="D34" s="191">
        <v>1</v>
      </c>
      <c r="E34" s="191">
        <v>1</v>
      </c>
      <c r="F34" s="191">
        <v>0</v>
      </c>
      <c r="G34" s="191">
        <v>35</v>
      </c>
      <c r="H34" s="190">
        <v>25</v>
      </c>
      <c r="I34" s="190">
        <v>0</v>
      </c>
      <c r="J34" s="190">
        <v>25</v>
      </c>
      <c r="K34" s="189">
        <v>2.86E-2</v>
      </c>
      <c r="L34" s="188">
        <v>1</v>
      </c>
      <c r="M34" s="188">
        <v>0</v>
      </c>
      <c r="N34" s="187">
        <v>4.21</v>
      </c>
      <c r="O34" s="186">
        <v>0.17</v>
      </c>
      <c r="P34" s="186">
        <v>0</v>
      </c>
      <c r="Q34" s="185">
        <v>0.28000000000000003</v>
      </c>
    </row>
    <row r="35" spans="1:17" ht="22.5" customHeight="1" x14ac:dyDescent="0.25">
      <c r="A35" s="184">
        <v>32</v>
      </c>
      <c r="B35" s="193" t="s">
        <v>336</v>
      </c>
      <c r="C35" s="192">
        <v>3.847</v>
      </c>
      <c r="D35" s="191">
        <v>1</v>
      </c>
      <c r="E35" s="191">
        <v>0</v>
      </c>
      <c r="F35" s="191">
        <v>0</v>
      </c>
      <c r="G35" s="191">
        <v>21</v>
      </c>
      <c r="H35" s="190">
        <v>0</v>
      </c>
      <c r="I35" s="190">
        <v>0</v>
      </c>
      <c r="J35" s="190">
        <v>20</v>
      </c>
      <c r="K35" s="189">
        <v>4.7600000000000003E-2</v>
      </c>
      <c r="L35" s="188">
        <v>0</v>
      </c>
      <c r="M35" s="188">
        <v>0</v>
      </c>
      <c r="N35" s="187">
        <v>0</v>
      </c>
      <c r="O35" s="186">
        <v>0</v>
      </c>
      <c r="P35" s="186">
        <v>0</v>
      </c>
      <c r="Q35" s="185">
        <v>0.08</v>
      </c>
    </row>
    <row r="36" spans="1:17" ht="22.5" customHeight="1" x14ac:dyDescent="0.25">
      <c r="A36" s="184">
        <v>33</v>
      </c>
      <c r="B36" s="193" t="s">
        <v>366</v>
      </c>
      <c r="C36" s="192">
        <v>1.423</v>
      </c>
      <c r="D36" s="191">
        <v>0</v>
      </c>
      <c r="E36" s="191">
        <v>0</v>
      </c>
      <c r="F36" s="191">
        <v>0</v>
      </c>
      <c r="G36" s="191">
        <v>8</v>
      </c>
      <c r="H36" s="190">
        <v>0</v>
      </c>
      <c r="I36" s="190">
        <v>0</v>
      </c>
      <c r="J36" s="190">
        <v>0</v>
      </c>
      <c r="K36" s="189">
        <v>0</v>
      </c>
      <c r="L36" s="188">
        <v>0</v>
      </c>
      <c r="M36" s="188">
        <v>0</v>
      </c>
      <c r="N36" s="187">
        <v>0</v>
      </c>
      <c r="O36" s="186">
        <v>0</v>
      </c>
      <c r="P36" s="186">
        <v>0</v>
      </c>
      <c r="Q36" s="185">
        <v>0.02</v>
      </c>
    </row>
    <row r="37" spans="1:17" ht="22.5" customHeight="1" x14ac:dyDescent="0.25">
      <c r="A37" s="184">
        <v>34</v>
      </c>
      <c r="B37" s="193" t="s">
        <v>385</v>
      </c>
      <c r="C37" s="192">
        <v>0.503</v>
      </c>
      <c r="D37" s="191">
        <v>0</v>
      </c>
      <c r="E37" s="191">
        <v>0</v>
      </c>
      <c r="F37" s="191">
        <v>0</v>
      </c>
      <c r="G37" s="191">
        <v>1</v>
      </c>
      <c r="H37" s="190">
        <v>0</v>
      </c>
      <c r="I37" s="190">
        <v>0</v>
      </c>
      <c r="J37" s="190">
        <v>0</v>
      </c>
      <c r="K37" s="189">
        <v>0</v>
      </c>
      <c r="L37" s="188">
        <v>0</v>
      </c>
      <c r="M37" s="188">
        <v>0</v>
      </c>
      <c r="N37" s="187">
        <v>0</v>
      </c>
      <c r="O37" s="186">
        <v>0</v>
      </c>
      <c r="P37" s="186">
        <v>0</v>
      </c>
      <c r="Q37" s="185">
        <v>0.02</v>
      </c>
    </row>
    <row r="38" spans="1:17" ht="22.5" customHeight="1" x14ac:dyDescent="0.25">
      <c r="A38" s="184">
        <v>35</v>
      </c>
      <c r="B38" s="193" t="s">
        <v>316</v>
      </c>
      <c r="C38" s="192">
        <v>5.556</v>
      </c>
      <c r="D38" s="191">
        <v>0</v>
      </c>
      <c r="E38" s="191">
        <v>0</v>
      </c>
      <c r="F38" s="191">
        <v>0</v>
      </c>
      <c r="G38" s="191">
        <v>0</v>
      </c>
      <c r="H38" s="190">
        <v>0</v>
      </c>
      <c r="I38" s="190">
        <v>0</v>
      </c>
      <c r="J38" s="190">
        <v>0</v>
      </c>
      <c r="K38" s="189">
        <v>0</v>
      </c>
      <c r="L38" s="188">
        <v>0</v>
      </c>
      <c r="M38" s="188">
        <v>0</v>
      </c>
      <c r="N38" s="187">
        <v>0</v>
      </c>
      <c r="O38" s="186">
        <v>0</v>
      </c>
      <c r="P38" s="186">
        <v>0</v>
      </c>
      <c r="Q38" s="185">
        <v>0.02</v>
      </c>
    </row>
    <row r="39" spans="1:17" ht="22.5" customHeight="1" x14ac:dyDescent="0.25">
      <c r="A39" s="184">
        <v>36</v>
      </c>
      <c r="B39" s="193" t="s">
        <v>375</v>
      </c>
      <c r="C39" s="192">
        <v>7.3029999999999999</v>
      </c>
      <c r="D39" s="191">
        <v>0</v>
      </c>
      <c r="E39" s="191">
        <v>0</v>
      </c>
      <c r="F39" s="191">
        <v>0</v>
      </c>
      <c r="G39" s="191">
        <v>23</v>
      </c>
      <c r="H39" s="190">
        <v>0</v>
      </c>
      <c r="I39" s="190">
        <v>0</v>
      </c>
      <c r="J39" s="190">
        <v>0</v>
      </c>
      <c r="K39" s="189">
        <v>0</v>
      </c>
      <c r="L39" s="188">
        <v>0</v>
      </c>
      <c r="M39" s="188">
        <v>0</v>
      </c>
      <c r="N39" s="187">
        <v>0</v>
      </c>
      <c r="O39" s="186">
        <v>0</v>
      </c>
      <c r="P39" s="186">
        <v>0</v>
      </c>
      <c r="Q39" s="185">
        <v>0.02</v>
      </c>
    </row>
    <row r="40" spans="1:17" ht="22.5" customHeight="1" x14ac:dyDescent="0.25">
      <c r="A40" s="184">
        <v>37</v>
      </c>
      <c r="B40" s="193" t="s">
        <v>353</v>
      </c>
      <c r="C40" s="192">
        <v>1.2030000000000001</v>
      </c>
      <c r="D40" s="191">
        <v>0</v>
      </c>
      <c r="E40" s="191">
        <v>0</v>
      </c>
      <c r="F40" s="191">
        <v>0</v>
      </c>
      <c r="G40" s="191">
        <v>0</v>
      </c>
      <c r="H40" s="190">
        <v>0</v>
      </c>
      <c r="I40" s="190">
        <v>0</v>
      </c>
      <c r="J40" s="190">
        <v>0</v>
      </c>
      <c r="K40" s="189">
        <v>0</v>
      </c>
      <c r="L40" s="188">
        <v>0</v>
      </c>
      <c r="M40" s="188">
        <v>0</v>
      </c>
      <c r="N40" s="187">
        <v>0</v>
      </c>
      <c r="O40" s="186">
        <v>0</v>
      </c>
      <c r="P40" s="186">
        <v>0</v>
      </c>
      <c r="Q40" s="185">
        <v>0.02</v>
      </c>
    </row>
    <row r="41" spans="1:17" ht="22.5" customHeight="1" x14ac:dyDescent="0.25">
      <c r="A41" s="184">
        <v>38</v>
      </c>
      <c r="B41" s="193" t="s">
        <v>350</v>
      </c>
      <c r="C41" s="192">
        <v>9.5670000000000002</v>
      </c>
      <c r="D41" s="191">
        <v>0</v>
      </c>
      <c r="E41" s="191">
        <v>0</v>
      </c>
      <c r="F41" s="191">
        <v>0</v>
      </c>
      <c r="G41" s="191">
        <v>18</v>
      </c>
      <c r="H41" s="190">
        <v>0</v>
      </c>
      <c r="I41" s="190">
        <v>0</v>
      </c>
      <c r="J41" s="190">
        <v>0</v>
      </c>
      <c r="K41" s="189">
        <v>0</v>
      </c>
      <c r="L41" s="188">
        <v>0</v>
      </c>
      <c r="M41" s="188">
        <v>0</v>
      </c>
      <c r="N41" s="187">
        <v>0</v>
      </c>
      <c r="O41" s="186">
        <v>0</v>
      </c>
      <c r="P41" s="186">
        <v>0</v>
      </c>
      <c r="Q41" s="185">
        <v>0.02</v>
      </c>
    </row>
    <row r="42" spans="1:17" ht="22.5" customHeight="1" x14ac:dyDescent="0.25">
      <c r="A42" s="184">
        <v>39</v>
      </c>
      <c r="B42" s="193" t="s">
        <v>332</v>
      </c>
      <c r="C42" s="192">
        <v>1.486</v>
      </c>
      <c r="D42" s="191">
        <v>0</v>
      </c>
      <c r="E42" s="191">
        <v>0</v>
      </c>
      <c r="F42" s="191">
        <v>0</v>
      </c>
      <c r="G42" s="191">
        <v>6</v>
      </c>
      <c r="H42" s="190">
        <v>0</v>
      </c>
      <c r="I42" s="190">
        <v>0</v>
      </c>
      <c r="J42" s="190">
        <v>0</v>
      </c>
      <c r="K42" s="189">
        <v>0</v>
      </c>
      <c r="L42" s="188">
        <v>0</v>
      </c>
      <c r="M42" s="188">
        <v>0</v>
      </c>
      <c r="N42" s="187">
        <v>0</v>
      </c>
      <c r="O42" s="186">
        <v>0</v>
      </c>
      <c r="P42" s="186">
        <v>0</v>
      </c>
      <c r="Q42" s="185">
        <v>0.02</v>
      </c>
    </row>
    <row r="43" spans="1:17" ht="22.5" customHeight="1" x14ac:dyDescent="0.25">
      <c r="A43" s="184">
        <v>40</v>
      </c>
      <c r="B43" s="193" t="s">
        <v>359</v>
      </c>
      <c r="C43" s="192">
        <v>2.4809999999999999</v>
      </c>
      <c r="D43" s="191">
        <v>0</v>
      </c>
      <c r="E43" s="191">
        <v>0</v>
      </c>
      <c r="F43" s="191">
        <v>0</v>
      </c>
      <c r="G43" s="191">
        <v>11</v>
      </c>
      <c r="H43" s="190">
        <v>0</v>
      </c>
      <c r="I43" s="190">
        <v>0</v>
      </c>
      <c r="J43" s="190">
        <v>0</v>
      </c>
      <c r="K43" s="189">
        <v>0</v>
      </c>
      <c r="L43" s="188">
        <v>0</v>
      </c>
      <c r="M43" s="188">
        <v>0</v>
      </c>
      <c r="N43" s="187">
        <v>0</v>
      </c>
      <c r="O43" s="186">
        <v>0</v>
      </c>
      <c r="P43" s="186">
        <v>0</v>
      </c>
      <c r="Q43" s="185">
        <v>0.02</v>
      </c>
    </row>
    <row r="44" spans="1:17" ht="22.5" customHeight="1" x14ac:dyDescent="0.25">
      <c r="A44" s="184">
        <v>41</v>
      </c>
      <c r="B44" s="193" t="s">
        <v>291</v>
      </c>
      <c r="C44" s="192">
        <v>3.964</v>
      </c>
      <c r="D44" s="191">
        <v>0</v>
      </c>
      <c r="E44" s="191">
        <v>0</v>
      </c>
      <c r="F44" s="191">
        <v>0</v>
      </c>
      <c r="G44" s="191">
        <v>15</v>
      </c>
      <c r="H44" s="190">
        <v>0</v>
      </c>
      <c r="I44" s="190">
        <v>0</v>
      </c>
      <c r="J44" s="190">
        <v>0</v>
      </c>
      <c r="K44" s="189">
        <v>0</v>
      </c>
      <c r="L44" s="188">
        <v>0</v>
      </c>
      <c r="M44" s="188">
        <v>0</v>
      </c>
      <c r="N44" s="187">
        <v>0</v>
      </c>
      <c r="O44" s="186">
        <v>0</v>
      </c>
      <c r="P44" s="186">
        <v>0</v>
      </c>
      <c r="Q44" s="185">
        <v>0.02</v>
      </c>
    </row>
    <row r="45" spans="1:17" ht="22.5" customHeight="1" x14ac:dyDescent="0.25">
      <c r="A45" s="184">
        <v>42</v>
      </c>
      <c r="B45" s="193" t="s">
        <v>326</v>
      </c>
      <c r="C45" s="192">
        <v>7.117</v>
      </c>
      <c r="D45" s="191">
        <v>0</v>
      </c>
      <c r="E45" s="191">
        <v>0</v>
      </c>
      <c r="F45" s="191">
        <v>0</v>
      </c>
      <c r="G45" s="191">
        <v>9</v>
      </c>
      <c r="H45" s="190">
        <v>0</v>
      </c>
      <c r="I45" s="190">
        <v>0</v>
      </c>
      <c r="J45" s="190">
        <v>0</v>
      </c>
      <c r="K45" s="189">
        <v>0</v>
      </c>
      <c r="L45" s="188">
        <v>0</v>
      </c>
      <c r="M45" s="188">
        <v>0</v>
      </c>
      <c r="N45" s="187">
        <v>0</v>
      </c>
      <c r="O45" s="186">
        <v>0</v>
      </c>
      <c r="P45" s="186">
        <v>0</v>
      </c>
      <c r="Q45" s="185">
        <v>0.02</v>
      </c>
    </row>
    <row r="46" spans="1:17" ht="22.5" customHeight="1" x14ac:dyDescent="0.25">
      <c r="A46" s="184">
        <v>43</v>
      </c>
      <c r="B46" s="193" t="s">
        <v>322</v>
      </c>
      <c r="C46" s="192">
        <v>0.67900000000000005</v>
      </c>
      <c r="D46" s="191">
        <v>0</v>
      </c>
      <c r="E46" s="191">
        <v>0</v>
      </c>
      <c r="F46" s="191">
        <v>0</v>
      </c>
      <c r="G46" s="191">
        <v>1</v>
      </c>
      <c r="H46" s="190">
        <v>0</v>
      </c>
      <c r="I46" s="190">
        <v>0</v>
      </c>
      <c r="J46" s="190">
        <v>0</v>
      </c>
      <c r="K46" s="189">
        <v>0</v>
      </c>
      <c r="L46" s="188">
        <v>0</v>
      </c>
      <c r="M46" s="188">
        <v>0</v>
      </c>
      <c r="N46" s="187">
        <v>0</v>
      </c>
      <c r="O46" s="186">
        <v>0</v>
      </c>
      <c r="P46" s="186">
        <v>0</v>
      </c>
      <c r="Q46" s="185">
        <v>0.02</v>
      </c>
    </row>
    <row r="47" spans="1:17" ht="22.5" customHeight="1" x14ac:dyDescent="0.25">
      <c r="A47" s="184">
        <v>44</v>
      </c>
      <c r="B47" s="193" t="s">
        <v>408</v>
      </c>
      <c r="C47" s="192">
        <v>4.0940000000000003</v>
      </c>
      <c r="D47" s="191">
        <v>0</v>
      </c>
      <c r="E47" s="191">
        <v>0</v>
      </c>
      <c r="F47" s="191">
        <v>0</v>
      </c>
      <c r="G47" s="191">
        <v>6</v>
      </c>
      <c r="H47" s="190">
        <v>0</v>
      </c>
      <c r="I47" s="190">
        <v>0</v>
      </c>
      <c r="J47" s="190">
        <v>0</v>
      </c>
      <c r="K47" s="189">
        <v>0</v>
      </c>
      <c r="L47" s="188">
        <v>0</v>
      </c>
      <c r="M47" s="188">
        <v>0</v>
      </c>
      <c r="N47" s="187">
        <v>0</v>
      </c>
      <c r="O47" s="186">
        <v>0</v>
      </c>
      <c r="P47" s="186">
        <v>0</v>
      </c>
      <c r="Q47" s="185">
        <v>0.02</v>
      </c>
    </row>
    <row r="48" spans="1:17" ht="22.5" customHeight="1" x14ac:dyDescent="0.25">
      <c r="A48" s="184" t="s">
        <v>171</v>
      </c>
      <c r="B48" s="183" t="s">
        <v>3</v>
      </c>
      <c r="C48" s="182">
        <v>186.29300000000001</v>
      </c>
      <c r="D48" s="181">
        <v>75</v>
      </c>
      <c r="E48" s="181">
        <v>62</v>
      </c>
      <c r="F48" s="181">
        <v>5</v>
      </c>
      <c r="G48" s="181">
        <v>720</v>
      </c>
      <c r="H48" s="180">
        <v>2960</v>
      </c>
      <c r="I48" s="180">
        <v>470</v>
      </c>
      <c r="J48" s="180">
        <v>3815</v>
      </c>
      <c r="K48" s="179">
        <v>0.1042</v>
      </c>
      <c r="L48" s="178">
        <v>0.89329999999999998</v>
      </c>
      <c r="M48" s="178">
        <v>0.3846</v>
      </c>
      <c r="N48" s="177">
        <v>18.41</v>
      </c>
      <c r="O48" s="176">
        <v>0.36</v>
      </c>
      <c r="P48" s="176">
        <v>0.03</v>
      </c>
      <c r="Q48" s="175" t="s">
        <v>171</v>
      </c>
    </row>
  </sheetData>
  <sortState ref="B3:R46">
    <sortCondition descending="1" ref="Q3"/>
  </sortState>
  <mergeCells count="3">
    <mergeCell ref="F1:L1"/>
    <mergeCell ref="A2:A3"/>
    <mergeCell ref="B2:B3"/>
  </mergeCells>
  <pageMargins left="0.25" right="0.25" top="0.25" bottom="0.5" header="0.25" footer="0.25"/>
  <pageSetup orientation="portrait" cellComments="atEnd"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0000"/>
  </sheetPr>
  <dimension ref="A1:Q57"/>
  <sheetViews>
    <sheetView workbookViewId="0">
      <selection sqref="A1:Q22"/>
    </sheetView>
  </sheetViews>
  <sheetFormatPr defaultRowHeight="22.5" customHeight="1" x14ac:dyDescent="0.25"/>
  <cols>
    <col min="1" max="1" width="6" style="93" bestFit="1" customWidth="1"/>
    <col min="2" max="2" width="22.42578125" style="94" bestFit="1" customWidth="1"/>
    <col min="3" max="3" width="8.28515625" style="93" bestFit="1" customWidth="1"/>
    <col min="4" max="4" width="6" style="93" bestFit="1" customWidth="1"/>
    <col min="5" max="5" width="10.28515625" style="93" bestFit="1" customWidth="1"/>
    <col min="6" max="6" width="10.42578125" style="93" bestFit="1" customWidth="1"/>
    <col min="7" max="7" width="8.42578125" style="93" bestFit="1" customWidth="1"/>
    <col min="8" max="10" width="12" style="93" bestFit="1" customWidth="1"/>
    <col min="11" max="11" width="13.42578125" style="93" bestFit="1" customWidth="1"/>
    <col min="12" max="12" width="11.42578125" style="93" bestFit="1" customWidth="1"/>
    <col min="13" max="13" width="10.42578125" style="93" bestFit="1" customWidth="1"/>
    <col min="14" max="14" width="11.85546875" style="93" bestFit="1" customWidth="1"/>
    <col min="15" max="15" width="11.42578125" style="93" bestFit="1" customWidth="1"/>
    <col min="16" max="16" width="10.42578125" style="93" bestFit="1" customWidth="1"/>
    <col min="17" max="17" width="12.28515625" style="93" bestFit="1" customWidth="1"/>
    <col min="18" max="16384" width="9.140625" style="93"/>
  </cols>
  <sheetData>
    <row r="1" spans="1:17" ht="22.5" customHeight="1" x14ac:dyDescent="0.25">
      <c r="F1" s="610"/>
      <c r="G1" s="610"/>
      <c r="H1" s="610"/>
      <c r="I1" s="610"/>
      <c r="J1" s="610"/>
      <c r="K1" s="610"/>
      <c r="L1" s="610"/>
    </row>
    <row r="2" spans="1:17" ht="22.5" customHeight="1" x14ac:dyDescent="0.25">
      <c r="A2" s="606" t="s">
        <v>172</v>
      </c>
      <c r="B2" s="608" t="s">
        <v>7</v>
      </c>
      <c r="C2" s="199" t="s">
        <v>173</v>
      </c>
      <c r="D2" s="198" t="s">
        <v>3</v>
      </c>
      <c r="E2" s="198" t="s">
        <v>176</v>
      </c>
      <c r="F2" s="198" t="s">
        <v>166</v>
      </c>
      <c r="G2" s="198" t="s">
        <v>8</v>
      </c>
      <c r="H2" s="198" t="s">
        <v>176</v>
      </c>
      <c r="I2" s="198" t="s">
        <v>166</v>
      </c>
      <c r="J2" s="198" t="s">
        <v>3</v>
      </c>
      <c r="K2" s="198" t="s">
        <v>21</v>
      </c>
      <c r="L2" s="198" t="s">
        <v>164</v>
      </c>
      <c r="M2" s="198" t="s">
        <v>166</v>
      </c>
      <c r="N2" s="198" t="s">
        <v>164</v>
      </c>
      <c r="O2" s="198" t="s">
        <v>164</v>
      </c>
      <c r="P2" s="198" t="s">
        <v>166</v>
      </c>
      <c r="Q2" s="197" t="s">
        <v>169</v>
      </c>
    </row>
    <row r="3" spans="1:17" ht="22.5" customHeight="1" x14ac:dyDescent="0.25">
      <c r="A3" s="607"/>
      <c r="B3" s="609"/>
      <c r="C3" s="196" t="s">
        <v>174</v>
      </c>
      <c r="D3" s="195" t="s">
        <v>175</v>
      </c>
      <c r="E3" s="195" t="s">
        <v>175</v>
      </c>
      <c r="F3" s="195" t="s">
        <v>175</v>
      </c>
      <c r="G3" s="195" t="s">
        <v>12</v>
      </c>
      <c r="H3" s="195" t="s">
        <v>9</v>
      </c>
      <c r="I3" s="195" t="s">
        <v>9</v>
      </c>
      <c r="J3" s="195" t="s">
        <v>9</v>
      </c>
      <c r="K3" s="195" t="s">
        <v>13</v>
      </c>
      <c r="L3" s="195" t="s">
        <v>165</v>
      </c>
      <c r="M3" s="195" t="s">
        <v>165</v>
      </c>
      <c r="N3" s="195" t="s">
        <v>167</v>
      </c>
      <c r="O3" s="195" t="s">
        <v>168</v>
      </c>
      <c r="P3" s="195" t="s">
        <v>168</v>
      </c>
      <c r="Q3" s="194" t="s">
        <v>170</v>
      </c>
    </row>
    <row r="4" spans="1:17" ht="22.5" customHeight="1" x14ac:dyDescent="0.25">
      <c r="A4" s="184">
        <v>1</v>
      </c>
      <c r="B4" s="193" t="s">
        <v>282</v>
      </c>
      <c r="C4" s="192">
        <v>2.3490000000000002</v>
      </c>
      <c r="D4" s="191">
        <v>2</v>
      </c>
      <c r="E4" s="191">
        <v>1</v>
      </c>
      <c r="F4" s="191">
        <v>1</v>
      </c>
      <c r="G4" s="191">
        <v>7</v>
      </c>
      <c r="H4" s="190">
        <v>50</v>
      </c>
      <c r="I4" s="190">
        <v>120</v>
      </c>
      <c r="J4" s="190">
        <v>170</v>
      </c>
      <c r="K4" s="189">
        <v>0.28570000000000001</v>
      </c>
      <c r="L4" s="188">
        <v>1</v>
      </c>
      <c r="M4" s="188">
        <v>1</v>
      </c>
      <c r="N4" s="187">
        <v>72.37</v>
      </c>
      <c r="O4" s="186">
        <v>0.85</v>
      </c>
      <c r="P4" s="186">
        <v>0.43</v>
      </c>
      <c r="Q4" s="185">
        <v>0.84</v>
      </c>
    </row>
    <row r="5" spans="1:17" ht="22.5" customHeight="1" x14ac:dyDescent="0.25">
      <c r="A5" s="184">
        <v>2</v>
      </c>
      <c r="B5" s="193" t="s">
        <v>433</v>
      </c>
      <c r="C5" s="192">
        <v>2.032</v>
      </c>
      <c r="D5" s="191">
        <v>2</v>
      </c>
      <c r="E5" s="191">
        <v>1</v>
      </c>
      <c r="F5" s="191">
        <v>1</v>
      </c>
      <c r="G5" s="191">
        <v>8</v>
      </c>
      <c r="H5" s="190">
        <v>5</v>
      </c>
      <c r="I5" s="190">
        <v>120</v>
      </c>
      <c r="J5" s="190">
        <v>125</v>
      </c>
      <c r="K5" s="189">
        <v>0.25</v>
      </c>
      <c r="L5" s="188">
        <v>1</v>
      </c>
      <c r="M5" s="188">
        <v>1</v>
      </c>
      <c r="N5" s="187">
        <v>61.52</v>
      </c>
      <c r="O5" s="186">
        <v>0.98</v>
      </c>
      <c r="P5" s="186">
        <v>0.49</v>
      </c>
      <c r="Q5" s="185">
        <v>0.84</v>
      </c>
    </row>
    <row r="6" spans="1:17" ht="22.5" customHeight="1" x14ac:dyDescent="0.25">
      <c r="A6" s="184">
        <v>3</v>
      </c>
      <c r="B6" s="193" t="s">
        <v>288</v>
      </c>
      <c r="C6" s="192">
        <v>2.4780000000000002</v>
      </c>
      <c r="D6" s="191">
        <v>2</v>
      </c>
      <c r="E6" s="191">
        <v>1</v>
      </c>
      <c r="F6" s="191">
        <v>1</v>
      </c>
      <c r="G6" s="191">
        <v>9</v>
      </c>
      <c r="H6" s="190">
        <v>5</v>
      </c>
      <c r="I6" s="190">
        <v>60</v>
      </c>
      <c r="J6" s="190">
        <v>65</v>
      </c>
      <c r="K6" s="189">
        <v>0.22220000000000001</v>
      </c>
      <c r="L6" s="188">
        <v>1</v>
      </c>
      <c r="M6" s="188">
        <v>1</v>
      </c>
      <c r="N6" s="187">
        <v>26.23</v>
      </c>
      <c r="O6" s="186">
        <v>0.81</v>
      </c>
      <c r="P6" s="186">
        <v>0.4</v>
      </c>
      <c r="Q6" s="185">
        <v>0.8</v>
      </c>
    </row>
    <row r="7" spans="1:17" ht="22.5" customHeight="1" x14ac:dyDescent="0.25">
      <c r="A7" s="184">
        <v>4</v>
      </c>
      <c r="B7" s="193" t="s">
        <v>366</v>
      </c>
      <c r="C7" s="192">
        <v>7.2590000000000003</v>
      </c>
      <c r="D7" s="191">
        <v>7</v>
      </c>
      <c r="E7" s="191">
        <v>4</v>
      </c>
      <c r="F7" s="191">
        <v>2</v>
      </c>
      <c r="G7" s="191">
        <v>40</v>
      </c>
      <c r="H7" s="190">
        <v>40</v>
      </c>
      <c r="I7" s="190">
        <v>240</v>
      </c>
      <c r="J7" s="190">
        <v>285</v>
      </c>
      <c r="K7" s="189">
        <v>0.17499999999999999</v>
      </c>
      <c r="L7" s="188">
        <v>0.85709999999999997</v>
      </c>
      <c r="M7" s="188">
        <v>0.66669999999999996</v>
      </c>
      <c r="N7" s="187">
        <v>38.57</v>
      </c>
      <c r="O7" s="186">
        <v>0.83</v>
      </c>
      <c r="P7" s="186">
        <v>0.28000000000000003</v>
      </c>
      <c r="Q7" s="185">
        <v>0.79</v>
      </c>
    </row>
    <row r="8" spans="1:17" ht="22.5" customHeight="1" x14ac:dyDescent="0.25">
      <c r="A8" s="184">
        <v>5</v>
      </c>
      <c r="B8" s="193" t="s">
        <v>272</v>
      </c>
      <c r="C8" s="192">
        <v>2.766</v>
      </c>
      <c r="D8" s="191">
        <v>2</v>
      </c>
      <c r="E8" s="191">
        <v>1</v>
      </c>
      <c r="F8" s="191">
        <v>1</v>
      </c>
      <c r="G8" s="191">
        <v>13</v>
      </c>
      <c r="H8" s="190">
        <v>20</v>
      </c>
      <c r="I8" s="190">
        <v>120</v>
      </c>
      <c r="J8" s="190">
        <v>140</v>
      </c>
      <c r="K8" s="189">
        <v>0.15379999999999999</v>
      </c>
      <c r="L8" s="188">
        <v>1</v>
      </c>
      <c r="M8" s="188">
        <v>1</v>
      </c>
      <c r="N8" s="187">
        <v>50.61</v>
      </c>
      <c r="O8" s="186">
        <v>0.72</v>
      </c>
      <c r="P8" s="186">
        <v>0.36</v>
      </c>
      <c r="Q8" s="185">
        <v>0.77</v>
      </c>
    </row>
    <row r="9" spans="1:17" ht="22.5" customHeight="1" x14ac:dyDescent="0.25">
      <c r="A9" s="184">
        <v>6</v>
      </c>
      <c r="B9" s="193" t="s">
        <v>435</v>
      </c>
      <c r="C9" s="192">
        <v>7.5309999999999997</v>
      </c>
      <c r="D9" s="191">
        <v>6</v>
      </c>
      <c r="E9" s="191">
        <v>4</v>
      </c>
      <c r="F9" s="191">
        <v>1</v>
      </c>
      <c r="G9" s="191">
        <v>31</v>
      </c>
      <c r="H9" s="190">
        <v>75</v>
      </c>
      <c r="I9" s="190">
        <v>120</v>
      </c>
      <c r="J9" s="190">
        <v>220</v>
      </c>
      <c r="K9" s="189">
        <v>0.19350000000000001</v>
      </c>
      <c r="L9" s="188">
        <v>0.83330000000000004</v>
      </c>
      <c r="M9" s="188">
        <v>0.5</v>
      </c>
      <c r="N9" s="187">
        <v>25.89</v>
      </c>
      <c r="O9" s="186">
        <v>0.66</v>
      </c>
      <c r="P9" s="186">
        <v>0.13</v>
      </c>
      <c r="Q9" s="185">
        <v>0.74</v>
      </c>
    </row>
    <row r="10" spans="1:17" ht="22.5" customHeight="1" x14ac:dyDescent="0.25">
      <c r="A10" s="184">
        <v>7</v>
      </c>
      <c r="B10" s="193" t="s">
        <v>379</v>
      </c>
      <c r="C10" s="192">
        <v>7.04</v>
      </c>
      <c r="D10" s="191">
        <v>3</v>
      </c>
      <c r="E10" s="191">
        <v>2</v>
      </c>
      <c r="F10" s="191">
        <v>1</v>
      </c>
      <c r="G10" s="191">
        <v>23</v>
      </c>
      <c r="H10" s="190">
        <v>30</v>
      </c>
      <c r="I10" s="190">
        <v>120</v>
      </c>
      <c r="J10" s="190">
        <v>150</v>
      </c>
      <c r="K10" s="189">
        <v>0.13039999999999999</v>
      </c>
      <c r="L10" s="188">
        <v>1</v>
      </c>
      <c r="M10" s="188">
        <v>1</v>
      </c>
      <c r="N10" s="187">
        <v>21.31</v>
      </c>
      <c r="O10" s="186">
        <v>0.43</v>
      </c>
      <c r="P10" s="186">
        <v>0.14000000000000001</v>
      </c>
      <c r="Q10" s="185">
        <v>0.68</v>
      </c>
    </row>
    <row r="11" spans="1:17" ht="22.5" customHeight="1" x14ac:dyDescent="0.25">
      <c r="A11" s="184">
        <v>8</v>
      </c>
      <c r="B11" s="193" t="s">
        <v>275</v>
      </c>
      <c r="C11" s="192">
        <v>6.1609999999999996</v>
      </c>
      <c r="D11" s="191">
        <v>1</v>
      </c>
      <c r="E11" s="191">
        <v>0</v>
      </c>
      <c r="F11" s="191">
        <v>1</v>
      </c>
      <c r="G11" s="191">
        <v>8</v>
      </c>
      <c r="H11" s="190">
        <v>0</v>
      </c>
      <c r="I11" s="190">
        <v>120</v>
      </c>
      <c r="J11" s="190">
        <v>120</v>
      </c>
      <c r="K11" s="189">
        <v>0.125</v>
      </c>
      <c r="L11" s="188">
        <v>1</v>
      </c>
      <c r="M11" s="188">
        <v>1</v>
      </c>
      <c r="N11" s="187">
        <v>19.48</v>
      </c>
      <c r="O11" s="186">
        <v>0.16</v>
      </c>
      <c r="P11" s="186">
        <v>0.16</v>
      </c>
      <c r="Q11" s="185">
        <v>0.65</v>
      </c>
    </row>
    <row r="12" spans="1:17" ht="22.5" customHeight="1" x14ac:dyDescent="0.25">
      <c r="A12" s="184">
        <v>9</v>
      </c>
      <c r="B12" s="193" t="s">
        <v>401</v>
      </c>
      <c r="C12" s="192">
        <v>0.61499999999999999</v>
      </c>
      <c r="D12" s="191">
        <v>1</v>
      </c>
      <c r="E12" s="191">
        <v>1</v>
      </c>
      <c r="F12" s="191">
        <v>0</v>
      </c>
      <c r="G12" s="191">
        <v>2</v>
      </c>
      <c r="H12" s="190">
        <v>30</v>
      </c>
      <c r="I12" s="190">
        <v>0</v>
      </c>
      <c r="J12" s="190">
        <v>30</v>
      </c>
      <c r="K12" s="189">
        <v>0.5</v>
      </c>
      <c r="L12" s="188">
        <v>1</v>
      </c>
      <c r="M12" s="188">
        <v>0</v>
      </c>
      <c r="N12" s="187">
        <v>48.78</v>
      </c>
      <c r="O12" s="186">
        <v>1.63</v>
      </c>
      <c r="P12" s="186">
        <v>0</v>
      </c>
      <c r="Q12" s="185">
        <v>0.64</v>
      </c>
    </row>
    <row r="13" spans="1:17" ht="22.5" customHeight="1" x14ac:dyDescent="0.25">
      <c r="A13" s="184">
        <v>10</v>
      </c>
      <c r="B13" s="193" t="s">
        <v>434</v>
      </c>
      <c r="C13" s="192">
        <v>0.76100000000000001</v>
      </c>
      <c r="D13" s="191">
        <v>1</v>
      </c>
      <c r="E13" s="191">
        <v>1</v>
      </c>
      <c r="F13" s="191">
        <v>0</v>
      </c>
      <c r="G13" s="191">
        <v>1</v>
      </c>
      <c r="H13" s="190">
        <v>5</v>
      </c>
      <c r="I13" s="190">
        <v>0</v>
      </c>
      <c r="J13" s="190">
        <v>5</v>
      </c>
      <c r="K13" s="189">
        <v>1</v>
      </c>
      <c r="L13" s="188">
        <v>1</v>
      </c>
      <c r="M13" s="188">
        <v>0</v>
      </c>
      <c r="N13" s="187">
        <v>6.57</v>
      </c>
      <c r="O13" s="186">
        <v>1.31</v>
      </c>
      <c r="P13" s="186">
        <v>0</v>
      </c>
      <c r="Q13" s="185">
        <v>0.6</v>
      </c>
    </row>
    <row r="14" spans="1:17" ht="22.5" customHeight="1" x14ac:dyDescent="0.25">
      <c r="A14" s="184">
        <v>11</v>
      </c>
      <c r="B14" s="193" t="s">
        <v>389</v>
      </c>
      <c r="C14" s="192">
        <v>7.0039999999999996</v>
      </c>
      <c r="D14" s="191">
        <v>2</v>
      </c>
      <c r="E14" s="191">
        <v>1</v>
      </c>
      <c r="F14" s="191">
        <v>1</v>
      </c>
      <c r="G14" s="191">
        <v>37</v>
      </c>
      <c r="H14" s="190">
        <v>20</v>
      </c>
      <c r="I14" s="190">
        <v>20</v>
      </c>
      <c r="J14" s="190">
        <v>40</v>
      </c>
      <c r="K14" s="189">
        <v>5.4100000000000002E-2</v>
      </c>
      <c r="L14" s="188">
        <v>1</v>
      </c>
      <c r="M14" s="188">
        <v>1</v>
      </c>
      <c r="N14" s="187">
        <v>5.71</v>
      </c>
      <c r="O14" s="186">
        <v>0.28999999999999998</v>
      </c>
      <c r="P14" s="186">
        <v>0.14000000000000001</v>
      </c>
      <c r="Q14" s="185">
        <v>0.59</v>
      </c>
    </row>
    <row r="15" spans="1:17" ht="22.5" customHeight="1" x14ac:dyDescent="0.25">
      <c r="A15" s="184">
        <v>12</v>
      </c>
      <c r="B15" s="193" t="s">
        <v>374</v>
      </c>
      <c r="C15" s="192">
        <v>1.5409999999999999</v>
      </c>
      <c r="D15" s="191">
        <v>1</v>
      </c>
      <c r="E15" s="191">
        <v>1</v>
      </c>
      <c r="F15" s="191">
        <v>0</v>
      </c>
      <c r="G15" s="191">
        <v>3</v>
      </c>
      <c r="H15" s="190">
        <v>50</v>
      </c>
      <c r="I15" s="190">
        <v>0</v>
      </c>
      <c r="J15" s="190">
        <v>50</v>
      </c>
      <c r="K15" s="189">
        <v>0.33329999999999999</v>
      </c>
      <c r="L15" s="188">
        <v>1</v>
      </c>
      <c r="M15" s="188">
        <v>0</v>
      </c>
      <c r="N15" s="187">
        <v>32.450000000000003</v>
      </c>
      <c r="O15" s="186">
        <v>0.65</v>
      </c>
      <c r="P15" s="186">
        <v>0</v>
      </c>
      <c r="Q15" s="185">
        <v>0.57999999999999996</v>
      </c>
    </row>
    <row r="16" spans="1:17" ht="22.5" customHeight="1" x14ac:dyDescent="0.25">
      <c r="A16" s="184">
        <v>13</v>
      </c>
      <c r="B16" s="193" t="s">
        <v>330</v>
      </c>
      <c r="C16" s="192">
        <v>5.7210000000000001</v>
      </c>
      <c r="D16" s="191">
        <v>5</v>
      </c>
      <c r="E16" s="191">
        <v>5</v>
      </c>
      <c r="F16" s="191">
        <v>0</v>
      </c>
      <c r="G16" s="191">
        <v>37</v>
      </c>
      <c r="H16" s="190">
        <v>205</v>
      </c>
      <c r="I16" s="190">
        <v>0</v>
      </c>
      <c r="J16" s="190">
        <v>205</v>
      </c>
      <c r="K16" s="189">
        <v>0.1351</v>
      </c>
      <c r="L16" s="188">
        <v>1</v>
      </c>
      <c r="M16" s="188">
        <v>0</v>
      </c>
      <c r="N16" s="187">
        <v>35.83</v>
      </c>
      <c r="O16" s="186">
        <v>0.87</v>
      </c>
      <c r="P16" s="186">
        <v>0</v>
      </c>
      <c r="Q16" s="185">
        <v>0.56000000000000005</v>
      </c>
    </row>
    <row r="17" spans="1:17" ht="22.5" customHeight="1" x14ac:dyDescent="0.25">
      <c r="A17" s="184">
        <v>14</v>
      </c>
      <c r="B17" s="193" t="s">
        <v>274</v>
      </c>
      <c r="C17" s="192">
        <v>2.35</v>
      </c>
      <c r="D17" s="191">
        <v>2</v>
      </c>
      <c r="E17" s="191">
        <v>2</v>
      </c>
      <c r="F17" s="191">
        <v>0</v>
      </c>
      <c r="G17" s="191">
        <v>13</v>
      </c>
      <c r="H17" s="190">
        <v>20</v>
      </c>
      <c r="I17" s="190">
        <v>0</v>
      </c>
      <c r="J17" s="190">
        <v>20</v>
      </c>
      <c r="K17" s="189">
        <v>0.15379999999999999</v>
      </c>
      <c r="L17" s="188">
        <v>1</v>
      </c>
      <c r="M17" s="188">
        <v>0</v>
      </c>
      <c r="N17" s="187">
        <v>8.51</v>
      </c>
      <c r="O17" s="186">
        <v>0.85</v>
      </c>
      <c r="P17" s="186">
        <v>0</v>
      </c>
      <c r="Q17" s="185">
        <v>0.54</v>
      </c>
    </row>
    <row r="18" spans="1:17" ht="22.5" customHeight="1" x14ac:dyDescent="0.25">
      <c r="A18" s="184">
        <v>15</v>
      </c>
      <c r="B18" s="193" t="s">
        <v>353</v>
      </c>
      <c r="C18" s="192">
        <v>1.752</v>
      </c>
      <c r="D18" s="191">
        <v>3</v>
      </c>
      <c r="E18" s="191">
        <v>1</v>
      </c>
      <c r="F18" s="191">
        <v>0</v>
      </c>
      <c r="G18" s="191">
        <v>4</v>
      </c>
      <c r="H18" s="190">
        <v>20</v>
      </c>
      <c r="I18" s="190">
        <v>0</v>
      </c>
      <c r="J18" s="190">
        <v>50</v>
      </c>
      <c r="K18" s="189">
        <v>0.75</v>
      </c>
      <c r="L18" s="188">
        <v>0.33329999999999999</v>
      </c>
      <c r="M18" s="188">
        <v>0</v>
      </c>
      <c r="N18" s="187">
        <v>11.42</v>
      </c>
      <c r="O18" s="186">
        <v>0.56999999999999995</v>
      </c>
      <c r="P18" s="186">
        <v>0</v>
      </c>
      <c r="Q18" s="185">
        <v>0.53</v>
      </c>
    </row>
    <row r="19" spans="1:17" ht="22.5" customHeight="1" x14ac:dyDescent="0.25">
      <c r="A19" s="184">
        <v>16</v>
      </c>
      <c r="B19" s="193" t="s">
        <v>405</v>
      </c>
      <c r="C19" s="192">
        <v>4.5270000000000001</v>
      </c>
      <c r="D19" s="191">
        <v>3</v>
      </c>
      <c r="E19" s="191">
        <v>3</v>
      </c>
      <c r="F19" s="191">
        <v>0</v>
      </c>
      <c r="G19" s="191">
        <v>19</v>
      </c>
      <c r="H19" s="190">
        <v>60</v>
      </c>
      <c r="I19" s="190">
        <v>0</v>
      </c>
      <c r="J19" s="190">
        <v>60</v>
      </c>
      <c r="K19" s="189">
        <v>0.15790000000000001</v>
      </c>
      <c r="L19" s="188">
        <v>1</v>
      </c>
      <c r="M19" s="188">
        <v>0</v>
      </c>
      <c r="N19" s="187">
        <v>13.25</v>
      </c>
      <c r="O19" s="186">
        <v>0.66</v>
      </c>
      <c r="P19" s="186">
        <v>0</v>
      </c>
      <c r="Q19" s="185">
        <v>0.52</v>
      </c>
    </row>
    <row r="20" spans="1:17" ht="22.5" customHeight="1" x14ac:dyDescent="0.25">
      <c r="A20" s="184">
        <v>17</v>
      </c>
      <c r="B20" s="193" t="s">
        <v>336</v>
      </c>
      <c r="C20" s="192">
        <v>3.9729999999999999</v>
      </c>
      <c r="D20" s="191">
        <v>3</v>
      </c>
      <c r="E20" s="191">
        <v>3</v>
      </c>
      <c r="F20" s="191">
        <v>0</v>
      </c>
      <c r="G20" s="191">
        <v>26</v>
      </c>
      <c r="H20" s="190">
        <v>65</v>
      </c>
      <c r="I20" s="190">
        <v>0</v>
      </c>
      <c r="J20" s="190">
        <v>65</v>
      </c>
      <c r="K20" s="189">
        <v>0.1154</v>
      </c>
      <c r="L20" s="188">
        <v>1</v>
      </c>
      <c r="M20" s="188">
        <v>0</v>
      </c>
      <c r="N20" s="187">
        <v>16.36</v>
      </c>
      <c r="O20" s="186">
        <v>0.76</v>
      </c>
      <c r="P20" s="186">
        <v>0</v>
      </c>
      <c r="Q20" s="185">
        <v>0.51</v>
      </c>
    </row>
    <row r="21" spans="1:17" ht="22.5" customHeight="1" x14ac:dyDescent="0.25">
      <c r="A21" s="184">
        <v>18</v>
      </c>
      <c r="B21" s="193" t="s">
        <v>321</v>
      </c>
      <c r="C21" s="192">
        <v>3.1509999999999998</v>
      </c>
      <c r="D21" s="191">
        <v>2</v>
      </c>
      <c r="E21" s="191">
        <v>2</v>
      </c>
      <c r="F21" s="191">
        <v>0</v>
      </c>
      <c r="G21" s="191">
        <v>12</v>
      </c>
      <c r="H21" s="190">
        <v>25</v>
      </c>
      <c r="I21" s="190">
        <v>0</v>
      </c>
      <c r="J21" s="190">
        <v>25</v>
      </c>
      <c r="K21" s="189">
        <v>0.16669999999999999</v>
      </c>
      <c r="L21" s="188">
        <v>1</v>
      </c>
      <c r="M21" s="188">
        <v>0</v>
      </c>
      <c r="N21" s="187">
        <v>7.93</v>
      </c>
      <c r="O21" s="186">
        <v>0.63</v>
      </c>
      <c r="P21" s="186">
        <v>0</v>
      </c>
      <c r="Q21" s="185">
        <v>0.51</v>
      </c>
    </row>
    <row r="22" spans="1:17" ht="22.5" customHeight="1" x14ac:dyDescent="0.25">
      <c r="A22" s="184">
        <v>19</v>
      </c>
      <c r="B22" s="193" t="s">
        <v>365</v>
      </c>
      <c r="C22" s="192">
        <v>6.774</v>
      </c>
      <c r="D22" s="191">
        <v>5</v>
      </c>
      <c r="E22" s="191">
        <v>5</v>
      </c>
      <c r="F22" s="191">
        <v>0</v>
      </c>
      <c r="G22" s="191">
        <v>35</v>
      </c>
      <c r="H22" s="190">
        <v>40</v>
      </c>
      <c r="I22" s="190">
        <v>0</v>
      </c>
      <c r="J22" s="190">
        <v>40</v>
      </c>
      <c r="K22" s="189">
        <v>0.1429</v>
      </c>
      <c r="L22" s="188">
        <v>1</v>
      </c>
      <c r="M22" s="188">
        <v>0</v>
      </c>
      <c r="N22" s="187">
        <v>5.9</v>
      </c>
      <c r="O22" s="186">
        <v>0.74</v>
      </c>
      <c r="P22" s="186">
        <v>0</v>
      </c>
      <c r="Q22" s="185">
        <v>0.49</v>
      </c>
    </row>
    <row r="23" spans="1:17" ht="22.5" customHeight="1" x14ac:dyDescent="0.25">
      <c r="A23" s="184">
        <v>20</v>
      </c>
      <c r="B23" s="193" t="s">
        <v>357</v>
      </c>
      <c r="C23" s="192">
        <v>6.0990000000000002</v>
      </c>
      <c r="D23" s="191">
        <v>3</v>
      </c>
      <c r="E23" s="191">
        <v>3</v>
      </c>
      <c r="F23" s="191">
        <v>0</v>
      </c>
      <c r="G23" s="191">
        <v>17</v>
      </c>
      <c r="H23" s="190">
        <v>35</v>
      </c>
      <c r="I23" s="190">
        <v>0</v>
      </c>
      <c r="J23" s="190">
        <v>35</v>
      </c>
      <c r="K23" s="189">
        <v>0.17649999999999999</v>
      </c>
      <c r="L23" s="188">
        <v>1</v>
      </c>
      <c r="M23" s="188">
        <v>0</v>
      </c>
      <c r="N23" s="187">
        <v>5.74</v>
      </c>
      <c r="O23" s="186">
        <v>0.49</v>
      </c>
      <c r="P23" s="186">
        <v>0</v>
      </c>
      <c r="Q23" s="185">
        <v>0.49</v>
      </c>
    </row>
    <row r="24" spans="1:17" ht="22.5" customHeight="1" x14ac:dyDescent="0.25">
      <c r="A24" s="184">
        <v>21</v>
      </c>
      <c r="B24" s="193" t="s">
        <v>382</v>
      </c>
      <c r="C24" s="192">
        <v>3.9990000000000001</v>
      </c>
      <c r="D24" s="191">
        <v>2</v>
      </c>
      <c r="E24" s="191">
        <v>2</v>
      </c>
      <c r="F24" s="191">
        <v>0</v>
      </c>
      <c r="G24" s="191">
        <v>14</v>
      </c>
      <c r="H24" s="190">
        <v>30</v>
      </c>
      <c r="I24" s="190">
        <v>0</v>
      </c>
      <c r="J24" s="190">
        <v>30</v>
      </c>
      <c r="K24" s="189">
        <v>0.1429</v>
      </c>
      <c r="L24" s="188">
        <v>1</v>
      </c>
      <c r="M24" s="188">
        <v>0</v>
      </c>
      <c r="N24" s="187">
        <v>7.5</v>
      </c>
      <c r="O24" s="186">
        <v>0.5</v>
      </c>
      <c r="P24" s="186">
        <v>0</v>
      </c>
      <c r="Q24" s="185">
        <v>0.48</v>
      </c>
    </row>
    <row r="25" spans="1:17" ht="22.5" customHeight="1" x14ac:dyDescent="0.25">
      <c r="A25" s="184">
        <v>22</v>
      </c>
      <c r="B25" s="193" t="s">
        <v>314</v>
      </c>
      <c r="C25" s="192">
        <v>3.5950000000000002</v>
      </c>
      <c r="D25" s="191">
        <v>3</v>
      </c>
      <c r="E25" s="191">
        <v>1</v>
      </c>
      <c r="F25" s="191">
        <v>0</v>
      </c>
      <c r="G25" s="191">
        <v>18</v>
      </c>
      <c r="H25" s="190">
        <v>100</v>
      </c>
      <c r="I25" s="190">
        <v>0</v>
      </c>
      <c r="J25" s="190">
        <v>135</v>
      </c>
      <c r="K25" s="189">
        <v>0.16669999999999999</v>
      </c>
      <c r="L25" s="188">
        <v>0.33329999999999999</v>
      </c>
      <c r="M25" s="188">
        <v>0</v>
      </c>
      <c r="N25" s="187">
        <v>27.82</v>
      </c>
      <c r="O25" s="186">
        <v>0.28000000000000003</v>
      </c>
      <c r="P25" s="186">
        <v>0</v>
      </c>
      <c r="Q25" s="185">
        <v>0.47</v>
      </c>
    </row>
    <row r="26" spans="1:17" ht="22.5" customHeight="1" x14ac:dyDescent="0.25">
      <c r="A26" s="184">
        <v>23</v>
      </c>
      <c r="B26" s="193" t="s">
        <v>351</v>
      </c>
      <c r="C26" s="192">
        <v>5.6349999999999998</v>
      </c>
      <c r="D26" s="191">
        <v>5</v>
      </c>
      <c r="E26" s="191">
        <v>2</v>
      </c>
      <c r="F26" s="191">
        <v>0</v>
      </c>
      <c r="G26" s="191">
        <v>19</v>
      </c>
      <c r="H26" s="190">
        <v>30</v>
      </c>
      <c r="I26" s="190">
        <v>0</v>
      </c>
      <c r="J26" s="190">
        <v>85</v>
      </c>
      <c r="K26" s="189">
        <v>0.26319999999999999</v>
      </c>
      <c r="L26" s="188">
        <v>0.4</v>
      </c>
      <c r="M26" s="188">
        <v>0</v>
      </c>
      <c r="N26" s="187">
        <v>5.32</v>
      </c>
      <c r="O26" s="186">
        <v>0.35</v>
      </c>
      <c r="P26" s="186">
        <v>0</v>
      </c>
      <c r="Q26" s="185">
        <v>0.46</v>
      </c>
    </row>
    <row r="27" spans="1:17" ht="22.5" customHeight="1" x14ac:dyDescent="0.25">
      <c r="A27" s="184">
        <v>24</v>
      </c>
      <c r="B27" s="193" t="s">
        <v>420</v>
      </c>
      <c r="C27" s="192">
        <v>6.8879999999999999</v>
      </c>
      <c r="D27" s="191">
        <v>4</v>
      </c>
      <c r="E27" s="191">
        <v>3</v>
      </c>
      <c r="F27" s="191">
        <v>0</v>
      </c>
      <c r="G27" s="191">
        <v>23</v>
      </c>
      <c r="H27" s="190">
        <v>25</v>
      </c>
      <c r="I27" s="190">
        <v>0</v>
      </c>
      <c r="J27" s="190">
        <v>45</v>
      </c>
      <c r="K27" s="189">
        <v>0.1739</v>
      </c>
      <c r="L27" s="188">
        <v>0.75</v>
      </c>
      <c r="M27" s="188">
        <v>0</v>
      </c>
      <c r="N27" s="187">
        <v>3.63</v>
      </c>
      <c r="O27" s="186">
        <v>0.44</v>
      </c>
      <c r="P27" s="186">
        <v>0</v>
      </c>
      <c r="Q27" s="185">
        <v>0.46</v>
      </c>
    </row>
    <row r="28" spans="1:17" ht="22.5" customHeight="1" x14ac:dyDescent="0.25">
      <c r="A28" s="184">
        <v>25</v>
      </c>
      <c r="B28" s="193" t="s">
        <v>403</v>
      </c>
      <c r="C28" s="192">
        <v>4.7380000000000004</v>
      </c>
      <c r="D28" s="191">
        <v>2</v>
      </c>
      <c r="E28" s="191">
        <v>2</v>
      </c>
      <c r="F28" s="191">
        <v>0</v>
      </c>
      <c r="G28" s="191">
        <v>14</v>
      </c>
      <c r="H28" s="190">
        <v>30</v>
      </c>
      <c r="I28" s="190">
        <v>0</v>
      </c>
      <c r="J28" s="190">
        <v>30</v>
      </c>
      <c r="K28" s="189">
        <v>0.1429</v>
      </c>
      <c r="L28" s="188">
        <v>1</v>
      </c>
      <c r="M28" s="188">
        <v>0</v>
      </c>
      <c r="N28" s="187">
        <v>6.33</v>
      </c>
      <c r="O28" s="186">
        <v>0.42</v>
      </c>
      <c r="P28" s="186">
        <v>0</v>
      </c>
      <c r="Q28" s="185">
        <v>0.45</v>
      </c>
    </row>
    <row r="29" spans="1:17" ht="22.5" customHeight="1" x14ac:dyDescent="0.25">
      <c r="A29" s="184">
        <v>26</v>
      </c>
      <c r="B29" s="193" t="s">
        <v>291</v>
      </c>
      <c r="C29" s="192">
        <v>3.0270000000000001</v>
      </c>
      <c r="D29" s="191">
        <v>1</v>
      </c>
      <c r="E29" s="191">
        <v>1</v>
      </c>
      <c r="F29" s="191">
        <v>0</v>
      </c>
      <c r="G29" s="191">
        <v>15</v>
      </c>
      <c r="H29" s="190">
        <v>20</v>
      </c>
      <c r="I29" s="190">
        <v>0</v>
      </c>
      <c r="J29" s="190">
        <v>20</v>
      </c>
      <c r="K29" s="189">
        <v>6.6699999999999995E-2</v>
      </c>
      <c r="L29" s="188">
        <v>1</v>
      </c>
      <c r="M29" s="188">
        <v>0</v>
      </c>
      <c r="N29" s="187">
        <v>6.61</v>
      </c>
      <c r="O29" s="186">
        <v>0.33</v>
      </c>
      <c r="P29" s="186">
        <v>0</v>
      </c>
      <c r="Q29" s="185">
        <v>0.42</v>
      </c>
    </row>
    <row r="30" spans="1:17" ht="22.5" customHeight="1" x14ac:dyDescent="0.25">
      <c r="A30" s="184">
        <v>27</v>
      </c>
      <c r="B30" s="193" t="s">
        <v>324</v>
      </c>
      <c r="C30" s="192">
        <v>2.9409999999999998</v>
      </c>
      <c r="D30" s="191">
        <v>2</v>
      </c>
      <c r="E30" s="191">
        <v>1</v>
      </c>
      <c r="F30" s="191">
        <v>0</v>
      </c>
      <c r="G30" s="191">
        <v>18</v>
      </c>
      <c r="H30" s="190">
        <v>10</v>
      </c>
      <c r="I30" s="190">
        <v>0</v>
      </c>
      <c r="J30" s="190">
        <v>35</v>
      </c>
      <c r="K30" s="189">
        <v>0.1111</v>
      </c>
      <c r="L30" s="188">
        <v>0.5</v>
      </c>
      <c r="M30" s="188">
        <v>0</v>
      </c>
      <c r="N30" s="187">
        <v>3.4</v>
      </c>
      <c r="O30" s="186">
        <v>0.34</v>
      </c>
      <c r="P30" s="186">
        <v>0</v>
      </c>
      <c r="Q30" s="185">
        <v>0.38</v>
      </c>
    </row>
    <row r="31" spans="1:17" ht="22.5" customHeight="1" x14ac:dyDescent="0.25">
      <c r="A31" s="184">
        <v>28</v>
      </c>
      <c r="B31" s="193" t="s">
        <v>332</v>
      </c>
      <c r="C31" s="192">
        <v>7.1719999999999997</v>
      </c>
      <c r="D31" s="191">
        <v>2</v>
      </c>
      <c r="E31" s="191">
        <v>1</v>
      </c>
      <c r="F31" s="191">
        <v>0</v>
      </c>
      <c r="G31" s="191">
        <v>31</v>
      </c>
      <c r="H31" s="190">
        <v>50</v>
      </c>
      <c r="I31" s="190">
        <v>0</v>
      </c>
      <c r="J31" s="190">
        <v>75</v>
      </c>
      <c r="K31" s="189">
        <v>6.4500000000000002E-2</v>
      </c>
      <c r="L31" s="188">
        <v>0.5</v>
      </c>
      <c r="M31" s="188">
        <v>0</v>
      </c>
      <c r="N31" s="187">
        <v>6.97</v>
      </c>
      <c r="O31" s="186">
        <v>0.14000000000000001</v>
      </c>
      <c r="P31" s="186">
        <v>0</v>
      </c>
      <c r="Q31" s="185">
        <v>0.36</v>
      </c>
    </row>
    <row r="32" spans="1:17" ht="22.5" customHeight="1" x14ac:dyDescent="0.25">
      <c r="A32" s="184">
        <v>29</v>
      </c>
      <c r="B32" s="193" t="s">
        <v>363</v>
      </c>
      <c r="C32" s="192">
        <v>5.0019999999999998</v>
      </c>
      <c r="D32" s="191">
        <v>1</v>
      </c>
      <c r="E32" s="191">
        <v>1</v>
      </c>
      <c r="F32" s="191">
        <v>0</v>
      </c>
      <c r="G32" s="191">
        <v>29</v>
      </c>
      <c r="H32" s="190">
        <v>25</v>
      </c>
      <c r="I32" s="190">
        <v>0</v>
      </c>
      <c r="J32" s="190">
        <v>25</v>
      </c>
      <c r="K32" s="189">
        <v>3.4500000000000003E-2</v>
      </c>
      <c r="L32" s="188">
        <v>1</v>
      </c>
      <c r="M32" s="188">
        <v>0</v>
      </c>
      <c r="N32" s="187">
        <v>5</v>
      </c>
      <c r="O32" s="186">
        <v>0.2</v>
      </c>
      <c r="P32" s="186">
        <v>0</v>
      </c>
      <c r="Q32" s="185">
        <v>0.36</v>
      </c>
    </row>
    <row r="33" spans="1:17" ht="22.5" customHeight="1" x14ac:dyDescent="0.25">
      <c r="A33" s="184">
        <v>30</v>
      </c>
      <c r="B33" s="193" t="s">
        <v>350</v>
      </c>
      <c r="C33" s="192">
        <v>13.117000000000001</v>
      </c>
      <c r="D33" s="191">
        <v>2</v>
      </c>
      <c r="E33" s="191">
        <v>2</v>
      </c>
      <c r="F33" s="191">
        <v>0</v>
      </c>
      <c r="G33" s="191">
        <v>58</v>
      </c>
      <c r="H33" s="190">
        <v>50</v>
      </c>
      <c r="I33" s="190">
        <v>0</v>
      </c>
      <c r="J33" s="190">
        <v>50</v>
      </c>
      <c r="K33" s="189">
        <v>3.4500000000000003E-2</v>
      </c>
      <c r="L33" s="188">
        <v>1</v>
      </c>
      <c r="M33" s="188">
        <v>0</v>
      </c>
      <c r="N33" s="187">
        <v>3.81</v>
      </c>
      <c r="O33" s="186">
        <v>0.15</v>
      </c>
      <c r="P33" s="186">
        <v>0</v>
      </c>
      <c r="Q33" s="185">
        <v>0.35</v>
      </c>
    </row>
    <row r="34" spans="1:17" ht="22.5" customHeight="1" x14ac:dyDescent="0.25">
      <c r="A34" s="184">
        <v>31</v>
      </c>
      <c r="B34" s="193" t="s">
        <v>326</v>
      </c>
      <c r="C34" s="192">
        <v>6.94</v>
      </c>
      <c r="D34" s="191">
        <v>1</v>
      </c>
      <c r="E34" s="191">
        <v>1</v>
      </c>
      <c r="F34" s="191">
        <v>0</v>
      </c>
      <c r="G34" s="191">
        <v>14</v>
      </c>
      <c r="H34" s="190">
        <v>10</v>
      </c>
      <c r="I34" s="190">
        <v>0</v>
      </c>
      <c r="J34" s="190">
        <v>10</v>
      </c>
      <c r="K34" s="189">
        <v>7.1400000000000005E-2</v>
      </c>
      <c r="L34" s="188">
        <v>1</v>
      </c>
      <c r="M34" s="188">
        <v>0</v>
      </c>
      <c r="N34" s="187">
        <v>1.44</v>
      </c>
      <c r="O34" s="186">
        <v>0.14000000000000001</v>
      </c>
      <c r="P34" s="186">
        <v>0</v>
      </c>
      <c r="Q34" s="185">
        <v>0.35</v>
      </c>
    </row>
    <row r="35" spans="1:17" ht="22.5" customHeight="1" x14ac:dyDescent="0.25">
      <c r="A35" s="184">
        <v>32</v>
      </c>
      <c r="B35" s="193" t="s">
        <v>269</v>
      </c>
      <c r="C35" s="192">
        <v>7.1059999999999999</v>
      </c>
      <c r="D35" s="191">
        <v>1</v>
      </c>
      <c r="E35" s="191">
        <v>1</v>
      </c>
      <c r="F35" s="191">
        <v>0</v>
      </c>
      <c r="G35" s="191">
        <v>27</v>
      </c>
      <c r="H35" s="190">
        <v>20</v>
      </c>
      <c r="I35" s="190">
        <v>0</v>
      </c>
      <c r="J35" s="190">
        <v>20</v>
      </c>
      <c r="K35" s="189">
        <v>3.6999999999999998E-2</v>
      </c>
      <c r="L35" s="188">
        <v>1</v>
      </c>
      <c r="M35" s="188">
        <v>0</v>
      </c>
      <c r="N35" s="187">
        <v>2.81</v>
      </c>
      <c r="O35" s="186">
        <v>0.14000000000000001</v>
      </c>
      <c r="P35" s="186">
        <v>0</v>
      </c>
      <c r="Q35" s="185">
        <v>0.33</v>
      </c>
    </row>
    <row r="36" spans="1:17" ht="22.5" customHeight="1" x14ac:dyDescent="0.25">
      <c r="A36" s="184">
        <v>33</v>
      </c>
      <c r="B36" s="193" t="s">
        <v>281</v>
      </c>
      <c r="C36" s="192">
        <v>7.2809999999999997</v>
      </c>
      <c r="D36" s="191">
        <v>1</v>
      </c>
      <c r="E36" s="191">
        <v>1</v>
      </c>
      <c r="F36" s="191">
        <v>0</v>
      </c>
      <c r="G36" s="191">
        <v>35</v>
      </c>
      <c r="H36" s="190">
        <v>5</v>
      </c>
      <c r="I36" s="190">
        <v>0</v>
      </c>
      <c r="J36" s="190">
        <v>5</v>
      </c>
      <c r="K36" s="189">
        <v>2.86E-2</v>
      </c>
      <c r="L36" s="188">
        <v>1</v>
      </c>
      <c r="M36" s="188">
        <v>0</v>
      </c>
      <c r="N36" s="187">
        <v>0.69</v>
      </c>
      <c r="O36" s="186">
        <v>0.14000000000000001</v>
      </c>
      <c r="P36" s="186">
        <v>0</v>
      </c>
      <c r="Q36" s="185">
        <v>0.31</v>
      </c>
    </row>
    <row r="37" spans="1:17" ht="22.5" customHeight="1" x14ac:dyDescent="0.25">
      <c r="A37" s="184">
        <v>34</v>
      </c>
      <c r="B37" s="193" t="s">
        <v>295</v>
      </c>
      <c r="C37" s="192">
        <v>1.137</v>
      </c>
      <c r="D37" s="191">
        <v>1</v>
      </c>
      <c r="E37" s="191">
        <v>0</v>
      </c>
      <c r="F37" s="191">
        <v>0</v>
      </c>
      <c r="G37" s="191">
        <v>2</v>
      </c>
      <c r="H37" s="190">
        <v>0</v>
      </c>
      <c r="I37" s="190">
        <v>0</v>
      </c>
      <c r="J37" s="190">
        <v>10</v>
      </c>
      <c r="K37" s="189">
        <v>0.5</v>
      </c>
      <c r="L37" s="188">
        <v>0</v>
      </c>
      <c r="M37" s="188">
        <v>0</v>
      </c>
      <c r="N37" s="187">
        <v>0</v>
      </c>
      <c r="O37" s="186">
        <v>0</v>
      </c>
      <c r="P37" s="186">
        <v>0</v>
      </c>
      <c r="Q37" s="185">
        <v>0.2</v>
      </c>
    </row>
    <row r="38" spans="1:17" ht="22.5" customHeight="1" x14ac:dyDescent="0.25">
      <c r="A38" s="184">
        <v>35</v>
      </c>
      <c r="B38" s="193" t="s">
        <v>397</v>
      </c>
      <c r="C38" s="192">
        <v>7.0650000000000004</v>
      </c>
      <c r="D38" s="191">
        <v>1</v>
      </c>
      <c r="E38" s="191">
        <v>0</v>
      </c>
      <c r="F38" s="191">
        <v>0</v>
      </c>
      <c r="G38" s="191">
        <v>11</v>
      </c>
      <c r="H38" s="190">
        <v>0</v>
      </c>
      <c r="I38" s="190">
        <v>0</v>
      </c>
      <c r="J38" s="190">
        <v>25</v>
      </c>
      <c r="K38" s="189">
        <v>9.0899999999999995E-2</v>
      </c>
      <c r="L38" s="188">
        <v>0</v>
      </c>
      <c r="M38" s="188">
        <v>0</v>
      </c>
      <c r="N38" s="187">
        <v>0</v>
      </c>
      <c r="O38" s="186">
        <v>0</v>
      </c>
      <c r="P38" s="186">
        <v>0</v>
      </c>
      <c r="Q38" s="185">
        <v>0.11</v>
      </c>
    </row>
    <row r="39" spans="1:17" ht="22.5" customHeight="1" x14ac:dyDescent="0.25">
      <c r="A39" s="184">
        <v>36</v>
      </c>
      <c r="B39" s="193" t="s">
        <v>352</v>
      </c>
      <c r="C39" s="192">
        <v>7.2039999999999997</v>
      </c>
      <c r="D39" s="191">
        <v>1</v>
      </c>
      <c r="E39" s="191">
        <v>0</v>
      </c>
      <c r="F39" s="191">
        <v>0</v>
      </c>
      <c r="G39" s="191">
        <v>25</v>
      </c>
      <c r="H39" s="190">
        <v>0</v>
      </c>
      <c r="I39" s="190">
        <v>0</v>
      </c>
      <c r="J39" s="190">
        <v>50</v>
      </c>
      <c r="K39" s="189">
        <v>0.04</v>
      </c>
      <c r="L39" s="188">
        <v>0</v>
      </c>
      <c r="M39" s="188">
        <v>0</v>
      </c>
      <c r="N39" s="187">
        <v>0</v>
      </c>
      <c r="O39" s="186">
        <v>0</v>
      </c>
      <c r="P39" s="186">
        <v>0</v>
      </c>
      <c r="Q39" s="185">
        <v>0.1</v>
      </c>
    </row>
    <row r="40" spans="1:17" ht="22.5" customHeight="1" x14ac:dyDescent="0.25">
      <c r="A40" s="184">
        <v>37</v>
      </c>
      <c r="B40" s="193" t="s">
        <v>406</v>
      </c>
      <c r="C40" s="192">
        <v>7.6520000000000001</v>
      </c>
      <c r="D40" s="191">
        <v>1</v>
      </c>
      <c r="E40" s="191">
        <v>0</v>
      </c>
      <c r="F40" s="191">
        <v>0</v>
      </c>
      <c r="G40" s="191">
        <v>29</v>
      </c>
      <c r="H40" s="190">
        <v>0</v>
      </c>
      <c r="I40" s="190">
        <v>0</v>
      </c>
      <c r="J40" s="190">
        <v>5</v>
      </c>
      <c r="K40" s="189">
        <v>3.4500000000000003E-2</v>
      </c>
      <c r="L40" s="188">
        <v>0</v>
      </c>
      <c r="M40" s="188">
        <v>0</v>
      </c>
      <c r="N40" s="187">
        <v>0</v>
      </c>
      <c r="O40" s="186">
        <v>0</v>
      </c>
      <c r="P40" s="186">
        <v>0</v>
      </c>
      <c r="Q40" s="185">
        <v>0.08</v>
      </c>
    </row>
    <row r="41" spans="1:17" ht="22.5" customHeight="1" x14ac:dyDescent="0.25">
      <c r="A41" s="184">
        <v>38</v>
      </c>
      <c r="B41" s="193" t="s">
        <v>392</v>
      </c>
      <c r="C41" s="192">
        <v>1.708</v>
      </c>
      <c r="D41" s="191">
        <v>0</v>
      </c>
      <c r="E41" s="191">
        <v>0</v>
      </c>
      <c r="F41" s="191">
        <v>0</v>
      </c>
      <c r="G41" s="191">
        <v>4</v>
      </c>
      <c r="H41" s="190">
        <v>0</v>
      </c>
      <c r="I41" s="190">
        <v>0</v>
      </c>
      <c r="J41" s="190">
        <v>0</v>
      </c>
      <c r="K41" s="189">
        <v>0</v>
      </c>
      <c r="L41" s="188">
        <v>0</v>
      </c>
      <c r="M41" s="188">
        <v>0</v>
      </c>
      <c r="N41" s="187">
        <v>0</v>
      </c>
      <c r="O41" s="186">
        <v>0</v>
      </c>
      <c r="P41" s="186">
        <v>0</v>
      </c>
      <c r="Q41" s="185">
        <v>0.02</v>
      </c>
    </row>
    <row r="42" spans="1:17" ht="22.5" customHeight="1" x14ac:dyDescent="0.25">
      <c r="A42" s="184">
        <v>39</v>
      </c>
      <c r="B42" s="193" t="s">
        <v>280</v>
      </c>
      <c r="C42" s="192">
        <v>0.28899999999999998</v>
      </c>
      <c r="D42" s="191">
        <v>0</v>
      </c>
      <c r="E42" s="191">
        <v>0</v>
      </c>
      <c r="F42" s="191">
        <v>0</v>
      </c>
      <c r="G42" s="191">
        <v>0</v>
      </c>
      <c r="H42" s="190">
        <v>0</v>
      </c>
      <c r="I42" s="190">
        <v>0</v>
      </c>
      <c r="J42" s="190">
        <v>0</v>
      </c>
      <c r="K42" s="189">
        <v>0</v>
      </c>
      <c r="L42" s="188">
        <v>0</v>
      </c>
      <c r="M42" s="188">
        <v>0</v>
      </c>
      <c r="N42" s="187">
        <v>0</v>
      </c>
      <c r="O42" s="186">
        <v>0</v>
      </c>
      <c r="P42" s="186">
        <v>0</v>
      </c>
      <c r="Q42" s="185">
        <v>0.02</v>
      </c>
    </row>
    <row r="43" spans="1:17" ht="22.5" customHeight="1" x14ac:dyDescent="0.25">
      <c r="A43" s="184">
        <v>40</v>
      </c>
      <c r="B43" s="193" t="s">
        <v>315</v>
      </c>
      <c r="C43" s="192">
        <v>7.2210000000000001</v>
      </c>
      <c r="D43" s="191">
        <v>0</v>
      </c>
      <c r="E43" s="191">
        <v>0</v>
      </c>
      <c r="F43" s="191">
        <v>0</v>
      </c>
      <c r="G43" s="191">
        <v>42</v>
      </c>
      <c r="H43" s="190">
        <v>0</v>
      </c>
      <c r="I43" s="190">
        <v>0</v>
      </c>
      <c r="J43" s="190">
        <v>0</v>
      </c>
      <c r="K43" s="189">
        <v>0</v>
      </c>
      <c r="L43" s="188">
        <v>0</v>
      </c>
      <c r="M43" s="188">
        <v>0</v>
      </c>
      <c r="N43" s="187">
        <v>0</v>
      </c>
      <c r="O43" s="186">
        <v>0</v>
      </c>
      <c r="P43" s="186">
        <v>0</v>
      </c>
      <c r="Q43" s="185">
        <v>0.02</v>
      </c>
    </row>
    <row r="44" spans="1:17" ht="22.5" customHeight="1" x14ac:dyDescent="0.25">
      <c r="A44" s="184">
        <v>41</v>
      </c>
      <c r="B44" s="193" t="s">
        <v>355</v>
      </c>
      <c r="C44" s="192">
        <v>2.5830000000000002</v>
      </c>
      <c r="D44" s="191">
        <v>0</v>
      </c>
      <c r="E44" s="191">
        <v>0</v>
      </c>
      <c r="F44" s="191">
        <v>0</v>
      </c>
      <c r="G44" s="191">
        <v>9</v>
      </c>
      <c r="H44" s="190">
        <v>0</v>
      </c>
      <c r="I44" s="190">
        <v>0</v>
      </c>
      <c r="J44" s="190">
        <v>0</v>
      </c>
      <c r="K44" s="189">
        <v>0</v>
      </c>
      <c r="L44" s="188">
        <v>0</v>
      </c>
      <c r="M44" s="188">
        <v>0</v>
      </c>
      <c r="N44" s="187">
        <v>0</v>
      </c>
      <c r="O44" s="186">
        <v>0</v>
      </c>
      <c r="P44" s="186">
        <v>0</v>
      </c>
      <c r="Q44" s="185">
        <v>0.02</v>
      </c>
    </row>
    <row r="45" spans="1:17" ht="22.5" customHeight="1" x14ac:dyDescent="0.25">
      <c r="A45" s="184">
        <v>42</v>
      </c>
      <c r="B45" s="193" t="s">
        <v>316</v>
      </c>
      <c r="C45" s="192">
        <v>5.1219999999999999</v>
      </c>
      <c r="D45" s="191">
        <v>0</v>
      </c>
      <c r="E45" s="191">
        <v>0</v>
      </c>
      <c r="F45" s="191">
        <v>0</v>
      </c>
      <c r="G45" s="191">
        <v>1</v>
      </c>
      <c r="H45" s="190">
        <v>0</v>
      </c>
      <c r="I45" s="190">
        <v>0</v>
      </c>
      <c r="J45" s="190">
        <v>0</v>
      </c>
      <c r="K45" s="189">
        <v>0</v>
      </c>
      <c r="L45" s="188">
        <v>0</v>
      </c>
      <c r="M45" s="188">
        <v>0</v>
      </c>
      <c r="N45" s="187">
        <v>0</v>
      </c>
      <c r="O45" s="186">
        <v>0</v>
      </c>
      <c r="P45" s="186">
        <v>0</v>
      </c>
      <c r="Q45" s="185">
        <v>0.02</v>
      </c>
    </row>
    <row r="46" spans="1:17" ht="22.5" customHeight="1" x14ac:dyDescent="0.25">
      <c r="A46" s="184">
        <v>43</v>
      </c>
      <c r="B46" s="193" t="s">
        <v>375</v>
      </c>
      <c r="C46" s="192">
        <v>6.4720000000000004</v>
      </c>
      <c r="D46" s="191">
        <v>0</v>
      </c>
      <c r="E46" s="191">
        <v>0</v>
      </c>
      <c r="F46" s="191">
        <v>0</v>
      </c>
      <c r="G46" s="191">
        <v>8</v>
      </c>
      <c r="H46" s="190">
        <v>0</v>
      </c>
      <c r="I46" s="190">
        <v>0</v>
      </c>
      <c r="J46" s="190">
        <v>0</v>
      </c>
      <c r="K46" s="189">
        <v>0</v>
      </c>
      <c r="L46" s="188">
        <v>0</v>
      </c>
      <c r="M46" s="188">
        <v>0</v>
      </c>
      <c r="N46" s="187">
        <v>0</v>
      </c>
      <c r="O46" s="186">
        <v>0</v>
      </c>
      <c r="P46" s="186">
        <v>0</v>
      </c>
      <c r="Q46" s="185">
        <v>0.02</v>
      </c>
    </row>
    <row r="47" spans="1:17" ht="22.5" customHeight="1" x14ac:dyDescent="0.25">
      <c r="A47" s="184">
        <v>44</v>
      </c>
      <c r="B47" s="193" t="s">
        <v>398</v>
      </c>
      <c r="C47" s="192">
        <v>0.28499999999999998</v>
      </c>
      <c r="D47" s="191">
        <v>0</v>
      </c>
      <c r="E47" s="191">
        <v>0</v>
      </c>
      <c r="F47" s="191">
        <v>0</v>
      </c>
      <c r="G47" s="191">
        <v>1</v>
      </c>
      <c r="H47" s="190">
        <v>0</v>
      </c>
      <c r="I47" s="190">
        <v>0</v>
      </c>
      <c r="J47" s="190">
        <v>0</v>
      </c>
      <c r="K47" s="189">
        <v>0</v>
      </c>
      <c r="L47" s="188">
        <v>0</v>
      </c>
      <c r="M47" s="188">
        <v>0</v>
      </c>
      <c r="N47" s="187">
        <v>0</v>
      </c>
      <c r="O47" s="186">
        <v>0</v>
      </c>
      <c r="P47" s="186">
        <v>0</v>
      </c>
      <c r="Q47" s="185">
        <v>0.02</v>
      </c>
    </row>
    <row r="48" spans="1:17" ht="22.5" customHeight="1" x14ac:dyDescent="0.25">
      <c r="A48" s="184">
        <v>45</v>
      </c>
      <c r="B48" s="193" t="s">
        <v>354</v>
      </c>
      <c r="C48" s="192">
        <v>6.3109999999999999</v>
      </c>
      <c r="D48" s="191">
        <v>0</v>
      </c>
      <c r="E48" s="191">
        <v>0</v>
      </c>
      <c r="F48" s="191">
        <v>0</v>
      </c>
      <c r="G48" s="191">
        <v>17</v>
      </c>
      <c r="H48" s="190">
        <v>0</v>
      </c>
      <c r="I48" s="190">
        <v>0</v>
      </c>
      <c r="J48" s="190">
        <v>0</v>
      </c>
      <c r="K48" s="189">
        <v>0</v>
      </c>
      <c r="L48" s="188">
        <v>0</v>
      </c>
      <c r="M48" s="188">
        <v>0</v>
      </c>
      <c r="N48" s="187">
        <v>0</v>
      </c>
      <c r="O48" s="186">
        <v>0</v>
      </c>
      <c r="P48" s="186">
        <v>0</v>
      </c>
      <c r="Q48" s="185">
        <v>0.02</v>
      </c>
    </row>
    <row r="49" spans="1:17" ht="22.5" customHeight="1" x14ac:dyDescent="0.25">
      <c r="A49" s="184">
        <v>46</v>
      </c>
      <c r="B49" s="193" t="s">
        <v>360</v>
      </c>
      <c r="C49" s="192">
        <v>1.3360000000000001</v>
      </c>
      <c r="D49" s="191">
        <v>0</v>
      </c>
      <c r="E49" s="191">
        <v>0</v>
      </c>
      <c r="F49" s="191">
        <v>0</v>
      </c>
      <c r="G49" s="191">
        <v>2</v>
      </c>
      <c r="H49" s="190">
        <v>0</v>
      </c>
      <c r="I49" s="190">
        <v>0</v>
      </c>
      <c r="J49" s="190">
        <v>0</v>
      </c>
      <c r="K49" s="189">
        <v>0</v>
      </c>
      <c r="L49" s="188">
        <v>0</v>
      </c>
      <c r="M49" s="188">
        <v>0</v>
      </c>
      <c r="N49" s="187">
        <v>0</v>
      </c>
      <c r="O49" s="186">
        <v>0</v>
      </c>
      <c r="P49" s="186">
        <v>0</v>
      </c>
      <c r="Q49" s="185">
        <v>0.02</v>
      </c>
    </row>
    <row r="50" spans="1:17" ht="22.5" customHeight="1" x14ac:dyDescent="0.25">
      <c r="A50" s="184">
        <v>47</v>
      </c>
      <c r="B50" s="193" t="s">
        <v>359</v>
      </c>
      <c r="C50" s="192">
        <v>2.2109999999999999</v>
      </c>
      <c r="D50" s="191">
        <v>0</v>
      </c>
      <c r="E50" s="191">
        <v>0</v>
      </c>
      <c r="F50" s="191">
        <v>0</v>
      </c>
      <c r="G50" s="191">
        <v>5</v>
      </c>
      <c r="H50" s="190">
        <v>0</v>
      </c>
      <c r="I50" s="190">
        <v>0</v>
      </c>
      <c r="J50" s="190">
        <v>0</v>
      </c>
      <c r="K50" s="189">
        <v>0</v>
      </c>
      <c r="L50" s="188">
        <v>0</v>
      </c>
      <c r="M50" s="188">
        <v>0</v>
      </c>
      <c r="N50" s="187">
        <v>0</v>
      </c>
      <c r="O50" s="186">
        <v>0</v>
      </c>
      <c r="P50" s="186">
        <v>0</v>
      </c>
      <c r="Q50" s="185">
        <v>0.02</v>
      </c>
    </row>
    <row r="51" spans="1:17" ht="22.5" customHeight="1" x14ac:dyDescent="0.25">
      <c r="A51" s="184">
        <v>48</v>
      </c>
      <c r="B51" s="193" t="s">
        <v>356</v>
      </c>
      <c r="C51" s="192">
        <v>0.377</v>
      </c>
      <c r="D51" s="191">
        <v>0</v>
      </c>
      <c r="E51" s="191">
        <v>0</v>
      </c>
      <c r="F51" s="191">
        <v>0</v>
      </c>
      <c r="G51" s="191">
        <v>3</v>
      </c>
      <c r="H51" s="190">
        <v>0</v>
      </c>
      <c r="I51" s="190">
        <v>0</v>
      </c>
      <c r="J51" s="190">
        <v>0</v>
      </c>
      <c r="K51" s="189">
        <v>0</v>
      </c>
      <c r="L51" s="188">
        <v>0</v>
      </c>
      <c r="M51" s="188">
        <v>0</v>
      </c>
      <c r="N51" s="187">
        <v>0</v>
      </c>
      <c r="O51" s="186">
        <v>0</v>
      </c>
      <c r="P51" s="186">
        <v>0</v>
      </c>
      <c r="Q51" s="185">
        <v>0.02</v>
      </c>
    </row>
    <row r="52" spans="1:17" ht="22.5" customHeight="1" x14ac:dyDescent="0.25">
      <c r="A52" s="184">
        <v>49</v>
      </c>
      <c r="B52" s="193" t="s">
        <v>290</v>
      </c>
      <c r="C52" s="192">
        <v>0.159</v>
      </c>
      <c r="D52" s="191">
        <v>0</v>
      </c>
      <c r="E52" s="191">
        <v>0</v>
      </c>
      <c r="F52" s="191">
        <v>0</v>
      </c>
      <c r="G52" s="191">
        <v>1</v>
      </c>
      <c r="H52" s="190">
        <v>0</v>
      </c>
      <c r="I52" s="190">
        <v>0</v>
      </c>
      <c r="J52" s="190">
        <v>0</v>
      </c>
      <c r="K52" s="189">
        <v>0</v>
      </c>
      <c r="L52" s="188">
        <v>0</v>
      </c>
      <c r="M52" s="188">
        <v>0</v>
      </c>
      <c r="N52" s="187">
        <v>0</v>
      </c>
      <c r="O52" s="186">
        <v>0</v>
      </c>
      <c r="P52" s="186">
        <v>0</v>
      </c>
      <c r="Q52" s="185">
        <v>0.02</v>
      </c>
    </row>
    <row r="53" spans="1:17" ht="22.5" customHeight="1" x14ac:dyDescent="0.25">
      <c r="A53" s="184">
        <v>50</v>
      </c>
      <c r="B53" s="193" t="s">
        <v>411</v>
      </c>
      <c r="C53" s="192">
        <v>5.6109999999999998</v>
      </c>
      <c r="D53" s="191">
        <v>0</v>
      </c>
      <c r="E53" s="191">
        <v>0</v>
      </c>
      <c r="F53" s="191">
        <v>0</v>
      </c>
      <c r="G53" s="191">
        <v>28</v>
      </c>
      <c r="H53" s="190">
        <v>0</v>
      </c>
      <c r="I53" s="190">
        <v>0</v>
      </c>
      <c r="J53" s="190">
        <v>0</v>
      </c>
      <c r="K53" s="189">
        <v>0</v>
      </c>
      <c r="L53" s="188">
        <v>0</v>
      </c>
      <c r="M53" s="188">
        <v>0</v>
      </c>
      <c r="N53" s="187">
        <v>0</v>
      </c>
      <c r="O53" s="186">
        <v>0</v>
      </c>
      <c r="P53" s="186">
        <v>0</v>
      </c>
      <c r="Q53" s="185">
        <v>0.02</v>
      </c>
    </row>
    <row r="54" spans="1:17" ht="22.5" customHeight="1" x14ac:dyDescent="0.25">
      <c r="A54" s="184">
        <v>51</v>
      </c>
      <c r="B54" s="193" t="s">
        <v>384</v>
      </c>
      <c r="C54" s="192">
        <v>4.0030000000000001</v>
      </c>
      <c r="D54" s="191">
        <v>0</v>
      </c>
      <c r="E54" s="191">
        <v>0</v>
      </c>
      <c r="F54" s="191">
        <v>0</v>
      </c>
      <c r="G54" s="191">
        <v>14</v>
      </c>
      <c r="H54" s="190">
        <v>0</v>
      </c>
      <c r="I54" s="190">
        <v>0</v>
      </c>
      <c r="J54" s="190">
        <v>0</v>
      </c>
      <c r="K54" s="189">
        <v>0</v>
      </c>
      <c r="L54" s="188">
        <v>0</v>
      </c>
      <c r="M54" s="188">
        <v>0</v>
      </c>
      <c r="N54" s="187">
        <v>0</v>
      </c>
      <c r="O54" s="186">
        <v>0</v>
      </c>
      <c r="P54" s="186">
        <v>0</v>
      </c>
      <c r="Q54" s="185">
        <v>0.02</v>
      </c>
    </row>
    <row r="55" spans="1:17" ht="22.5" customHeight="1" x14ac:dyDescent="0.25">
      <c r="A55" s="184">
        <v>52</v>
      </c>
      <c r="B55" s="193" t="s">
        <v>322</v>
      </c>
      <c r="C55" s="192">
        <v>1.3120000000000001</v>
      </c>
      <c r="D55" s="191">
        <v>0</v>
      </c>
      <c r="E55" s="191">
        <v>0</v>
      </c>
      <c r="F55" s="191">
        <v>0</v>
      </c>
      <c r="G55" s="191">
        <v>6</v>
      </c>
      <c r="H55" s="190">
        <v>0</v>
      </c>
      <c r="I55" s="190">
        <v>0</v>
      </c>
      <c r="J55" s="190">
        <v>0</v>
      </c>
      <c r="K55" s="189">
        <v>0</v>
      </c>
      <c r="L55" s="188">
        <v>0</v>
      </c>
      <c r="M55" s="188">
        <v>0</v>
      </c>
      <c r="N55" s="187">
        <v>0</v>
      </c>
      <c r="O55" s="186">
        <v>0</v>
      </c>
      <c r="P55" s="186">
        <v>0</v>
      </c>
      <c r="Q55" s="185">
        <v>0.02</v>
      </c>
    </row>
    <row r="56" spans="1:17" ht="22.5" customHeight="1" x14ac:dyDescent="0.25">
      <c r="A56" s="184">
        <v>53</v>
      </c>
      <c r="B56" s="193" t="s">
        <v>408</v>
      </c>
      <c r="C56" s="192">
        <v>0.747</v>
      </c>
      <c r="D56" s="191">
        <v>0</v>
      </c>
      <c r="E56" s="191">
        <v>0</v>
      </c>
      <c r="F56" s="191">
        <v>0</v>
      </c>
      <c r="G56" s="191">
        <v>2</v>
      </c>
      <c r="H56" s="190">
        <v>0</v>
      </c>
      <c r="I56" s="190">
        <v>0</v>
      </c>
      <c r="J56" s="190">
        <v>0</v>
      </c>
      <c r="K56" s="189">
        <v>0</v>
      </c>
      <c r="L56" s="188">
        <v>0</v>
      </c>
      <c r="M56" s="188">
        <v>0</v>
      </c>
      <c r="N56" s="187">
        <v>0</v>
      </c>
      <c r="O56" s="186">
        <v>0</v>
      </c>
      <c r="P56" s="186">
        <v>0</v>
      </c>
      <c r="Q56" s="185">
        <v>0.02</v>
      </c>
    </row>
    <row r="57" spans="1:17" ht="22.5" customHeight="1" x14ac:dyDescent="0.25">
      <c r="A57" s="184" t="s">
        <v>171</v>
      </c>
      <c r="B57" s="183" t="s">
        <v>3</v>
      </c>
      <c r="C57" s="182">
        <v>228.137</v>
      </c>
      <c r="D57" s="181">
        <v>87</v>
      </c>
      <c r="E57" s="181">
        <v>61</v>
      </c>
      <c r="F57" s="181">
        <v>10</v>
      </c>
      <c r="G57" s="181">
        <v>870</v>
      </c>
      <c r="H57" s="180">
        <v>1205</v>
      </c>
      <c r="I57" s="180">
        <v>1040</v>
      </c>
      <c r="J57" s="180">
        <v>2555</v>
      </c>
      <c r="K57" s="179">
        <v>0.1</v>
      </c>
      <c r="L57" s="178">
        <v>0.81610000000000005</v>
      </c>
      <c r="M57" s="178">
        <v>0.3846</v>
      </c>
      <c r="N57" s="177">
        <v>9.84</v>
      </c>
      <c r="O57" s="176">
        <v>0.31</v>
      </c>
      <c r="P57" s="176">
        <v>0.04</v>
      </c>
      <c r="Q57" s="175" t="s">
        <v>171</v>
      </c>
    </row>
  </sheetData>
  <sortState ref="B3:R55">
    <sortCondition descending="1" ref="Q3"/>
  </sortState>
  <mergeCells count="3">
    <mergeCell ref="F1:L1"/>
    <mergeCell ref="A2:A3"/>
    <mergeCell ref="B2:B3"/>
  </mergeCells>
  <pageMargins left="0.25" right="0.25" top="0.25" bottom="0.5" header="0.25" footer="0.25"/>
  <pageSetup orientation="portrait" cellComments="atEnd"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0000"/>
  </sheetPr>
  <dimension ref="A1:Q65"/>
  <sheetViews>
    <sheetView workbookViewId="0">
      <selection sqref="A1:Q22"/>
    </sheetView>
  </sheetViews>
  <sheetFormatPr defaultRowHeight="22.5" customHeight="1" x14ac:dyDescent="0.25"/>
  <cols>
    <col min="1" max="1" width="6" style="93" bestFit="1" customWidth="1"/>
    <col min="2" max="2" width="22.42578125" style="94" bestFit="1" customWidth="1"/>
    <col min="3" max="3" width="8.28515625" style="93" bestFit="1" customWidth="1"/>
    <col min="4" max="4" width="6" style="93" bestFit="1" customWidth="1"/>
    <col min="5" max="5" width="10.28515625" style="93" bestFit="1" customWidth="1"/>
    <col min="6" max="6" width="10.42578125" style="93" bestFit="1" customWidth="1"/>
    <col min="7" max="7" width="8.42578125" style="93" bestFit="1" customWidth="1"/>
    <col min="8" max="10" width="12" style="93" bestFit="1" customWidth="1"/>
    <col min="11" max="11" width="13.42578125" style="93" bestFit="1" customWidth="1"/>
    <col min="12" max="12" width="11.42578125" style="93" bestFit="1" customWidth="1"/>
    <col min="13" max="13" width="10.42578125" style="93" bestFit="1" customWidth="1"/>
    <col min="14" max="14" width="11.85546875" style="93" bestFit="1" customWidth="1"/>
    <col min="15" max="15" width="11.42578125" style="93" bestFit="1" customWidth="1"/>
    <col min="16" max="16" width="10.42578125" style="93" bestFit="1" customWidth="1"/>
    <col min="17" max="17" width="12.28515625" style="93" bestFit="1" customWidth="1"/>
    <col min="18" max="16384" width="9.140625" style="93"/>
  </cols>
  <sheetData>
    <row r="1" spans="1:17" ht="22.5" customHeight="1" x14ac:dyDescent="0.25">
      <c r="F1" s="610"/>
      <c r="G1" s="610"/>
      <c r="H1" s="610"/>
      <c r="I1" s="610"/>
      <c r="J1" s="610"/>
      <c r="K1" s="610"/>
      <c r="L1" s="610"/>
    </row>
    <row r="2" spans="1:17" ht="22.5" customHeight="1" x14ac:dyDescent="0.25">
      <c r="A2" s="606" t="s">
        <v>172</v>
      </c>
      <c r="B2" s="608" t="s">
        <v>7</v>
      </c>
      <c r="C2" s="199" t="s">
        <v>173</v>
      </c>
      <c r="D2" s="198" t="s">
        <v>3</v>
      </c>
      <c r="E2" s="198" t="s">
        <v>176</v>
      </c>
      <c r="F2" s="198" t="s">
        <v>166</v>
      </c>
      <c r="G2" s="198" t="s">
        <v>8</v>
      </c>
      <c r="H2" s="198" t="s">
        <v>176</v>
      </c>
      <c r="I2" s="198" t="s">
        <v>166</v>
      </c>
      <c r="J2" s="198" t="s">
        <v>3</v>
      </c>
      <c r="K2" s="198" t="s">
        <v>21</v>
      </c>
      <c r="L2" s="198" t="s">
        <v>164</v>
      </c>
      <c r="M2" s="198" t="s">
        <v>166</v>
      </c>
      <c r="N2" s="198" t="s">
        <v>164</v>
      </c>
      <c r="O2" s="198" t="s">
        <v>164</v>
      </c>
      <c r="P2" s="198" t="s">
        <v>166</v>
      </c>
      <c r="Q2" s="197" t="s">
        <v>169</v>
      </c>
    </row>
    <row r="3" spans="1:17" ht="22.5" customHeight="1" x14ac:dyDescent="0.25">
      <c r="A3" s="607"/>
      <c r="B3" s="609"/>
      <c r="C3" s="196" t="s">
        <v>174</v>
      </c>
      <c r="D3" s="195" t="s">
        <v>175</v>
      </c>
      <c r="E3" s="195" t="s">
        <v>175</v>
      </c>
      <c r="F3" s="195" t="s">
        <v>175</v>
      </c>
      <c r="G3" s="195" t="s">
        <v>12</v>
      </c>
      <c r="H3" s="195" t="s">
        <v>9</v>
      </c>
      <c r="I3" s="195" t="s">
        <v>9</v>
      </c>
      <c r="J3" s="195" t="s">
        <v>9</v>
      </c>
      <c r="K3" s="195" t="s">
        <v>13</v>
      </c>
      <c r="L3" s="195" t="s">
        <v>165</v>
      </c>
      <c r="M3" s="195" t="s">
        <v>165</v>
      </c>
      <c r="N3" s="195" t="s">
        <v>167</v>
      </c>
      <c r="O3" s="195" t="s">
        <v>168</v>
      </c>
      <c r="P3" s="195" t="s">
        <v>168</v>
      </c>
      <c r="Q3" s="194" t="s">
        <v>170</v>
      </c>
    </row>
    <row r="4" spans="1:17" ht="22.5" customHeight="1" x14ac:dyDescent="0.25">
      <c r="A4" s="184">
        <v>1</v>
      </c>
      <c r="B4" s="193" t="s">
        <v>324</v>
      </c>
      <c r="C4" s="192">
        <v>2.7759999999999998</v>
      </c>
      <c r="D4" s="191">
        <v>2</v>
      </c>
      <c r="E4" s="191">
        <v>1</v>
      </c>
      <c r="F4" s="191">
        <v>1</v>
      </c>
      <c r="G4" s="191">
        <v>8</v>
      </c>
      <c r="H4" s="190">
        <v>80</v>
      </c>
      <c r="I4" s="190">
        <v>240</v>
      </c>
      <c r="J4" s="190">
        <v>320</v>
      </c>
      <c r="K4" s="189">
        <v>0.25</v>
      </c>
      <c r="L4" s="188">
        <v>1</v>
      </c>
      <c r="M4" s="188">
        <v>1</v>
      </c>
      <c r="N4" s="187">
        <v>115.27</v>
      </c>
      <c r="O4" s="186">
        <v>0.72</v>
      </c>
      <c r="P4" s="186">
        <v>0.36</v>
      </c>
      <c r="Q4" s="185">
        <v>0.84</v>
      </c>
    </row>
    <row r="5" spans="1:17" ht="22.5" customHeight="1" x14ac:dyDescent="0.25">
      <c r="A5" s="184">
        <v>2</v>
      </c>
      <c r="B5" s="193" t="s">
        <v>330</v>
      </c>
      <c r="C5" s="192">
        <v>5.7460000000000004</v>
      </c>
      <c r="D5" s="191">
        <v>6</v>
      </c>
      <c r="E5" s="191">
        <v>3</v>
      </c>
      <c r="F5" s="191">
        <v>1</v>
      </c>
      <c r="G5" s="191">
        <v>20</v>
      </c>
      <c r="H5" s="190">
        <v>75</v>
      </c>
      <c r="I5" s="190">
        <v>100</v>
      </c>
      <c r="J5" s="190">
        <v>325</v>
      </c>
      <c r="K5" s="189">
        <v>0.3</v>
      </c>
      <c r="L5" s="188">
        <v>0.66669999999999996</v>
      </c>
      <c r="M5" s="188">
        <v>0.33329999999999999</v>
      </c>
      <c r="N5" s="187">
        <v>30.46</v>
      </c>
      <c r="O5" s="186">
        <v>0.7</v>
      </c>
      <c r="P5" s="186">
        <v>0.17</v>
      </c>
      <c r="Q5" s="185">
        <v>0.81</v>
      </c>
    </row>
    <row r="6" spans="1:17" ht="22.5" customHeight="1" x14ac:dyDescent="0.25">
      <c r="A6" s="184">
        <v>3</v>
      </c>
      <c r="B6" s="193" t="s">
        <v>291</v>
      </c>
      <c r="C6" s="192">
        <v>1.3340000000000001</v>
      </c>
      <c r="D6" s="191">
        <v>1</v>
      </c>
      <c r="E6" s="191">
        <v>0</v>
      </c>
      <c r="F6" s="191">
        <v>1</v>
      </c>
      <c r="G6" s="191">
        <v>9</v>
      </c>
      <c r="H6" s="190">
        <v>0</v>
      </c>
      <c r="I6" s="190">
        <v>120</v>
      </c>
      <c r="J6" s="190">
        <v>120</v>
      </c>
      <c r="K6" s="189">
        <v>0.1111</v>
      </c>
      <c r="L6" s="188">
        <v>1</v>
      </c>
      <c r="M6" s="188">
        <v>1</v>
      </c>
      <c r="N6" s="187">
        <v>89.96</v>
      </c>
      <c r="O6" s="186">
        <v>0.75</v>
      </c>
      <c r="P6" s="186">
        <v>0.75</v>
      </c>
      <c r="Q6" s="185">
        <v>0.81</v>
      </c>
    </row>
    <row r="7" spans="1:17" ht="22.5" customHeight="1" x14ac:dyDescent="0.25">
      <c r="A7" s="184">
        <v>4</v>
      </c>
      <c r="B7" s="193" t="s">
        <v>365</v>
      </c>
      <c r="C7" s="192">
        <v>7.0750000000000002</v>
      </c>
      <c r="D7" s="191">
        <v>4</v>
      </c>
      <c r="E7" s="191">
        <v>2</v>
      </c>
      <c r="F7" s="191">
        <v>2</v>
      </c>
      <c r="G7" s="191">
        <v>37</v>
      </c>
      <c r="H7" s="190">
        <v>10</v>
      </c>
      <c r="I7" s="190">
        <v>180</v>
      </c>
      <c r="J7" s="190">
        <v>190</v>
      </c>
      <c r="K7" s="189">
        <v>0.1081</v>
      </c>
      <c r="L7" s="188">
        <v>1</v>
      </c>
      <c r="M7" s="188">
        <v>1</v>
      </c>
      <c r="N7" s="187">
        <v>26.86</v>
      </c>
      <c r="O7" s="186">
        <v>0.56999999999999995</v>
      </c>
      <c r="P7" s="186">
        <v>0.28000000000000003</v>
      </c>
      <c r="Q7" s="185">
        <v>0.76</v>
      </c>
    </row>
    <row r="8" spans="1:17" ht="22.5" customHeight="1" x14ac:dyDescent="0.25">
      <c r="A8" s="184">
        <v>5</v>
      </c>
      <c r="B8" s="193" t="s">
        <v>406</v>
      </c>
      <c r="C8" s="192">
        <v>7.891</v>
      </c>
      <c r="D8" s="191">
        <v>4</v>
      </c>
      <c r="E8" s="191">
        <v>3</v>
      </c>
      <c r="F8" s="191">
        <v>1</v>
      </c>
      <c r="G8" s="191">
        <v>41</v>
      </c>
      <c r="H8" s="190">
        <v>130</v>
      </c>
      <c r="I8" s="190">
        <v>10</v>
      </c>
      <c r="J8" s="190">
        <v>140</v>
      </c>
      <c r="K8" s="189">
        <v>9.7600000000000006E-2</v>
      </c>
      <c r="L8" s="188">
        <v>1</v>
      </c>
      <c r="M8" s="188">
        <v>1</v>
      </c>
      <c r="N8" s="187">
        <v>17.739999999999998</v>
      </c>
      <c r="O8" s="186">
        <v>0.51</v>
      </c>
      <c r="P8" s="186">
        <v>0.13</v>
      </c>
      <c r="Q8" s="185">
        <v>0.73</v>
      </c>
    </row>
    <row r="9" spans="1:17" ht="22.5" customHeight="1" x14ac:dyDescent="0.25">
      <c r="A9" s="184">
        <v>6</v>
      </c>
      <c r="B9" s="193" t="s">
        <v>374</v>
      </c>
      <c r="C9" s="192">
        <v>4.4749999999999996</v>
      </c>
      <c r="D9" s="191">
        <v>2</v>
      </c>
      <c r="E9" s="191">
        <v>1</v>
      </c>
      <c r="F9" s="191">
        <v>1</v>
      </c>
      <c r="G9" s="191">
        <v>22</v>
      </c>
      <c r="H9" s="190">
        <v>100</v>
      </c>
      <c r="I9" s="190">
        <v>120</v>
      </c>
      <c r="J9" s="190">
        <v>220</v>
      </c>
      <c r="K9" s="189">
        <v>9.0899999999999995E-2</v>
      </c>
      <c r="L9" s="188">
        <v>1</v>
      </c>
      <c r="M9" s="188">
        <v>1</v>
      </c>
      <c r="N9" s="187">
        <v>49.16</v>
      </c>
      <c r="O9" s="186">
        <v>0.45</v>
      </c>
      <c r="P9" s="186">
        <v>0.22</v>
      </c>
      <c r="Q9" s="185">
        <v>0.73</v>
      </c>
    </row>
    <row r="10" spans="1:17" ht="22.5" customHeight="1" x14ac:dyDescent="0.25">
      <c r="A10" s="184">
        <v>7</v>
      </c>
      <c r="B10" s="193" t="s">
        <v>389</v>
      </c>
      <c r="C10" s="192">
        <v>4.2309999999999999</v>
      </c>
      <c r="D10" s="191">
        <v>2</v>
      </c>
      <c r="E10" s="191">
        <v>1</v>
      </c>
      <c r="F10" s="191">
        <v>1</v>
      </c>
      <c r="G10" s="191">
        <v>22</v>
      </c>
      <c r="H10" s="190">
        <v>20</v>
      </c>
      <c r="I10" s="190">
        <v>25</v>
      </c>
      <c r="J10" s="190">
        <v>45</v>
      </c>
      <c r="K10" s="189">
        <v>9.0899999999999995E-2</v>
      </c>
      <c r="L10" s="188">
        <v>1</v>
      </c>
      <c r="M10" s="188">
        <v>1</v>
      </c>
      <c r="N10" s="187">
        <v>10.64</v>
      </c>
      <c r="O10" s="186">
        <v>0.47</v>
      </c>
      <c r="P10" s="186">
        <v>0.24</v>
      </c>
      <c r="Q10" s="185">
        <v>0.71</v>
      </c>
    </row>
    <row r="11" spans="1:17" ht="22.5" customHeight="1" x14ac:dyDescent="0.25">
      <c r="A11" s="184">
        <v>8</v>
      </c>
      <c r="B11" s="193" t="s">
        <v>405</v>
      </c>
      <c r="C11" s="192">
        <v>7.4560000000000004</v>
      </c>
      <c r="D11" s="191">
        <v>3</v>
      </c>
      <c r="E11" s="191">
        <v>2</v>
      </c>
      <c r="F11" s="191">
        <v>1</v>
      </c>
      <c r="G11" s="191">
        <v>32</v>
      </c>
      <c r="H11" s="190">
        <v>20</v>
      </c>
      <c r="I11" s="190">
        <v>120</v>
      </c>
      <c r="J11" s="190">
        <v>140</v>
      </c>
      <c r="K11" s="189">
        <v>9.3799999999999994E-2</v>
      </c>
      <c r="L11" s="188">
        <v>1</v>
      </c>
      <c r="M11" s="188">
        <v>1</v>
      </c>
      <c r="N11" s="187">
        <v>18.78</v>
      </c>
      <c r="O11" s="186">
        <v>0.4</v>
      </c>
      <c r="P11" s="186">
        <v>0.13</v>
      </c>
      <c r="Q11" s="185">
        <v>0.71</v>
      </c>
    </row>
    <row r="12" spans="1:17" ht="22.5" customHeight="1" x14ac:dyDescent="0.25">
      <c r="A12" s="184">
        <v>9</v>
      </c>
      <c r="B12" s="193" t="s">
        <v>315</v>
      </c>
      <c r="C12" s="192">
        <v>6.84</v>
      </c>
      <c r="D12" s="191">
        <v>2</v>
      </c>
      <c r="E12" s="191">
        <v>1</v>
      </c>
      <c r="F12" s="191">
        <v>1</v>
      </c>
      <c r="G12" s="191">
        <v>21</v>
      </c>
      <c r="H12" s="190">
        <v>100</v>
      </c>
      <c r="I12" s="190">
        <v>120</v>
      </c>
      <c r="J12" s="190">
        <v>220</v>
      </c>
      <c r="K12" s="189">
        <v>9.5200000000000007E-2</v>
      </c>
      <c r="L12" s="188">
        <v>1</v>
      </c>
      <c r="M12" s="188">
        <v>1</v>
      </c>
      <c r="N12" s="187">
        <v>32.159999999999997</v>
      </c>
      <c r="O12" s="186">
        <v>0.28999999999999998</v>
      </c>
      <c r="P12" s="186">
        <v>0.15</v>
      </c>
      <c r="Q12" s="185">
        <v>0.7</v>
      </c>
    </row>
    <row r="13" spans="1:17" ht="22.5" customHeight="1" x14ac:dyDescent="0.25">
      <c r="A13" s="184">
        <v>10</v>
      </c>
      <c r="B13" s="193" t="s">
        <v>281</v>
      </c>
      <c r="C13" s="192">
        <v>6.5060000000000002</v>
      </c>
      <c r="D13" s="191">
        <v>2</v>
      </c>
      <c r="E13" s="191">
        <v>1</v>
      </c>
      <c r="F13" s="191">
        <v>1</v>
      </c>
      <c r="G13" s="191">
        <v>29</v>
      </c>
      <c r="H13" s="190">
        <v>5</v>
      </c>
      <c r="I13" s="190">
        <v>60</v>
      </c>
      <c r="J13" s="190">
        <v>65</v>
      </c>
      <c r="K13" s="189">
        <v>6.9000000000000006E-2</v>
      </c>
      <c r="L13" s="188">
        <v>1</v>
      </c>
      <c r="M13" s="188">
        <v>1</v>
      </c>
      <c r="N13" s="187">
        <v>9.99</v>
      </c>
      <c r="O13" s="186">
        <v>0.31</v>
      </c>
      <c r="P13" s="186">
        <v>0.15</v>
      </c>
      <c r="Q13" s="185">
        <v>0.66</v>
      </c>
    </row>
    <row r="14" spans="1:17" ht="22.5" customHeight="1" x14ac:dyDescent="0.25">
      <c r="A14" s="184">
        <v>11</v>
      </c>
      <c r="B14" s="193" t="s">
        <v>286</v>
      </c>
      <c r="C14" s="192">
        <v>6.6070000000000002</v>
      </c>
      <c r="D14" s="191">
        <v>2</v>
      </c>
      <c r="E14" s="191">
        <v>1</v>
      </c>
      <c r="F14" s="191">
        <v>1</v>
      </c>
      <c r="G14" s="191">
        <v>35</v>
      </c>
      <c r="H14" s="190">
        <v>25</v>
      </c>
      <c r="I14" s="190">
        <v>120</v>
      </c>
      <c r="J14" s="190">
        <v>145</v>
      </c>
      <c r="K14" s="189">
        <v>5.7099999999999998E-2</v>
      </c>
      <c r="L14" s="188">
        <v>1</v>
      </c>
      <c r="M14" s="188">
        <v>1</v>
      </c>
      <c r="N14" s="187">
        <v>21.95</v>
      </c>
      <c r="O14" s="186">
        <v>0.3</v>
      </c>
      <c r="P14" s="186">
        <v>0.15</v>
      </c>
      <c r="Q14" s="185">
        <v>0.65</v>
      </c>
    </row>
    <row r="15" spans="1:17" ht="22.5" customHeight="1" x14ac:dyDescent="0.25">
      <c r="A15" s="184">
        <v>12</v>
      </c>
      <c r="B15" s="193" t="s">
        <v>379</v>
      </c>
      <c r="C15" s="192">
        <v>7.2460000000000004</v>
      </c>
      <c r="D15" s="191">
        <v>2</v>
      </c>
      <c r="E15" s="191">
        <v>0</v>
      </c>
      <c r="F15" s="191">
        <v>2</v>
      </c>
      <c r="G15" s="191">
        <v>39</v>
      </c>
      <c r="H15" s="190">
        <v>0</v>
      </c>
      <c r="I15" s="190">
        <v>240</v>
      </c>
      <c r="J15" s="190">
        <v>240</v>
      </c>
      <c r="K15" s="189">
        <v>5.1299999999999998E-2</v>
      </c>
      <c r="L15" s="188">
        <v>1</v>
      </c>
      <c r="M15" s="188">
        <v>1</v>
      </c>
      <c r="N15" s="187">
        <v>33.119999999999997</v>
      </c>
      <c r="O15" s="186">
        <v>0.28000000000000003</v>
      </c>
      <c r="P15" s="186">
        <v>0.28000000000000003</v>
      </c>
      <c r="Q15" s="185">
        <v>0.65</v>
      </c>
    </row>
    <row r="16" spans="1:17" ht="22.5" customHeight="1" x14ac:dyDescent="0.25">
      <c r="A16" s="184">
        <v>13</v>
      </c>
      <c r="B16" s="193" t="s">
        <v>351</v>
      </c>
      <c r="C16" s="192">
        <v>1.8779999999999999</v>
      </c>
      <c r="D16" s="191">
        <v>2</v>
      </c>
      <c r="E16" s="191">
        <v>2</v>
      </c>
      <c r="F16" s="191">
        <v>0</v>
      </c>
      <c r="G16" s="191">
        <v>9</v>
      </c>
      <c r="H16" s="190">
        <v>10</v>
      </c>
      <c r="I16" s="190">
        <v>0</v>
      </c>
      <c r="J16" s="190">
        <v>10</v>
      </c>
      <c r="K16" s="189">
        <v>0.22220000000000001</v>
      </c>
      <c r="L16" s="188">
        <v>1</v>
      </c>
      <c r="M16" s="188">
        <v>0</v>
      </c>
      <c r="N16" s="187">
        <v>5.32</v>
      </c>
      <c r="O16" s="186">
        <v>1.06</v>
      </c>
      <c r="P16" s="186">
        <v>0</v>
      </c>
      <c r="Q16" s="185">
        <v>0.59</v>
      </c>
    </row>
    <row r="17" spans="1:17" ht="22.5" customHeight="1" x14ac:dyDescent="0.25">
      <c r="A17" s="184">
        <v>14</v>
      </c>
      <c r="B17" s="193" t="s">
        <v>398</v>
      </c>
      <c r="C17" s="192">
        <v>6.1239999999999997</v>
      </c>
      <c r="D17" s="191">
        <v>5</v>
      </c>
      <c r="E17" s="191">
        <v>5</v>
      </c>
      <c r="F17" s="191">
        <v>0</v>
      </c>
      <c r="G17" s="191">
        <v>37</v>
      </c>
      <c r="H17" s="190">
        <v>55</v>
      </c>
      <c r="I17" s="190">
        <v>0</v>
      </c>
      <c r="J17" s="190">
        <v>55</v>
      </c>
      <c r="K17" s="189">
        <v>0.1351</v>
      </c>
      <c r="L17" s="188">
        <v>1</v>
      </c>
      <c r="M17" s="188">
        <v>0</v>
      </c>
      <c r="N17" s="187">
        <v>8.98</v>
      </c>
      <c r="O17" s="186">
        <v>0.82</v>
      </c>
      <c r="P17" s="186">
        <v>0</v>
      </c>
      <c r="Q17" s="185">
        <v>0.57999999999999996</v>
      </c>
    </row>
    <row r="18" spans="1:17" ht="22.5" customHeight="1" x14ac:dyDescent="0.25">
      <c r="A18" s="184">
        <v>15</v>
      </c>
      <c r="B18" s="193" t="s">
        <v>356</v>
      </c>
      <c r="C18" s="192">
        <v>3.2589999999999999</v>
      </c>
      <c r="D18" s="191">
        <v>2</v>
      </c>
      <c r="E18" s="191">
        <v>2</v>
      </c>
      <c r="F18" s="191">
        <v>0</v>
      </c>
      <c r="G18" s="191">
        <v>11</v>
      </c>
      <c r="H18" s="190">
        <v>55</v>
      </c>
      <c r="I18" s="190">
        <v>0</v>
      </c>
      <c r="J18" s="190">
        <v>55</v>
      </c>
      <c r="K18" s="189">
        <v>0.18179999999999999</v>
      </c>
      <c r="L18" s="188">
        <v>1</v>
      </c>
      <c r="M18" s="188">
        <v>0</v>
      </c>
      <c r="N18" s="187">
        <v>16.88</v>
      </c>
      <c r="O18" s="186">
        <v>0.61</v>
      </c>
      <c r="P18" s="186">
        <v>0</v>
      </c>
      <c r="Q18" s="185">
        <v>0.57999999999999996</v>
      </c>
    </row>
    <row r="19" spans="1:17" ht="22.5" customHeight="1" x14ac:dyDescent="0.25">
      <c r="A19" s="184">
        <v>16</v>
      </c>
      <c r="B19" s="193" t="s">
        <v>369</v>
      </c>
      <c r="C19" s="192">
        <v>1.4570000000000001</v>
      </c>
      <c r="D19" s="191">
        <v>1</v>
      </c>
      <c r="E19" s="191">
        <v>1</v>
      </c>
      <c r="F19" s="191">
        <v>0</v>
      </c>
      <c r="G19" s="191">
        <v>5</v>
      </c>
      <c r="H19" s="190">
        <v>5</v>
      </c>
      <c r="I19" s="190">
        <v>0</v>
      </c>
      <c r="J19" s="190">
        <v>5</v>
      </c>
      <c r="K19" s="189">
        <v>0.2</v>
      </c>
      <c r="L19" s="188">
        <v>1</v>
      </c>
      <c r="M19" s="188">
        <v>0</v>
      </c>
      <c r="N19" s="187">
        <v>3.43</v>
      </c>
      <c r="O19" s="186">
        <v>0.69</v>
      </c>
      <c r="P19" s="186">
        <v>0</v>
      </c>
      <c r="Q19" s="185">
        <v>0.55000000000000004</v>
      </c>
    </row>
    <row r="20" spans="1:17" ht="22.5" customHeight="1" x14ac:dyDescent="0.25">
      <c r="A20" s="184">
        <v>17</v>
      </c>
      <c r="B20" s="193" t="s">
        <v>332</v>
      </c>
      <c r="C20" s="192">
        <v>6.8259999999999996</v>
      </c>
      <c r="D20" s="191">
        <v>4</v>
      </c>
      <c r="E20" s="191">
        <v>3</v>
      </c>
      <c r="F20" s="191">
        <v>0</v>
      </c>
      <c r="G20" s="191">
        <v>27</v>
      </c>
      <c r="H20" s="190">
        <v>100</v>
      </c>
      <c r="I20" s="190">
        <v>0</v>
      </c>
      <c r="J20" s="190">
        <v>120</v>
      </c>
      <c r="K20" s="189">
        <v>0.14810000000000001</v>
      </c>
      <c r="L20" s="188">
        <v>0.75</v>
      </c>
      <c r="M20" s="188">
        <v>0</v>
      </c>
      <c r="N20" s="187">
        <v>14.65</v>
      </c>
      <c r="O20" s="186">
        <v>0.44</v>
      </c>
      <c r="P20" s="186">
        <v>0</v>
      </c>
      <c r="Q20" s="185">
        <v>0.55000000000000004</v>
      </c>
    </row>
    <row r="21" spans="1:17" ht="22.5" customHeight="1" x14ac:dyDescent="0.25">
      <c r="A21" s="184">
        <v>18</v>
      </c>
      <c r="B21" s="193" t="s">
        <v>435</v>
      </c>
      <c r="C21" s="192">
        <v>7.4710000000000001</v>
      </c>
      <c r="D21" s="191">
        <v>5</v>
      </c>
      <c r="E21" s="191">
        <v>5</v>
      </c>
      <c r="F21" s="191">
        <v>0</v>
      </c>
      <c r="G21" s="191">
        <v>40</v>
      </c>
      <c r="H21" s="190">
        <v>45</v>
      </c>
      <c r="I21" s="190">
        <v>0</v>
      </c>
      <c r="J21" s="190">
        <v>45</v>
      </c>
      <c r="K21" s="189">
        <v>0.125</v>
      </c>
      <c r="L21" s="188">
        <v>1</v>
      </c>
      <c r="M21" s="188">
        <v>0</v>
      </c>
      <c r="N21" s="187">
        <v>6.02</v>
      </c>
      <c r="O21" s="186">
        <v>0.67</v>
      </c>
      <c r="P21" s="186">
        <v>0</v>
      </c>
      <c r="Q21" s="185">
        <v>0.55000000000000004</v>
      </c>
    </row>
    <row r="22" spans="1:17" ht="22.5" customHeight="1" x14ac:dyDescent="0.25">
      <c r="A22" s="184">
        <v>19</v>
      </c>
      <c r="B22" s="193" t="s">
        <v>434</v>
      </c>
      <c r="C22" s="192">
        <v>3.4140000000000001</v>
      </c>
      <c r="D22" s="191">
        <v>2</v>
      </c>
      <c r="E22" s="191">
        <v>2</v>
      </c>
      <c r="F22" s="191">
        <v>0</v>
      </c>
      <c r="G22" s="191">
        <v>10</v>
      </c>
      <c r="H22" s="190">
        <v>10</v>
      </c>
      <c r="I22" s="190">
        <v>0</v>
      </c>
      <c r="J22" s="190">
        <v>10</v>
      </c>
      <c r="K22" s="189">
        <v>0.2</v>
      </c>
      <c r="L22" s="188">
        <v>1</v>
      </c>
      <c r="M22" s="188">
        <v>0</v>
      </c>
      <c r="N22" s="187">
        <v>2.93</v>
      </c>
      <c r="O22" s="186">
        <v>0.59</v>
      </c>
      <c r="P22" s="186">
        <v>0</v>
      </c>
      <c r="Q22" s="185">
        <v>0.53</v>
      </c>
    </row>
    <row r="23" spans="1:17" ht="22.5" customHeight="1" x14ac:dyDescent="0.25">
      <c r="A23" s="184">
        <v>20</v>
      </c>
      <c r="B23" s="193" t="s">
        <v>274</v>
      </c>
      <c r="C23" s="192">
        <v>2.3029999999999999</v>
      </c>
      <c r="D23" s="191">
        <v>1</v>
      </c>
      <c r="E23" s="191">
        <v>1</v>
      </c>
      <c r="F23" s="191">
        <v>0</v>
      </c>
      <c r="G23" s="191">
        <v>8</v>
      </c>
      <c r="H23" s="190">
        <v>10</v>
      </c>
      <c r="I23" s="190">
        <v>0</v>
      </c>
      <c r="J23" s="190">
        <v>10</v>
      </c>
      <c r="K23" s="189">
        <v>0.125</v>
      </c>
      <c r="L23" s="188">
        <v>1</v>
      </c>
      <c r="M23" s="188">
        <v>0</v>
      </c>
      <c r="N23" s="187">
        <v>4.34</v>
      </c>
      <c r="O23" s="186">
        <v>0.43</v>
      </c>
      <c r="P23" s="186">
        <v>0</v>
      </c>
      <c r="Q23" s="185">
        <v>0.5</v>
      </c>
    </row>
    <row r="24" spans="1:17" ht="22.5" customHeight="1" x14ac:dyDescent="0.25">
      <c r="A24" s="184">
        <v>21</v>
      </c>
      <c r="B24" s="193" t="s">
        <v>433</v>
      </c>
      <c r="C24" s="192">
        <v>3.5680000000000001</v>
      </c>
      <c r="D24" s="191">
        <v>2</v>
      </c>
      <c r="E24" s="191">
        <v>2</v>
      </c>
      <c r="F24" s="191">
        <v>0</v>
      </c>
      <c r="G24" s="191">
        <v>22</v>
      </c>
      <c r="H24" s="190">
        <v>20</v>
      </c>
      <c r="I24" s="190">
        <v>0</v>
      </c>
      <c r="J24" s="190">
        <v>20</v>
      </c>
      <c r="K24" s="189">
        <v>9.0899999999999995E-2</v>
      </c>
      <c r="L24" s="188">
        <v>1</v>
      </c>
      <c r="M24" s="188">
        <v>0</v>
      </c>
      <c r="N24" s="187">
        <v>5.61</v>
      </c>
      <c r="O24" s="186">
        <v>0.56000000000000005</v>
      </c>
      <c r="P24" s="186">
        <v>0</v>
      </c>
      <c r="Q24" s="185">
        <v>0.5</v>
      </c>
    </row>
    <row r="25" spans="1:17" ht="22.5" customHeight="1" x14ac:dyDescent="0.25">
      <c r="A25" s="184">
        <v>22</v>
      </c>
      <c r="B25" s="193" t="s">
        <v>392</v>
      </c>
      <c r="C25" s="192">
        <v>2.0230000000000001</v>
      </c>
      <c r="D25" s="191">
        <v>1</v>
      </c>
      <c r="E25" s="191">
        <v>1</v>
      </c>
      <c r="F25" s="191">
        <v>0</v>
      </c>
      <c r="G25" s="191">
        <v>15</v>
      </c>
      <c r="H25" s="190">
        <v>25</v>
      </c>
      <c r="I25" s="190">
        <v>0</v>
      </c>
      <c r="J25" s="190">
        <v>25</v>
      </c>
      <c r="K25" s="189">
        <v>6.6699999999999995E-2</v>
      </c>
      <c r="L25" s="188">
        <v>1</v>
      </c>
      <c r="M25" s="188">
        <v>0</v>
      </c>
      <c r="N25" s="187">
        <v>12.36</v>
      </c>
      <c r="O25" s="186">
        <v>0.49</v>
      </c>
      <c r="P25" s="186">
        <v>0</v>
      </c>
      <c r="Q25" s="185">
        <v>0.49</v>
      </c>
    </row>
    <row r="26" spans="1:17" ht="22.5" customHeight="1" x14ac:dyDescent="0.25">
      <c r="A26" s="184">
        <v>23</v>
      </c>
      <c r="B26" s="193" t="s">
        <v>275</v>
      </c>
      <c r="C26" s="192">
        <v>6.9489999999999998</v>
      </c>
      <c r="D26" s="191">
        <v>2</v>
      </c>
      <c r="E26" s="191">
        <v>2</v>
      </c>
      <c r="F26" s="191">
        <v>0</v>
      </c>
      <c r="G26" s="191">
        <v>14</v>
      </c>
      <c r="H26" s="190">
        <v>35</v>
      </c>
      <c r="I26" s="190">
        <v>0</v>
      </c>
      <c r="J26" s="190">
        <v>35</v>
      </c>
      <c r="K26" s="189">
        <v>0.1429</v>
      </c>
      <c r="L26" s="188">
        <v>1</v>
      </c>
      <c r="M26" s="188">
        <v>0</v>
      </c>
      <c r="N26" s="187">
        <v>5.04</v>
      </c>
      <c r="O26" s="186">
        <v>0.28999999999999998</v>
      </c>
      <c r="P26" s="186">
        <v>0</v>
      </c>
      <c r="Q26" s="185">
        <v>0.49</v>
      </c>
    </row>
    <row r="27" spans="1:17" ht="22.5" customHeight="1" x14ac:dyDescent="0.25">
      <c r="A27" s="184">
        <v>24</v>
      </c>
      <c r="B27" s="193" t="s">
        <v>385</v>
      </c>
      <c r="C27" s="192">
        <v>6.6849999999999996</v>
      </c>
      <c r="D27" s="191">
        <v>2</v>
      </c>
      <c r="E27" s="191">
        <v>2</v>
      </c>
      <c r="F27" s="191">
        <v>0</v>
      </c>
      <c r="G27" s="191">
        <v>16</v>
      </c>
      <c r="H27" s="190">
        <v>20</v>
      </c>
      <c r="I27" s="190">
        <v>0</v>
      </c>
      <c r="J27" s="190">
        <v>20</v>
      </c>
      <c r="K27" s="189">
        <v>0.125</v>
      </c>
      <c r="L27" s="188">
        <v>1</v>
      </c>
      <c r="M27" s="188">
        <v>0</v>
      </c>
      <c r="N27" s="187">
        <v>2.99</v>
      </c>
      <c r="O27" s="186">
        <v>0.3</v>
      </c>
      <c r="P27" s="186">
        <v>0</v>
      </c>
      <c r="Q27" s="185">
        <v>0.46</v>
      </c>
    </row>
    <row r="28" spans="1:17" ht="22.5" customHeight="1" x14ac:dyDescent="0.25">
      <c r="A28" s="184">
        <v>25</v>
      </c>
      <c r="B28" s="193" t="s">
        <v>272</v>
      </c>
      <c r="C28" s="192">
        <v>11.083</v>
      </c>
      <c r="D28" s="191">
        <v>4</v>
      </c>
      <c r="E28" s="191">
        <v>4</v>
      </c>
      <c r="F28" s="191">
        <v>0</v>
      </c>
      <c r="G28" s="191">
        <v>66</v>
      </c>
      <c r="H28" s="190">
        <v>60</v>
      </c>
      <c r="I28" s="190">
        <v>0</v>
      </c>
      <c r="J28" s="190">
        <v>60</v>
      </c>
      <c r="K28" s="189">
        <v>6.0600000000000001E-2</v>
      </c>
      <c r="L28" s="188">
        <v>1</v>
      </c>
      <c r="M28" s="188">
        <v>0</v>
      </c>
      <c r="N28" s="187">
        <v>5.41</v>
      </c>
      <c r="O28" s="186">
        <v>0.36</v>
      </c>
      <c r="P28" s="186">
        <v>0</v>
      </c>
      <c r="Q28" s="185">
        <v>0.45</v>
      </c>
    </row>
    <row r="29" spans="1:17" ht="22.5" customHeight="1" x14ac:dyDescent="0.25">
      <c r="A29" s="184">
        <v>26</v>
      </c>
      <c r="B29" s="193" t="s">
        <v>314</v>
      </c>
      <c r="C29" s="192">
        <v>2.87</v>
      </c>
      <c r="D29" s="191">
        <v>1</v>
      </c>
      <c r="E29" s="191">
        <v>1</v>
      </c>
      <c r="F29" s="191">
        <v>0</v>
      </c>
      <c r="G29" s="191">
        <v>19</v>
      </c>
      <c r="H29" s="190">
        <v>25</v>
      </c>
      <c r="I29" s="190">
        <v>0</v>
      </c>
      <c r="J29" s="190">
        <v>25</v>
      </c>
      <c r="K29" s="189">
        <v>5.2600000000000001E-2</v>
      </c>
      <c r="L29" s="188">
        <v>1</v>
      </c>
      <c r="M29" s="188">
        <v>0</v>
      </c>
      <c r="N29" s="187">
        <v>8.7100000000000009</v>
      </c>
      <c r="O29" s="186">
        <v>0.35</v>
      </c>
      <c r="P29" s="186">
        <v>0</v>
      </c>
      <c r="Q29" s="185">
        <v>0.44</v>
      </c>
    </row>
    <row r="30" spans="1:17" ht="22.5" customHeight="1" x14ac:dyDescent="0.25">
      <c r="A30" s="184">
        <v>27</v>
      </c>
      <c r="B30" s="193" t="s">
        <v>360</v>
      </c>
      <c r="C30" s="192">
        <v>5.9349999999999996</v>
      </c>
      <c r="D30" s="191">
        <v>2</v>
      </c>
      <c r="E30" s="191">
        <v>2</v>
      </c>
      <c r="F30" s="191">
        <v>0</v>
      </c>
      <c r="G30" s="191">
        <v>28</v>
      </c>
      <c r="H30" s="190">
        <v>15</v>
      </c>
      <c r="I30" s="190">
        <v>0</v>
      </c>
      <c r="J30" s="190">
        <v>15</v>
      </c>
      <c r="K30" s="189">
        <v>7.1400000000000005E-2</v>
      </c>
      <c r="L30" s="188">
        <v>1</v>
      </c>
      <c r="M30" s="188">
        <v>0</v>
      </c>
      <c r="N30" s="187">
        <v>2.5299999999999998</v>
      </c>
      <c r="O30" s="186">
        <v>0.34</v>
      </c>
      <c r="P30" s="186">
        <v>0</v>
      </c>
      <c r="Q30" s="185">
        <v>0.42</v>
      </c>
    </row>
    <row r="31" spans="1:17" ht="22.5" customHeight="1" x14ac:dyDescent="0.25">
      <c r="A31" s="184">
        <v>28</v>
      </c>
      <c r="B31" s="193" t="s">
        <v>352</v>
      </c>
      <c r="C31" s="192">
        <v>7.2640000000000002</v>
      </c>
      <c r="D31" s="191">
        <v>2</v>
      </c>
      <c r="E31" s="191">
        <v>2</v>
      </c>
      <c r="F31" s="191">
        <v>0</v>
      </c>
      <c r="G31" s="191">
        <v>24</v>
      </c>
      <c r="H31" s="190">
        <v>30</v>
      </c>
      <c r="I31" s="190">
        <v>0</v>
      </c>
      <c r="J31" s="190">
        <v>30</v>
      </c>
      <c r="K31" s="189">
        <v>8.3299999999999999E-2</v>
      </c>
      <c r="L31" s="188">
        <v>1</v>
      </c>
      <c r="M31" s="188">
        <v>0</v>
      </c>
      <c r="N31" s="187">
        <v>4.13</v>
      </c>
      <c r="O31" s="186">
        <v>0.28000000000000003</v>
      </c>
      <c r="P31" s="186">
        <v>0</v>
      </c>
      <c r="Q31" s="185">
        <v>0.42</v>
      </c>
    </row>
    <row r="32" spans="1:17" ht="22.5" customHeight="1" x14ac:dyDescent="0.25">
      <c r="A32" s="184">
        <v>29</v>
      </c>
      <c r="B32" s="193" t="s">
        <v>420</v>
      </c>
      <c r="C32" s="192">
        <v>7.6340000000000003</v>
      </c>
      <c r="D32" s="191">
        <v>2</v>
      </c>
      <c r="E32" s="191">
        <v>2</v>
      </c>
      <c r="F32" s="191">
        <v>0</v>
      </c>
      <c r="G32" s="191">
        <v>30</v>
      </c>
      <c r="H32" s="190">
        <v>35</v>
      </c>
      <c r="I32" s="190">
        <v>0</v>
      </c>
      <c r="J32" s="190">
        <v>35</v>
      </c>
      <c r="K32" s="189">
        <v>6.6699999999999995E-2</v>
      </c>
      <c r="L32" s="188">
        <v>1</v>
      </c>
      <c r="M32" s="188">
        <v>0</v>
      </c>
      <c r="N32" s="187">
        <v>4.58</v>
      </c>
      <c r="O32" s="186">
        <v>0.26</v>
      </c>
      <c r="P32" s="186">
        <v>0</v>
      </c>
      <c r="Q32" s="185">
        <v>0.41</v>
      </c>
    </row>
    <row r="33" spans="1:17" ht="22.5" customHeight="1" x14ac:dyDescent="0.25">
      <c r="A33" s="184">
        <v>30</v>
      </c>
      <c r="B33" s="193" t="s">
        <v>375</v>
      </c>
      <c r="C33" s="192">
        <v>6.71</v>
      </c>
      <c r="D33" s="191">
        <v>1</v>
      </c>
      <c r="E33" s="191">
        <v>1</v>
      </c>
      <c r="F33" s="191">
        <v>0</v>
      </c>
      <c r="G33" s="191">
        <v>12</v>
      </c>
      <c r="H33" s="190">
        <v>25</v>
      </c>
      <c r="I33" s="190">
        <v>0</v>
      </c>
      <c r="J33" s="190">
        <v>25</v>
      </c>
      <c r="K33" s="189">
        <v>8.3299999999999999E-2</v>
      </c>
      <c r="L33" s="188">
        <v>1</v>
      </c>
      <c r="M33" s="188">
        <v>0</v>
      </c>
      <c r="N33" s="187">
        <v>3.73</v>
      </c>
      <c r="O33" s="186">
        <v>0.15</v>
      </c>
      <c r="P33" s="186">
        <v>0</v>
      </c>
      <c r="Q33" s="185">
        <v>0.4</v>
      </c>
    </row>
    <row r="34" spans="1:17" ht="22.5" customHeight="1" x14ac:dyDescent="0.25">
      <c r="A34" s="184">
        <v>31</v>
      </c>
      <c r="B34" s="193" t="s">
        <v>326</v>
      </c>
      <c r="C34" s="192">
        <v>7.617</v>
      </c>
      <c r="D34" s="191">
        <v>1</v>
      </c>
      <c r="E34" s="191">
        <v>1</v>
      </c>
      <c r="F34" s="191">
        <v>0</v>
      </c>
      <c r="G34" s="191">
        <v>12</v>
      </c>
      <c r="H34" s="190">
        <v>30</v>
      </c>
      <c r="I34" s="190">
        <v>0</v>
      </c>
      <c r="J34" s="190">
        <v>30</v>
      </c>
      <c r="K34" s="189">
        <v>8.3299999999999999E-2</v>
      </c>
      <c r="L34" s="188">
        <v>1</v>
      </c>
      <c r="M34" s="188">
        <v>0</v>
      </c>
      <c r="N34" s="187">
        <v>3.94</v>
      </c>
      <c r="O34" s="186">
        <v>0.13</v>
      </c>
      <c r="P34" s="186">
        <v>0</v>
      </c>
      <c r="Q34" s="185">
        <v>0.39</v>
      </c>
    </row>
    <row r="35" spans="1:17" ht="22.5" customHeight="1" x14ac:dyDescent="0.25">
      <c r="A35" s="184">
        <v>32</v>
      </c>
      <c r="B35" s="193" t="s">
        <v>366</v>
      </c>
      <c r="C35" s="192">
        <v>5.6630000000000003</v>
      </c>
      <c r="D35" s="191">
        <v>1</v>
      </c>
      <c r="E35" s="191">
        <v>1</v>
      </c>
      <c r="F35" s="191">
        <v>0</v>
      </c>
      <c r="G35" s="191">
        <v>20</v>
      </c>
      <c r="H35" s="190">
        <v>10</v>
      </c>
      <c r="I35" s="190">
        <v>0</v>
      </c>
      <c r="J35" s="190">
        <v>10</v>
      </c>
      <c r="K35" s="189">
        <v>0.05</v>
      </c>
      <c r="L35" s="188">
        <v>1</v>
      </c>
      <c r="M35" s="188">
        <v>0</v>
      </c>
      <c r="N35" s="187">
        <v>1.77</v>
      </c>
      <c r="O35" s="186">
        <v>0.18</v>
      </c>
      <c r="P35" s="186">
        <v>0</v>
      </c>
      <c r="Q35" s="185">
        <v>0.36</v>
      </c>
    </row>
    <row r="36" spans="1:17" ht="22.5" customHeight="1" x14ac:dyDescent="0.25">
      <c r="A36" s="184">
        <v>33</v>
      </c>
      <c r="B36" s="193" t="s">
        <v>363</v>
      </c>
      <c r="C36" s="192">
        <v>4.0780000000000003</v>
      </c>
      <c r="D36" s="191">
        <v>1</v>
      </c>
      <c r="E36" s="191">
        <v>1</v>
      </c>
      <c r="F36" s="191">
        <v>0</v>
      </c>
      <c r="G36" s="191">
        <v>19</v>
      </c>
      <c r="H36" s="190">
        <v>5</v>
      </c>
      <c r="I36" s="190">
        <v>0</v>
      </c>
      <c r="J36" s="190">
        <v>5</v>
      </c>
      <c r="K36" s="189">
        <v>5.2600000000000001E-2</v>
      </c>
      <c r="L36" s="188">
        <v>1</v>
      </c>
      <c r="M36" s="188">
        <v>0</v>
      </c>
      <c r="N36" s="187">
        <v>1.23</v>
      </c>
      <c r="O36" s="186">
        <v>0.25</v>
      </c>
      <c r="P36" s="186">
        <v>0</v>
      </c>
      <c r="Q36" s="185">
        <v>0.36</v>
      </c>
    </row>
    <row r="37" spans="1:17" ht="22.5" customHeight="1" x14ac:dyDescent="0.25">
      <c r="A37" s="184">
        <v>34</v>
      </c>
      <c r="B37" s="193" t="s">
        <v>411</v>
      </c>
      <c r="C37" s="192">
        <v>3.5720000000000001</v>
      </c>
      <c r="D37" s="191">
        <v>1</v>
      </c>
      <c r="E37" s="191">
        <v>1</v>
      </c>
      <c r="F37" s="191">
        <v>0</v>
      </c>
      <c r="G37" s="191">
        <v>21</v>
      </c>
      <c r="H37" s="190">
        <v>5</v>
      </c>
      <c r="I37" s="190">
        <v>0</v>
      </c>
      <c r="J37" s="190">
        <v>5</v>
      </c>
      <c r="K37" s="189">
        <v>4.7600000000000003E-2</v>
      </c>
      <c r="L37" s="188">
        <v>1</v>
      </c>
      <c r="M37" s="188">
        <v>0</v>
      </c>
      <c r="N37" s="187">
        <v>1.4</v>
      </c>
      <c r="O37" s="186">
        <v>0.28000000000000003</v>
      </c>
      <c r="P37" s="186">
        <v>0</v>
      </c>
      <c r="Q37" s="185">
        <v>0.35</v>
      </c>
    </row>
    <row r="38" spans="1:17" ht="22.5" customHeight="1" x14ac:dyDescent="0.25">
      <c r="A38" s="184">
        <v>35</v>
      </c>
      <c r="B38" s="193" t="s">
        <v>354</v>
      </c>
      <c r="C38" s="192">
        <v>8.3219999999999992</v>
      </c>
      <c r="D38" s="191">
        <v>1</v>
      </c>
      <c r="E38" s="191">
        <v>1</v>
      </c>
      <c r="F38" s="191">
        <v>0</v>
      </c>
      <c r="G38" s="191">
        <v>25</v>
      </c>
      <c r="H38" s="190">
        <v>25</v>
      </c>
      <c r="I38" s="190">
        <v>0</v>
      </c>
      <c r="J38" s="190">
        <v>25</v>
      </c>
      <c r="K38" s="189">
        <v>0.04</v>
      </c>
      <c r="L38" s="188">
        <v>1</v>
      </c>
      <c r="M38" s="188">
        <v>0</v>
      </c>
      <c r="N38" s="187">
        <v>3</v>
      </c>
      <c r="O38" s="186">
        <v>0.12</v>
      </c>
      <c r="P38" s="186">
        <v>0</v>
      </c>
      <c r="Q38" s="185">
        <v>0.34</v>
      </c>
    </row>
    <row r="39" spans="1:17" ht="22.5" customHeight="1" x14ac:dyDescent="0.25">
      <c r="A39" s="184">
        <v>36</v>
      </c>
      <c r="B39" s="193" t="s">
        <v>350</v>
      </c>
      <c r="C39" s="192">
        <v>11.472</v>
      </c>
      <c r="D39" s="191">
        <v>3</v>
      </c>
      <c r="E39" s="191">
        <v>2</v>
      </c>
      <c r="F39" s="191">
        <v>0</v>
      </c>
      <c r="G39" s="191">
        <v>65</v>
      </c>
      <c r="H39" s="190">
        <v>15</v>
      </c>
      <c r="I39" s="190">
        <v>0</v>
      </c>
      <c r="J39" s="190">
        <v>20</v>
      </c>
      <c r="K39" s="189">
        <v>4.6199999999999998E-2</v>
      </c>
      <c r="L39" s="188">
        <v>0.66669999999999996</v>
      </c>
      <c r="M39" s="188">
        <v>0</v>
      </c>
      <c r="N39" s="187">
        <v>1.31</v>
      </c>
      <c r="O39" s="186">
        <v>0.17</v>
      </c>
      <c r="P39" s="186">
        <v>0</v>
      </c>
      <c r="Q39" s="185">
        <v>0.33</v>
      </c>
    </row>
    <row r="40" spans="1:17" ht="22.5" customHeight="1" x14ac:dyDescent="0.25">
      <c r="A40" s="184">
        <v>37</v>
      </c>
      <c r="B40" s="193" t="s">
        <v>269</v>
      </c>
      <c r="C40" s="192">
        <v>7.0449999999999999</v>
      </c>
      <c r="D40" s="191">
        <v>1</v>
      </c>
      <c r="E40" s="191">
        <v>1</v>
      </c>
      <c r="F40" s="191">
        <v>0</v>
      </c>
      <c r="G40" s="191">
        <v>35</v>
      </c>
      <c r="H40" s="190">
        <v>10</v>
      </c>
      <c r="I40" s="190">
        <v>0</v>
      </c>
      <c r="J40" s="190">
        <v>10</v>
      </c>
      <c r="K40" s="189">
        <v>2.86E-2</v>
      </c>
      <c r="L40" s="188">
        <v>1</v>
      </c>
      <c r="M40" s="188">
        <v>0</v>
      </c>
      <c r="N40" s="187">
        <v>1.42</v>
      </c>
      <c r="O40" s="186">
        <v>0.14000000000000001</v>
      </c>
      <c r="P40" s="186">
        <v>0</v>
      </c>
      <c r="Q40" s="185">
        <v>0.33</v>
      </c>
    </row>
    <row r="41" spans="1:17" ht="22.5" customHeight="1" x14ac:dyDescent="0.25">
      <c r="A41" s="184">
        <v>38</v>
      </c>
      <c r="B41" s="193" t="s">
        <v>357</v>
      </c>
      <c r="C41" s="192">
        <v>3.3660000000000001</v>
      </c>
      <c r="D41" s="191">
        <v>1</v>
      </c>
      <c r="E41" s="191">
        <v>0</v>
      </c>
      <c r="F41" s="191">
        <v>0</v>
      </c>
      <c r="G41" s="191">
        <v>9</v>
      </c>
      <c r="H41" s="190">
        <v>0</v>
      </c>
      <c r="I41" s="190">
        <v>0</v>
      </c>
      <c r="J41" s="190">
        <v>5</v>
      </c>
      <c r="K41" s="189">
        <v>0.1111</v>
      </c>
      <c r="L41" s="188">
        <v>0</v>
      </c>
      <c r="M41" s="188">
        <v>0</v>
      </c>
      <c r="N41" s="187">
        <v>0</v>
      </c>
      <c r="O41" s="186">
        <v>0</v>
      </c>
      <c r="P41" s="186">
        <v>0</v>
      </c>
      <c r="Q41" s="185">
        <v>0.17</v>
      </c>
    </row>
    <row r="42" spans="1:17" ht="22.5" customHeight="1" x14ac:dyDescent="0.25">
      <c r="A42" s="184">
        <v>39</v>
      </c>
      <c r="B42" s="193" t="s">
        <v>336</v>
      </c>
      <c r="C42" s="192">
        <v>2.948</v>
      </c>
      <c r="D42" s="191">
        <v>1</v>
      </c>
      <c r="E42" s="191">
        <v>0</v>
      </c>
      <c r="F42" s="191">
        <v>0</v>
      </c>
      <c r="G42" s="191">
        <v>21</v>
      </c>
      <c r="H42" s="190">
        <v>0</v>
      </c>
      <c r="I42" s="190">
        <v>0</v>
      </c>
      <c r="J42" s="190">
        <v>5</v>
      </c>
      <c r="K42" s="189">
        <v>4.7600000000000003E-2</v>
      </c>
      <c r="L42" s="188">
        <v>0</v>
      </c>
      <c r="M42" s="188">
        <v>0</v>
      </c>
      <c r="N42" s="187">
        <v>0</v>
      </c>
      <c r="O42" s="186">
        <v>0</v>
      </c>
      <c r="P42" s="186">
        <v>0</v>
      </c>
      <c r="Q42" s="185">
        <v>0.1</v>
      </c>
    </row>
    <row r="43" spans="1:17" ht="22.5" customHeight="1" x14ac:dyDescent="0.25">
      <c r="A43" s="184">
        <v>40</v>
      </c>
      <c r="B43" s="193" t="s">
        <v>391</v>
      </c>
      <c r="C43" s="192">
        <v>0.65200000000000002</v>
      </c>
      <c r="D43" s="191">
        <v>0</v>
      </c>
      <c r="E43" s="191">
        <v>0</v>
      </c>
      <c r="F43" s="191">
        <v>0</v>
      </c>
      <c r="G43" s="191">
        <v>2</v>
      </c>
      <c r="H43" s="190">
        <v>0</v>
      </c>
      <c r="I43" s="190">
        <v>0</v>
      </c>
      <c r="J43" s="190">
        <v>0</v>
      </c>
      <c r="K43" s="189">
        <v>0</v>
      </c>
      <c r="L43" s="188">
        <v>0</v>
      </c>
      <c r="M43" s="188">
        <v>0</v>
      </c>
      <c r="N43" s="187">
        <v>0</v>
      </c>
      <c r="O43" s="186">
        <v>0</v>
      </c>
      <c r="P43" s="186">
        <v>0</v>
      </c>
      <c r="Q43" s="185">
        <v>0.02</v>
      </c>
    </row>
    <row r="44" spans="1:17" ht="22.5" customHeight="1" x14ac:dyDescent="0.25">
      <c r="A44" s="184">
        <v>41</v>
      </c>
      <c r="B44" s="193" t="s">
        <v>299</v>
      </c>
      <c r="C44" s="192">
        <v>0.79800000000000004</v>
      </c>
      <c r="D44" s="191">
        <v>0</v>
      </c>
      <c r="E44" s="191">
        <v>0</v>
      </c>
      <c r="F44" s="191">
        <v>0</v>
      </c>
      <c r="G44" s="191">
        <v>2</v>
      </c>
      <c r="H44" s="190">
        <v>0</v>
      </c>
      <c r="I44" s="190">
        <v>0</v>
      </c>
      <c r="J44" s="190">
        <v>0</v>
      </c>
      <c r="K44" s="189">
        <v>0</v>
      </c>
      <c r="L44" s="188">
        <v>0</v>
      </c>
      <c r="M44" s="188">
        <v>0</v>
      </c>
      <c r="N44" s="187">
        <v>0</v>
      </c>
      <c r="O44" s="186">
        <v>0</v>
      </c>
      <c r="P44" s="186">
        <v>0</v>
      </c>
      <c r="Q44" s="185">
        <v>0.02</v>
      </c>
    </row>
    <row r="45" spans="1:17" ht="22.5" customHeight="1" x14ac:dyDescent="0.25">
      <c r="A45" s="184">
        <v>42</v>
      </c>
      <c r="B45" s="193" t="s">
        <v>280</v>
      </c>
      <c r="C45" s="192">
        <v>4.0590000000000002</v>
      </c>
      <c r="D45" s="191">
        <v>0</v>
      </c>
      <c r="E45" s="191">
        <v>0</v>
      </c>
      <c r="F45" s="191">
        <v>0</v>
      </c>
      <c r="G45" s="191">
        <v>19</v>
      </c>
      <c r="H45" s="190">
        <v>0</v>
      </c>
      <c r="I45" s="190">
        <v>0</v>
      </c>
      <c r="J45" s="190">
        <v>0</v>
      </c>
      <c r="K45" s="189">
        <v>0</v>
      </c>
      <c r="L45" s="188">
        <v>0</v>
      </c>
      <c r="M45" s="188">
        <v>0</v>
      </c>
      <c r="N45" s="187">
        <v>0</v>
      </c>
      <c r="O45" s="186">
        <v>0</v>
      </c>
      <c r="P45" s="186">
        <v>0</v>
      </c>
      <c r="Q45" s="185">
        <v>0.02</v>
      </c>
    </row>
    <row r="46" spans="1:17" ht="22.5" customHeight="1" x14ac:dyDescent="0.25">
      <c r="A46" s="184">
        <v>43</v>
      </c>
      <c r="B46" s="193" t="s">
        <v>295</v>
      </c>
      <c r="C46" s="192">
        <v>0.16800000000000001</v>
      </c>
      <c r="D46" s="191">
        <v>0</v>
      </c>
      <c r="E46" s="191">
        <v>0</v>
      </c>
      <c r="F46" s="191">
        <v>0</v>
      </c>
      <c r="G46" s="191">
        <v>0</v>
      </c>
      <c r="H46" s="190">
        <v>0</v>
      </c>
      <c r="I46" s="190">
        <v>0</v>
      </c>
      <c r="J46" s="190">
        <v>0</v>
      </c>
      <c r="K46" s="189">
        <v>0</v>
      </c>
      <c r="L46" s="188">
        <v>0</v>
      </c>
      <c r="M46" s="188">
        <v>0</v>
      </c>
      <c r="N46" s="187">
        <v>0</v>
      </c>
      <c r="O46" s="186">
        <v>0</v>
      </c>
      <c r="P46" s="186">
        <v>0</v>
      </c>
      <c r="Q46" s="185">
        <v>0.02</v>
      </c>
    </row>
    <row r="47" spans="1:17" ht="22.5" customHeight="1" x14ac:dyDescent="0.25">
      <c r="A47" s="184">
        <v>44</v>
      </c>
      <c r="B47" s="193" t="s">
        <v>390</v>
      </c>
      <c r="C47" s="192">
        <v>1.2150000000000001</v>
      </c>
      <c r="D47" s="191">
        <v>0</v>
      </c>
      <c r="E47" s="191">
        <v>0</v>
      </c>
      <c r="F47" s="191">
        <v>0</v>
      </c>
      <c r="G47" s="191">
        <v>3</v>
      </c>
      <c r="H47" s="190">
        <v>0</v>
      </c>
      <c r="I47" s="190">
        <v>0</v>
      </c>
      <c r="J47" s="190">
        <v>0</v>
      </c>
      <c r="K47" s="189">
        <v>0</v>
      </c>
      <c r="L47" s="188">
        <v>0</v>
      </c>
      <c r="M47" s="188">
        <v>0</v>
      </c>
      <c r="N47" s="187">
        <v>0</v>
      </c>
      <c r="O47" s="186">
        <v>0</v>
      </c>
      <c r="P47" s="186">
        <v>0</v>
      </c>
      <c r="Q47" s="185">
        <v>0.02</v>
      </c>
    </row>
    <row r="48" spans="1:17" ht="22.5" customHeight="1" x14ac:dyDescent="0.25">
      <c r="A48" s="184">
        <v>45</v>
      </c>
      <c r="B48" s="193" t="s">
        <v>401</v>
      </c>
      <c r="C48" s="192">
        <v>0.46899999999999997</v>
      </c>
      <c r="D48" s="191">
        <v>0</v>
      </c>
      <c r="E48" s="191">
        <v>0</v>
      </c>
      <c r="F48" s="191">
        <v>0</v>
      </c>
      <c r="G48" s="191">
        <v>2</v>
      </c>
      <c r="H48" s="190">
        <v>0</v>
      </c>
      <c r="I48" s="190">
        <v>0</v>
      </c>
      <c r="J48" s="190">
        <v>0</v>
      </c>
      <c r="K48" s="189">
        <v>0</v>
      </c>
      <c r="L48" s="188">
        <v>0</v>
      </c>
      <c r="M48" s="188">
        <v>0</v>
      </c>
      <c r="N48" s="187">
        <v>0</v>
      </c>
      <c r="O48" s="186">
        <v>0</v>
      </c>
      <c r="P48" s="186">
        <v>0</v>
      </c>
      <c r="Q48" s="185">
        <v>0.02</v>
      </c>
    </row>
    <row r="49" spans="1:17" ht="22.5" customHeight="1" x14ac:dyDescent="0.25">
      <c r="A49" s="184">
        <v>46</v>
      </c>
      <c r="B49" s="193" t="s">
        <v>355</v>
      </c>
      <c r="C49" s="192">
        <v>0.71199999999999997</v>
      </c>
      <c r="D49" s="191">
        <v>0</v>
      </c>
      <c r="E49" s="191">
        <v>0</v>
      </c>
      <c r="F49" s="191">
        <v>0</v>
      </c>
      <c r="G49" s="191">
        <v>6</v>
      </c>
      <c r="H49" s="190">
        <v>0</v>
      </c>
      <c r="I49" s="190">
        <v>0</v>
      </c>
      <c r="J49" s="190">
        <v>0</v>
      </c>
      <c r="K49" s="189">
        <v>0</v>
      </c>
      <c r="L49" s="188">
        <v>0</v>
      </c>
      <c r="M49" s="188">
        <v>0</v>
      </c>
      <c r="N49" s="187">
        <v>0</v>
      </c>
      <c r="O49" s="186">
        <v>0</v>
      </c>
      <c r="P49" s="186">
        <v>0</v>
      </c>
      <c r="Q49" s="185">
        <v>0.02</v>
      </c>
    </row>
    <row r="50" spans="1:17" ht="22.5" customHeight="1" x14ac:dyDescent="0.25">
      <c r="A50" s="184">
        <v>47</v>
      </c>
      <c r="B50" s="193" t="s">
        <v>316</v>
      </c>
      <c r="C50" s="192">
        <v>1.8839999999999999</v>
      </c>
      <c r="D50" s="191">
        <v>0</v>
      </c>
      <c r="E50" s="191">
        <v>0</v>
      </c>
      <c r="F50" s="191">
        <v>0</v>
      </c>
      <c r="G50" s="191">
        <v>1</v>
      </c>
      <c r="H50" s="190">
        <v>0</v>
      </c>
      <c r="I50" s="190">
        <v>0</v>
      </c>
      <c r="J50" s="190">
        <v>0</v>
      </c>
      <c r="K50" s="189">
        <v>0</v>
      </c>
      <c r="L50" s="188">
        <v>0</v>
      </c>
      <c r="M50" s="188">
        <v>0</v>
      </c>
      <c r="N50" s="187">
        <v>0</v>
      </c>
      <c r="O50" s="186">
        <v>0</v>
      </c>
      <c r="P50" s="186">
        <v>0</v>
      </c>
      <c r="Q50" s="185">
        <v>0.02</v>
      </c>
    </row>
    <row r="51" spans="1:17" ht="22.5" customHeight="1" x14ac:dyDescent="0.25">
      <c r="A51" s="184">
        <v>48</v>
      </c>
      <c r="B51" s="193" t="s">
        <v>370</v>
      </c>
      <c r="C51" s="192">
        <v>0.56999999999999995</v>
      </c>
      <c r="D51" s="191">
        <v>0</v>
      </c>
      <c r="E51" s="191">
        <v>0</v>
      </c>
      <c r="F51" s="191">
        <v>0</v>
      </c>
      <c r="G51" s="191">
        <v>2</v>
      </c>
      <c r="H51" s="190">
        <v>0</v>
      </c>
      <c r="I51" s="190">
        <v>0</v>
      </c>
      <c r="J51" s="190">
        <v>0</v>
      </c>
      <c r="K51" s="189">
        <v>0</v>
      </c>
      <c r="L51" s="188">
        <v>0</v>
      </c>
      <c r="M51" s="188">
        <v>0</v>
      </c>
      <c r="N51" s="187">
        <v>0</v>
      </c>
      <c r="O51" s="186">
        <v>0</v>
      </c>
      <c r="P51" s="186">
        <v>0</v>
      </c>
      <c r="Q51" s="185">
        <v>0.02</v>
      </c>
    </row>
    <row r="52" spans="1:17" ht="22.5" customHeight="1" x14ac:dyDescent="0.25">
      <c r="A52" s="184">
        <v>49</v>
      </c>
      <c r="B52" s="193" t="s">
        <v>353</v>
      </c>
      <c r="C52" s="192">
        <v>2.734</v>
      </c>
      <c r="D52" s="191">
        <v>0</v>
      </c>
      <c r="E52" s="191">
        <v>0</v>
      </c>
      <c r="F52" s="191">
        <v>0</v>
      </c>
      <c r="G52" s="191">
        <v>2</v>
      </c>
      <c r="H52" s="190">
        <v>0</v>
      </c>
      <c r="I52" s="190">
        <v>0</v>
      </c>
      <c r="J52" s="190">
        <v>0</v>
      </c>
      <c r="K52" s="189">
        <v>0</v>
      </c>
      <c r="L52" s="188">
        <v>0</v>
      </c>
      <c r="M52" s="188">
        <v>0</v>
      </c>
      <c r="N52" s="187">
        <v>0</v>
      </c>
      <c r="O52" s="186">
        <v>0</v>
      </c>
      <c r="P52" s="186">
        <v>0</v>
      </c>
      <c r="Q52" s="185">
        <v>0.02</v>
      </c>
    </row>
    <row r="53" spans="1:17" ht="22.5" customHeight="1" x14ac:dyDescent="0.25">
      <c r="A53" s="184">
        <v>50</v>
      </c>
      <c r="B53" s="193" t="s">
        <v>271</v>
      </c>
      <c r="C53" s="192">
        <v>0.88200000000000001</v>
      </c>
      <c r="D53" s="191">
        <v>0</v>
      </c>
      <c r="E53" s="191">
        <v>0</v>
      </c>
      <c r="F53" s="191">
        <v>0</v>
      </c>
      <c r="G53" s="191">
        <v>4</v>
      </c>
      <c r="H53" s="190">
        <v>0</v>
      </c>
      <c r="I53" s="190">
        <v>0</v>
      </c>
      <c r="J53" s="190">
        <v>0</v>
      </c>
      <c r="K53" s="189">
        <v>0</v>
      </c>
      <c r="L53" s="188">
        <v>0</v>
      </c>
      <c r="M53" s="188">
        <v>0</v>
      </c>
      <c r="N53" s="187">
        <v>0</v>
      </c>
      <c r="O53" s="186">
        <v>0</v>
      </c>
      <c r="P53" s="186">
        <v>0</v>
      </c>
      <c r="Q53" s="185">
        <v>0.02</v>
      </c>
    </row>
    <row r="54" spans="1:17" ht="22.5" customHeight="1" x14ac:dyDescent="0.25">
      <c r="A54" s="184">
        <v>51</v>
      </c>
      <c r="B54" s="193" t="s">
        <v>409</v>
      </c>
      <c r="C54" s="192">
        <v>0.53600000000000003</v>
      </c>
      <c r="D54" s="191">
        <v>0</v>
      </c>
      <c r="E54" s="191">
        <v>0</v>
      </c>
      <c r="F54" s="191">
        <v>0</v>
      </c>
      <c r="G54" s="191">
        <v>2</v>
      </c>
      <c r="H54" s="190">
        <v>0</v>
      </c>
      <c r="I54" s="190">
        <v>0</v>
      </c>
      <c r="J54" s="190">
        <v>0</v>
      </c>
      <c r="K54" s="189">
        <v>0</v>
      </c>
      <c r="L54" s="188">
        <v>0</v>
      </c>
      <c r="M54" s="188">
        <v>0</v>
      </c>
      <c r="N54" s="187">
        <v>0</v>
      </c>
      <c r="O54" s="186">
        <v>0</v>
      </c>
      <c r="P54" s="186">
        <v>0</v>
      </c>
      <c r="Q54" s="185">
        <v>0.02</v>
      </c>
    </row>
    <row r="55" spans="1:17" ht="22.5" customHeight="1" x14ac:dyDescent="0.25">
      <c r="A55" s="184">
        <v>52</v>
      </c>
      <c r="B55" s="193" t="s">
        <v>359</v>
      </c>
      <c r="C55" s="192">
        <v>1.0309999999999999</v>
      </c>
      <c r="D55" s="191">
        <v>0</v>
      </c>
      <c r="E55" s="191">
        <v>0</v>
      </c>
      <c r="F55" s="191">
        <v>0</v>
      </c>
      <c r="G55" s="191">
        <v>5</v>
      </c>
      <c r="H55" s="190">
        <v>0</v>
      </c>
      <c r="I55" s="190">
        <v>0</v>
      </c>
      <c r="J55" s="190">
        <v>0</v>
      </c>
      <c r="K55" s="189">
        <v>0</v>
      </c>
      <c r="L55" s="188">
        <v>0</v>
      </c>
      <c r="M55" s="188">
        <v>0</v>
      </c>
      <c r="N55" s="187">
        <v>0</v>
      </c>
      <c r="O55" s="186">
        <v>0</v>
      </c>
      <c r="P55" s="186">
        <v>0</v>
      </c>
      <c r="Q55" s="185">
        <v>0.02</v>
      </c>
    </row>
    <row r="56" spans="1:17" ht="22.5" customHeight="1" x14ac:dyDescent="0.25">
      <c r="A56" s="184">
        <v>53</v>
      </c>
      <c r="B56" s="193" t="s">
        <v>288</v>
      </c>
      <c r="C56" s="192">
        <v>1.109</v>
      </c>
      <c r="D56" s="191">
        <v>0</v>
      </c>
      <c r="E56" s="191">
        <v>0</v>
      </c>
      <c r="F56" s="191">
        <v>0</v>
      </c>
      <c r="G56" s="191">
        <v>4</v>
      </c>
      <c r="H56" s="190">
        <v>0</v>
      </c>
      <c r="I56" s="190">
        <v>0</v>
      </c>
      <c r="J56" s="190">
        <v>0</v>
      </c>
      <c r="K56" s="189">
        <v>0</v>
      </c>
      <c r="L56" s="188">
        <v>0</v>
      </c>
      <c r="M56" s="188">
        <v>0</v>
      </c>
      <c r="N56" s="187">
        <v>0</v>
      </c>
      <c r="O56" s="186">
        <v>0</v>
      </c>
      <c r="P56" s="186">
        <v>0</v>
      </c>
      <c r="Q56" s="185">
        <v>0.02</v>
      </c>
    </row>
    <row r="57" spans="1:17" ht="22.5" customHeight="1" x14ac:dyDescent="0.25">
      <c r="A57" s="184">
        <v>54</v>
      </c>
      <c r="B57" s="193" t="s">
        <v>397</v>
      </c>
      <c r="C57" s="192">
        <v>6.66</v>
      </c>
      <c r="D57" s="191">
        <v>0</v>
      </c>
      <c r="E57" s="191">
        <v>0</v>
      </c>
      <c r="F57" s="191">
        <v>0</v>
      </c>
      <c r="G57" s="191">
        <v>10</v>
      </c>
      <c r="H57" s="190">
        <v>0</v>
      </c>
      <c r="I57" s="190">
        <v>0</v>
      </c>
      <c r="J57" s="190">
        <v>0</v>
      </c>
      <c r="K57" s="189">
        <v>0</v>
      </c>
      <c r="L57" s="188">
        <v>0</v>
      </c>
      <c r="M57" s="188">
        <v>0</v>
      </c>
      <c r="N57" s="187">
        <v>0</v>
      </c>
      <c r="O57" s="186">
        <v>0</v>
      </c>
      <c r="P57" s="186">
        <v>0</v>
      </c>
      <c r="Q57" s="185">
        <v>0.02</v>
      </c>
    </row>
    <row r="58" spans="1:17" ht="22.5" customHeight="1" x14ac:dyDescent="0.25">
      <c r="A58" s="184">
        <v>55</v>
      </c>
      <c r="B58" s="193" t="s">
        <v>290</v>
      </c>
      <c r="C58" s="192">
        <v>1.4370000000000001</v>
      </c>
      <c r="D58" s="191">
        <v>0</v>
      </c>
      <c r="E58" s="191">
        <v>0</v>
      </c>
      <c r="F58" s="191">
        <v>0</v>
      </c>
      <c r="G58" s="191">
        <v>6</v>
      </c>
      <c r="H58" s="190">
        <v>0</v>
      </c>
      <c r="I58" s="190">
        <v>0</v>
      </c>
      <c r="J58" s="190">
        <v>0</v>
      </c>
      <c r="K58" s="189">
        <v>0</v>
      </c>
      <c r="L58" s="188">
        <v>0</v>
      </c>
      <c r="M58" s="188">
        <v>0</v>
      </c>
      <c r="N58" s="187">
        <v>0</v>
      </c>
      <c r="O58" s="186">
        <v>0</v>
      </c>
      <c r="P58" s="186">
        <v>0</v>
      </c>
      <c r="Q58" s="185">
        <v>0.02</v>
      </c>
    </row>
    <row r="59" spans="1:17" ht="22.5" customHeight="1" x14ac:dyDescent="0.25">
      <c r="A59" s="184">
        <v>56</v>
      </c>
      <c r="B59" s="193" t="s">
        <v>384</v>
      </c>
      <c r="C59" s="192">
        <v>1.758</v>
      </c>
      <c r="D59" s="191">
        <v>0</v>
      </c>
      <c r="E59" s="191">
        <v>0</v>
      </c>
      <c r="F59" s="191">
        <v>0</v>
      </c>
      <c r="G59" s="191">
        <v>6</v>
      </c>
      <c r="H59" s="190">
        <v>0</v>
      </c>
      <c r="I59" s="190">
        <v>0</v>
      </c>
      <c r="J59" s="190">
        <v>0</v>
      </c>
      <c r="K59" s="189">
        <v>0</v>
      </c>
      <c r="L59" s="188">
        <v>0</v>
      </c>
      <c r="M59" s="188">
        <v>0</v>
      </c>
      <c r="N59" s="187">
        <v>0</v>
      </c>
      <c r="O59" s="186">
        <v>0</v>
      </c>
      <c r="P59" s="186">
        <v>0</v>
      </c>
      <c r="Q59" s="185">
        <v>0.02</v>
      </c>
    </row>
    <row r="60" spans="1:17" ht="22.5" customHeight="1" x14ac:dyDescent="0.25">
      <c r="A60" s="184">
        <v>57</v>
      </c>
      <c r="B60" s="193" t="s">
        <v>282</v>
      </c>
      <c r="C60" s="192">
        <v>1.21</v>
      </c>
      <c r="D60" s="191">
        <v>0</v>
      </c>
      <c r="E60" s="191">
        <v>0</v>
      </c>
      <c r="F60" s="191">
        <v>0</v>
      </c>
      <c r="G60" s="191">
        <v>5</v>
      </c>
      <c r="H60" s="190">
        <v>0</v>
      </c>
      <c r="I60" s="190">
        <v>0</v>
      </c>
      <c r="J60" s="190">
        <v>0</v>
      </c>
      <c r="K60" s="189">
        <v>0</v>
      </c>
      <c r="L60" s="188">
        <v>0</v>
      </c>
      <c r="M60" s="188">
        <v>0</v>
      </c>
      <c r="N60" s="187">
        <v>0</v>
      </c>
      <c r="O60" s="186">
        <v>0</v>
      </c>
      <c r="P60" s="186">
        <v>0</v>
      </c>
      <c r="Q60" s="185">
        <v>0.02</v>
      </c>
    </row>
    <row r="61" spans="1:17" ht="22.5" customHeight="1" x14ac:dyDescent="0.25">
      <c r="A61" s="184">
        <v>58</v>
      </c>
      <c r="B61" s="193" t="s">
        <v>322</v>
      </c>
      <c r="C61" s="192">
        <v>0.21199999999999999</v>
      </c>
      <c r="D61" s="191">
        <v>0</v>
      </c>
      <c r="E61" s="191">
        <v>0</v>
      </c>
      <c r="F61" s="191">
        <v>0</v>
      </c>
      <c r="G61" s="191">
        <v>0</v>
      </c>
      <c r="H61" s="190">
        <v>0</v>
      </c>
      <c r="I61" s="190">
        <v>0</v>
      </c>
      <c r="J61" s="190">
        <v>0</v>
      </c>
      <c r="K61" s="189">
        <v>0</v>
      </c>
      <c r="L61" s="188">
        <v>0</v>
      </c>
      <c r="M61" s="188">
        <v>0</v>
      </c>
      <c r="N61" s="187">
        <v>0</v>
      </c>
      <c r="O61" s="186">
        <v>0</v>
      </c>
      <c r="P61" s="186">
        <v>0</v>
      </c>
      <c r="Q61" s="185">
        <v>0.02</v>
      </c>
    </row>
    <row r="62" spans="1:17" ht="22.5" customHeight="1" x14ac:dyDescent="0.25">
      <c r="A62" s="184">
        <v>59</v>
      </c>
      <c r="B62" s="193" t="s">
        <v>321</v>
      </c>
      <c r="C62" s="192">
        <v>0.73599999999999999</v>
      </c>
      <c r="D62" s="191">
        <v>0</v>
      </c>
      <c r="E62" s="191">
        <v>0</v>
      </c>
      <c r="F62" s="191">
        <v>0</v>
      </c>
      <c r="G62" s="191">
        <v>4</v>
      </c>
      <c r="H62" s="190">
        <v>0</v>
      </c>
      <c r="I62" s="190">
        <v>0</v>
      </c>
      <c r="J62" s="190">
        <v>0</v>
      </c>
      <c r="K62" s="189">
        <v>0</v>
      </c>
      <c r="L62" s="188">
        <v>0</v>
      </c>
      <c r="M62" s="188">
        <v>0</v>
      </c>
      <c r="N62" s="187">
        <v>0</v>
      </c>
      <c r="O62" s="186">
        <v>0</v>
      </c>
      <c r="P62" s="186">
        <v>0</v>
      </c>
      <c r="Q62" s="185">
        <v>0.02</v>
      </c>
    </row>
    <row r="63" spans="1:17" ht="22.5" customHeight="1" x14ac:dyDescent="0.25">
      <c r="A63" s="184">
        <v>60</v>
      </c>
      <c r="B63" s="193" t="s">
        <v>378</v>
      </c>
      <c r="C63" s="192">
        <v>0.85399999999999998</v>
      </c>
      <c r="D63" s="191">
        <v>0</v>
      </c>
      <c r="E63" s="191">
        <v>0</v>
      </c>
      <c r="F63" s="191">
        <v>0</v>
      </c>
      <c r="G63" s="191">
        <v>3</v>
      </c>
      <c r="H63" s="190">
        <v>0</v>
      </c>
      <c r="I63" s="190">
        <v>0</v>
      </c>
      <c r="J63" s="190">
        <v>0</v>
      </c>
      <c r="K63" s="189">
        <v>0</v>
      </c>
      <c r="L63" s="188">
        <v>0</v>
      </c>
      <c r="M63" s="188">
        <v>0</v>
      </c>
      <c r="N63" s="187">
        <v>0</v>
      </c>
      <c r="O63" s="186">
        <v>0</v>
      </c>
      <c r="P63" s="186">
        <v>0</v>
      </c>
      <c r="Q63" s="185">
        <v>0.02</v>
      </c>
    </row>
    <row r="64" spans="1:17" ht="22.5" customHeight="1" x14ac:dyDescent="0.25">
      <c r="A64" s="184">
        <v>61</v>
      </c>
      <c r="B64" s="193" t="s">
        <v>408</v>
      </c>
      <c r="C64" s="192">
        <v>0.02</v>
      </c>
      <c r="D64" s="191">
        <v>0</v>
      </c>
      <c r="E64" s="191">
        <v>0</v>
      </c>
      <c r="F64" s="191">
        <v>0</v>
      </c>
      <c r="G64" s="191">
        <v>0</v>
      </c>
      <c r="H64" s="190">
        <v>0</v>
      </c>
      <c r="I64" s="190">
        <v>0</v>
      </c>
      <c r="J64" s="190">
        <v>0</v>
      </c>
      <c r="K64" s="189">
        <v>0</v>
      </c>
      <c r="L64" s="188">
        <v>0</v>
      </c>
      <c r="M64" s="188">
        <v>0</v>
      </c>
      <c r="N64" s="187">
        <v>0</v>
      </c>
      <c r="O64" s="186">
        <v>0</v>
      </c>
      <c r="P64" s="186">
        <v>0</v>
      </c>
      <c r="Q64" s="185">
        <v>0.02</v>
      </c>
    </row>
    <row r="65" spans="1:17" ht="22.5" customHeight="1" x14ac:dyDescent="0.25">
      <c r="A65" s="184" t="s">
        <v>171</v>
      </c>
      <c r="B65" s="183" t="s">
        <v>3</v>
      </c>
      <c r="C65" s="182">
        <v>245.42500000000001</v>
      </c>
      <c r="D65" s="181">
        <v>84</v>
      </c>
      <c r="E65" s="181">
        <v>64</v>
      </c>
      <c r="F65" s="181">
        <v>14</v>
      </c>
      <c r="G65" s="200">
        <v>1023</v>
      </c>
      <c r="H65" s="180">
        <v>1245</v>
      </c>
      <c r="I65" s="180">
        <v>1455</v>
      </c>
      <c r="J65" s="180">
        <v>2885</v>
      </c>
      <c r="K65" s="179">
        <v>8.2100000000000006E-2</v>
      </c>
      <c r="L65" s="178">
        <v>0.92859999999999998</v>
      </c>
      <c r="M65" s="178">
        <v>0.7</v>
      </c>
      <c r="N65" s="177">
        <v>11</v>
      </c>
      <c r="O65" s="176">
        <v>0.32</v>
      </c>
      <c r="P65" s="176">
        <v>0.06</v>
      </c>
      <c r="Q65" s="175" t="s">
        <v>171</v>
      </c>
    </row>
  </sheetData>
  <sortState ref="B3:R63">
    <sortCondition descending="1" ref="Q3"/>
  </sortState>
  <mergeCells count="3">
    <mergeCell ref="A2:A3"/>
    <mergeCell ref="B2:B3"/>
    <mergeCell ref="F1:L1"/>
  </mergeCells>
  <pageMargins left="0.25" right="0.25" top="0.25" bottom="0.5" header="0.25" footer="0.25"/>
  <pageSetup orientation="portrait" cellComments="atEnd"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FF0000"/>
  </sheetPr>
  <dimension ref="A1:Q64"/>
  <sheetViews>
    <sheetView workbookViewId="0">
      <selection sqref="A1:Q22"/>
    </sheetView>
  </sheetViews>
  <sheetFormatPr defaultRowHeight="22.5" customHeight="1" x14ac:dyDescent="0.25"/>
  <cols>
    <col min="1" max="1" width="6" style="93" bestFit="1" customWidth="1"/>
    <col min="2" max="2" width="22.42578125" style="94" bestFit="1" customWidth="1"/>
    <col min="3" max="3" width="8.28515625" style="93" bestFit="1" customWidth="1"/>
    <col min="4" max="4" width="6" style="93" bestFit="1" customWidth="1"/>
    <col min="5" max="5" width="10.28515625" style="93" bestFit="1" customWidth="1"/>
    <col min="6" max="6" width="10.42578125" style="93" bestFit="1" customWidth="1"/>
    <col min="7" max="7" width="8.42578125" style="93" bestFit="1" customWidth="1"/>
    <col min="8" max="8" width="13.42578125" style="93" bestFit="1" customWidth="1"/>
    <col min="9" max="9" width="12" style="93" bestFit="1" customWidth="1"/>
    <col min="10" max="11" width="13.42578125" style="93" bestFit="1" customWidth="1"/>
    <col min="12" max="12" width="11.42578125" style="93" bestFit="1" customWidth="1"/>
    <col min="13" max="13" width="10.42578125" style="93" bestFit="1" customWidth="1"/>
    <col min="14" max="14" width="11.85546875" style="93" bestFit="1" customWidth="1"/>
    <col min="15" max="15" width="11.42578125" style="93" bestFit="1" customWidth="1"/>
    <col min="16" max="16" width="10.42578125" style="93" bestFit="1" customWidth="1"/>
    <col min="17" max="17" width="12.28515625" style="93" bestFit="1" customWidth="1"/>
    <col min="18" max="16384" width="9.140625" style="93"/>
  </cols>
  <sheetData>
    <row r="1" spans="1:17" ht="22.5" customHeight="1" x14ac:dyDescent="0.25">
      <c r="F1" s="610"/>
      <c r="G1" s="610"/>
      <c r="H1" s="610"/>
      <c r="I1" s="610"/>
      <c r="J1" s="610"/>
      <c r="K1" s="610"/>
      <c r="L1" s="610"/>
    </row>
    <row r="2" spans="1:17" ht="22.5" customHeight="1" x14ac:dyDescent="0.25">
      <c r="A2" s="606" t="s">
        <v>172</v>
      </c>
      <c r="B2" s="608" t="s">
        <v>7</v>
      </c>
      <c r="C2" s="199" t="s">
        <v>173</v>
      </c>
      <c r="D2" s="198" t="s">
        <v>3</v>
      </c>
      <c r="E2" s="198" t="s">
        <v>176</v>
      </c>
      <c r="F2" s="198" t="s">
        <v>166</v>
      </c>
      <c r="G2" s="198" t="s">
        <v>8</v>
      </c>
      <c r="H2" s="198" t="s">
        <v>176</v>
      </c>
      <c r="I2" s="198" t="s">
        <v>166</v>
      </c>
      <c r="J2" s="198" t="s">
        <v>3</v>
      </c>
      <c r="K2" s="198" t="s">
        <v>21</v>
      </c>
      <c r="L2" s="198" t="s">
        <v>164</v>
      </c>
      <c r="M2" s="198" t="s">
        <v>166</v>
      </c>
      <c r="N2" s="198" t="s">
        <v>164</v>
      </c>
      <c r="O2" s="198" t="s">
        <v>164</v>
      </c>
      <c r="P2" s="198" t="s">
        <v>166</v>
      </c>
      <c r="Q2" s="197" t="s">
        <v>169</v>
      </c>
    </row>
    <row r="3" spans="1:17" ht="22.5" customHeight="1" x14ac:dyDescent="0.25">
      <c r="A3" s="607"/>
      <c r="B3" s="609"/>
      <c r="C3" s="196" t="s">
        <v>174</v>
      </c>
      <c r="D3" s="195" t="s">
        <v>175</v>
      </c>
      <c r="E3" s="195" t="s">
        <v>175</v>
      </c>
      <c r="F3" s="195" t="s">
        <v>175</v>
      </c>
      <c r="G3" s="195" t="s">
        <v>12</v>
      </c>
      <c r="H3" s="195" t="s">
        <v>9</v>
      </c>
      <c r="I3" s="195" t="s">
        <v>9</v>
      </c>
      <c r="J3" s="195" t="s">
        <v>9</v>
      </c>
      <c r="K3" s="195" t="s">
        <v>13</v>
      </c>
      <c r="L3" s="195" t="s">
        <v>165</v>
      </c>
      <c r="M3" s="195" t="s">
        <v>165</v>
      </c>
      <c r="N3" s="195" t="s">
        <v>167</v>
      </c>
      <c r="O3" s="195" t="s">
        <v>168</v>
      </c>
      <c r="P3" s="195" t="s">
        <v>168</v>
      </c>
      <c r="Q3" s="194" t="s">
        <v>170</v>
      </c>
    </row>
    <row r="4" spans="1:17" ht="22.5" customHeight="1" x14ac:dyDescent="0.25">
      <c r="A4" s="184">
        <v>1</v>
      </c>
      <c r="B4" s="193" t="s">
        <v>324</v>
      </c>
      <c r="C4" s="192">
        <v>2.6760000000000002</v>
      </c>
      <c r="D4" s="191">
        <v>5</v>
      </c>
      <c r="E4" s="191">
        <v>4</v>
      </c>
      <c r="F4" s="191">
        <v>1</v>
      </c>
      <c r="G4" s="191">
        <v>9</v>
      </c>
      <c r="H4" s="190">
        <v>795</v>
      </c>
      <c r="I4" s="190">
        <v>30</v>
      </c>
      <c r="J4" s="190">
        <v>825</v>
      </c>
      <c r="K4" s="189">
        <v>0.55559999999999998</v>
      </c>
      <c r="L4" s="188">
        <v>1</v>
      </c>
      <c r="M4" s="188">
        <v>1</v>
      </c>
      <c r="N4" s="187">
        <v>308.3</v>
      </c>
      <c r="O4" s="186">
        <v>1.87</v>
      </c>
      <c r="P4" s="186">
        <v>0.37</v>
      </c>
      <c r="Q4" s="185">
        <v>0.85</v>
      </c>
    </row>
    <row r="5" spans="1:17" ht="22.5" customHeight="1" x14ac:dyDescent="0.25">
      <c r="A5" s="184">
        <v>2</v>
      </c>
      <c r="B5" s="193" t="s">
        <v>351</v>
      </c>
      <c r="C5" s="192">
        <v>1.6240000000000001</v>
      </c>
      <c r="D5" s="191">
        <v>3</v>
      </c>
      <c r="E5" s="191">
        <v>2</v>
      </c>
      <c r="F5" s="191">
        <v>1</v>
      </c>
      <c r="G5" s="191">
        <v>5</v>
      </c>
      <c r="H5" s="190">
        <v>30</v>
      </c>
      <c r="I5" s="190">
        <v>60</v>
      </c>
      <c r="J5" s="190">
        <v>90</v>
      </c>
      <c r="K5" s="189">
        <v>0.6</v>
      </c>
      <c r="L5" s="188">
        <v>1</v>
      </c>
      <c r="M5" s="188">
        <v>1</v>
      </c>
      <c r="N5" s="187">
        <v>55.42</v>
      </c>
      <c r="O5" s="186">
        <v>1.85</v>
      </c>
      <c r="P5" s="186">
        <v>0.62</v>
      </c>
      <c r="Q5" s="185">
        <v>0.82</v>
      </c>
    </row>
    <row r="6" spans="1:17" ht="22.5" customHeight="1" x14ac:dyDescent="0.25">
      <c r="A6" s="184">
        <v>3</v>
      </c>
      <c r="B6" s="193" t="s">
        <v>384</v>
      </c>
      <c r="C6" s="192">
        <v>2.5590000000000002</v>
      </c>
      <c r="D6" s="191">
        <v>4</v>
      </c>
      <c r="E6" s="191">
        <v>3</v>
      </c>
      <c r="F6" s="191">
        <v>1</v>
      </c>
      <c r="G6" s="191">
        <v>7</v>
      </c>
      <c r="H6" s="190">
        <v>325</v>
      </c>
      <c r="I6" s="190">
        <v>25</v>
      </c>
      <c r="J6" s="190">
        <v>350</v>
      </c>
      <c r="K6" s="189">
        <v>0.57140000000000002</v>
      </c>
      <c r="L6" s="188">
        <v>1</v>
      </c>
      <c r="M6" s="188">
        <v>1</v>
      </c>
      <c r="N6" s="187">
        <v>136.77000000000001</v>
      </c>
      <c r="O6" s="186">
        <v>1.56</v>
      </c>
      <c r="P6" s="186">
        <v>0.39</v>
      </c>
      <c r="Q6" s="185">
        <v>0.82</v>
      </c>
    </row>
    <row r="7" spans="1:17" ht="22.5" customHeight="1" x14ac:dyDescent="0.25">
      <c r="A7" s="184">
        <v>4</v>
      </c>
      <c r="B7" s="193" t="s">
        <v>406</v>
      </c>
      <c r="C7" s="192">
        <v>4.6239999999999997</v>
      </c>
      <c r="D7" s="191">
        <v>8</v>
      </c>
      <c r="E7" s="191">
        <v>7</v>
      </c>
      <c r="F7" s="191">
        <v>1</v>
      </c>
      <c r="G7" s="191">
        <v>17</v>
      </c>
      <c r="H7" s="190">
        <v>480</v>
      </c>
      <c r="I7" s="190">
        <v>120</v>
      </c>
      <c r="J7" s="190">
        <v>600</v>
      </c>
      <c r="K7" s="189">
        <v>0.47060000000000002</v>
      </c>
      <c r="L7" s="188">
        <v>1</v>
      </c>
      <c r="M7" s="188">
        <v>1</v>
      </c>
      <c r="N7" s="187">
        <v>129.76</v>
      </c>
      <c r="O7" s="186">
        <v>1.73</v>
      </c>
      <c r="P7" s="186">
        <v>0.22</v>
      </c>
      <c r="Q7" s="185">
        <v>0.79</v>
      </c>
    </row>
    <row r="8" spans="1:17" ht="22.5" customHeight="1" x14ac:dyDescent="0.25">
      <c r="A8" s="184">
        <v>5</v>
      </c>
      <c r="B8" s="193" t="s">
        <v>315</v>
      </c>
      <c r="C8" s="192">
        <v>4.9359999999999999</v>
      </c>
      <c r="D8" s="191">
        <v>7</v>
      </c>
      <c r="E8" s="191">
        <v>6</v>
      </c>
      <c r="F8" s="191">
        <v>1</v>
      </c>
      <c r="G8" s="191">
        <v>24</v>
      </c>
      <c r="H8" s="190">
        <v>2265</v>
      </c>
      <c r="I8" s="190">
        <v>120</v>
      </c>
      <c r="J8" s="190">
        <v>2385</v>
      </c>
      <c r="K8" s="189">
        <v>0.29170000000000001</v>
      </c>
      <c r="L8" s="188">
        <v>1</v>
      </c>
      <c r="M8" s="188">
        <v>1</v>
      </c>
      <c r="N8" s="187">
        <v>483.18</v>
      </c>
      <c r="O8" s="186">
        <v>1.42</v>
      </c>
      <c r="P8" s="186">
        <v>0.2</v>
      </c>
      <c r="Q8" s="185">
        <v>0.75</v>
      </c>
    </row>
    <row r="9" spans="1:17" ht="22.5" customHeight="1" x14ac:dyDescent="0.25">
      <c r="A9" s="184">
        <v>6</v>
      </c>
      <c r="B9" s="193" t="s">
        <v>286</v>
      </c>
      <c r="C9" s="192">
        <v>5.4960000000000004</v>
      </c>
      <c r="D9" s="191">
        <v>8</v>
      </c>
      <c r="E9" s="191">
        <v>5</v>
      </c>
      <c r="F9" s="191">
        <v>2</v>
      </c>
      <c r="G9" s="191">
        <v>26</v>
      </c>
      <c r="H9" s="190">
        <v>165</v>
      </c>
      <c r="I9" s="190">
        <v>240</v>
      </c>
      <c r="J9" s="190">
        <v>505</v>
      </c>
      <c r="K9" s="189">
        <v>0.30769999999999997</v>
      </c>
      <c r="L9" s="188">
        <v>0.875</v>
      </c>
      <c r="M9" s="188">
        <v>0.66669999999999996</v>
      </c>
      <c r="N9" s="187">
        <v>73.69</v>
      </c>
      <c r="O9" s="186">
        <v>1.27</v>
      </c>
      <c r="P9" s="186">
        <v>0.36</v>
      </c>
      <c r="Q9" s="185">
        <v>0.71</v>
      </c>
    </row>
    <row r="10" spans="1:17" ht="22.5" customHeight="1" x14ac:dyDescent="0.25">
      <c r="A10" s="184">
        <v>7</v>
      </c>
      <c r="B10" s="193" t="s">
        <v>369</v>
      </c>
      <c r="C10" s="192">
        <v>5.07</v>
      </c>
      <c r="D10" s="191">
        <v>8</v>
      </c>
      <c r="E10" s="191">
        <v>6</v>
      </c>
      <c r="F10" s="191">
        <v>1</v>
      </c>
      <c r="G10" s="191">
        <v>30</v>
      </c>
      <c r="H10" s="190">
        <v>750</v>
      </c>
      <c r="I10" s="190">
        <v>60</v>
      </c>
      <c r="J10" s="190">
        <v>1060</v>
      </c>
      <c r="K10" s="189">
        <v>0.26669999999999999</v>
      </c>
      <c r="L10" s="188">
        <v>0.875</v>
      </c>
      <c r="M10" s="188">
        <v>0.5</v>
      </c>
      <c r="N10" s="187">
        <v>159.76</v>
      </c>
      <c r="O10" s="186">
        <v>1.38</v>
      </c>
      <c r="P10" s="186">
        <v>0.2</v>
      </c>
      <c r="Q10" s="185">
        <v>0.69</v>
      </c>
    </row>
    <row r="11" spans="1:17" ht="22.5" customHeight="1" x14ac:dyDescent="0.25">
      <c r="A11" s="184">
        <v>8</v>
      </c>
      <c r="B11" s="193" t="s">
        <v>356</v>
      </c>
      <c r="C11" s="192">
        <v>5.1100000000000003</v>
      </c>
      <c r="D11" s="191">
        <v>8</v>
      </c>
      <c r="E11" s="191">
        <v>6</v>
      </c>
      <c r="F11" s="191">
        <v>1</v>
      </c>
      <c r="G11" s="191">
        <v>22</v>
      </c>
      <c r="H11" s="190">
        <v>160</v>
      </c>
      <c r="I11" s="190">
        <v>120</v>
      </c>
      <c r="J11" s="190">
        <v>580</v>
      </c>
      <c r="K11" s="189">
        <v>0.36359999999999998</v>
      </c>
      <c r="L11" s="188">
        <v>0.875</v>
      </c>
      <c r="M11" s="188">
        <v>0.5</v>
      </c>
      <c r="N11" s="187">
        <v>54.79</v>
      </c>
      <c r="O11" s="186">
        <v>1.37</v>
      </c>
      <c r="P11" s="186">
        <v>0.2</v>
      </c>
      <c r="Q11" s="185">
        <v>0.69</v>
      </c>
    </row>
    <row r="12" spans="1:17" ht="22.5" customHeight="1" x14ac:dyDescent="0.25">
      <c r="A12" s="184">
        <v>9</v>
      </c>
      <c r="B12" s="193" t="s">
        <v>366</v>
      </c>
      <c r="C12" s="192">
        <v>5.0449999999999999</v>
      </c>
      <c r="D12" s="191">
        <v>8</v>
      </c>
      <c r="E12" s="191">
        <v>4</v>
      </c>
      <c r="F12" s="191">
        <v>2</v>
      </c>
      <c r="G12" s="191">
        <v>18</v>
      </c>
      <c r="H12" s="190">
        <v>56</v>
      </c>
      <c r="I12" s="190">
        <v>240</v>
      </c>
      <c r="J12" s="190">
        <v>1996</v>
      </c>
      <c r="K12" s="189">
        <v>0.44440000000000002</v>
      </c>
      <c r="L12" s="188">
        <v>0.75</v>
      </c>
      <c r="M12" s="188">
        <v>0.5</v>
      </c>
      <c r="N12" s="187">
        <v>58.67</v>
      </c>
      <c r="O12" s="186">
        <v>1.19</v>
      </c>
      <c r="P12" s="186">
        <v>0.4</v>
      </c>
      <c r="Q12" s="185">
        <v>0.68</v>
      </c>
    </row>
    <row r="13" spans="1:17" ht="22.5" customHeight="1" x14ac:dyDescent="0.25">
      <c r="A13" s="184">
        <v>10</v>
      </c>
      <c r="B13" s="193" t="s">
        <v>299</v>
      </c>
      <c r="C13" s="192">
        <v>2.702</v>
      </c>
      <c r="D13" s="191">
        <v>4</v>
      </c>
      <c r="E13" s="191">
        <v>2</v>
      </c>
      <c r="F13" s="191">
        <v>1</v>
      </c>
      <c r="G13" s="191">
        <v>9</v>
      </c>
      <c r="H13" s="190">
        <v>50</v>
      </c>
      <c r="I13" s="190">
        <v>120</v>
      </c>
      <c r="J13" s="190">
        <v>420</v>
      </c>
      <c r="K13" s="189">
        <v>0.44440000000000002</v>
      </c>
      <c r="L13" s="188">
        <v>0.75</v>
      </c>
      <c r="M13" s="188">
        <v>0.5</v>
      </c>
      <c r="N13" s="187">
        <v>62.92</v>
      </c>
      <c r="O13" s="186">
        <v>1.1100000000000001</v>
      </c>
      <c r="P13" s="186">
        <v>0.37</v>
      </c>
      <c r="Q13" s="185">
        <v>0.66</v>
      </c>
    </row>
    <row r="14" spans="1:17" ht="22.5" customHeight="1" x14ac:dyDescent="0.25">
      <c r="A14" s="184">
        <v>11</v>
      </c>
      <c r="B14" s="193" t="s">
        <v>365</v>
      </c>
      <c r="C14" s="192">
        <v>5.3140000000000001</v>
      </c>
      <c r="D14" s="191">
        <v>7</v>
      </c>
      <c r="E14" s="191">
        <v>5</v>
      </c>
      <c r="F14" s="191">
        <v>1</v>
      </c>
      <c r="G14" s="191">
        <v>20</v>
      </c>
      <c r="H14" s="190">
        <v>160</v>
      </c>
      <c r="I14" s="190">
        <v>120</v>
      </c>
      <c r="J14" s="190">
        <v>330</v>
      </c>
      <c r="K14" s="189">
        <v>0.35</v>
      </c>
      <c r="L14" s="188">
        <v>0.85709999999999997</v>
      </c>
      <c r="M14" s="188">
        <v>0.5</v>
      </c>
      <c r="N14" s="187">
        <v>52.69</v>
      </c>
      <c r="O14" s="186">
        <v>1.1299999999999999</v>
      </c>
      <c r="P14" s="186">
        <v>0.19</v>
      </c>
      <c r="Q14" s="185">
        <v>0.63</v>
      </c>
    </row>
    <row r="15" spans="1:17" ht="22.5" customHeight="1" x14ac:dyDescent="0.25">
      <c r="A15" s="184">
        <v>12</v>
      </c>
      <c r="B15" s="193" t="s">
        <v>321</v>
      </c>
      <c r="C15" s="192">
        <v>1.409</v>
      </c>
      <c r="D15" s="191">
        <v>3</v>
      </c>
      <c r="E15" s="191">
        <v>3</v>
      </c>
      <c r="F15" s="191">
        <v>0</v>
      </c>
      <c r="G15" s="191">
        <v>4</v>
      </c>
      <c r="H15" s="190">
        <v>100</v>
      </c>
      <c r="I15" s="190">
        <v>0</v>
      </c>
      <c r="J15" s="190">
        <v>100</v>
      </c>
      <c r="K15" s="189">
        <v>0.75</v>
      </c>
      <c r="L15" s="188">
        <v>1</v>
      </c>
      <c r="M15" s="188">
        <v>0</v>
      </c>
      <c r="N15" s="187">
        <v>70.97</v>
      </c>
      <c r="O15" s="186">
        <v>2.13</v>
      </c>
      <c r="P15" s="186">
        <v>0</v>
      </c>
      <c r="Q15" s="185">
        <v>0.62</v>
      </c>
    </row>
    <row r="16" spans="1:17" ht="22.5" customHeight="1" x14ac:dyDescent="0.25">
      <c r="A16" s="184">
        <v>13</v>
      </c>
      <c r="B16" s="193" t="s">
        <v>374</v>
      </c>
      <c r="C16" s="192">
        <v>6.0739999999999998</v>
      </c>
      <c r="D16" s="191">
        <v>8</v>
      </c>
      <c r="E16" s="191">
        <v>6</v>
      </c>
      <c r="F16" s="191">
        <v>1</v>
      </c>
      <c r="G16" s="191">
        <v>29</v>
      </c>
      <c r="H16" s="190">
        <v>150</v>
      </c>
      <c r="I16" s="190">
        <v>120</v>
      </c>
      <c r="J16" s="190">
        <v>370</v>
      </c>
      <c r="K16" s="189">
        <v>0.27589999999999998</v>
      </c>
      <c r="L16" s="188">
        <v>0.875</v>
      </c>
      <c r="M16" s="188">
        <v>0.5</v>
      </c>
      <c r="N16" s="187">
        <v>44.45</v>
      </c>
      <c r="O16" s="186">
        <v>1.1499999999999999</v>
      </c>
      <c r="P16" s="186">
        <v>0.16</v>
      </c>
      <c r="Q16" s="185">
        <v>0.61</v>
      </c>
    </row>
    <row r="17" spans="1:17" ht="22.5" customHeight="1" x14ac:dyDescent="0.25">
      <c r="A17" s="184">
        <v>14</v>
      </c>
      <c r="B17" s="193" t="s">
        <v>363</v>
      </c>
      <c r="C17" s="192">
        <v>0.36599999999999999</v>
      </c>
      <c r="D17" s="191">
        <v>1</v>
      </c>
      <c r="E17" s="191">
        <v>1</v>
      </c>
      <c r="F17" s="191">
        <v>0</v>
      </c>
      <c r="G17" s="191">
        <v>2</v>
      </c>
      <c r="H17" s="190">
        <v>25</v>
      </c>
      <c r="I17" s="190">
        <v>0</v>
      </c>
      <c r="J17" s="190">
        <v>25</v>
      </c>
      <c r="K17" s="189">
        <v>0.5</v>
      </c>
      <c r="L17" s="188">
        <v>1</v>
      </c>
      <c r="M17" s="188">
        <v>0</v>
      </c>
      <c r="N17" s="187">
        <v>68.31</v>
      </c>
      <c r="O17" s="186">
        <v>2.73</v>
      </c>
      <c r="P17" s="186">
        <v>0</v>
      </c>
      <c r="Q17" s="185">
        <v>0.6</v>
      </c>
    </row>
    <row r="18" spans="1:17" ht="22.5" customHeight="1" x14ac:dyDescent="0.25">
      <c r="A18" s="184">
        <v>15</v>
      </c>
      <c r="B18" s="193" t="s">
        <v>272</v>
      </c>
      <c r="C18" s="192">
        <v>10.632</v>
      </c>
      <c r="D18" s="191">
        <v>12</v>
      </c>
      <c r="E18" s="191">
        <v>5</v>
      </c>
      <c r="F18" s="191">
        <v>5</v>
      </c>
      <c r="G18" s="191">
        <v>56</v>
      </c>
      <c r="H18" s="190">
        <v>105</v>
      </c>
      <c r="I18" s="190">
        <v>540</v>
      </c>
      <c r="J18" s="190">
        <v>690</v>
      </c>
      <c r="K18" s="189">
        <v>0.21429999999999999</v>
      </c>
      <c r="L18" s="188">
        <v>0.83330000000000004</v>
      </c>
      <c r="M18" s="188">
        <v>0.71430000000000005</v>
      </c>
      <c r="N18" s="187">
        <v>60.67</v>
      </c>
      <c r="O18" s="186">
        <v>0.94</v>
      </c>
      <c r="P18" s="186">
        <v>0.47</v>
      </c>
      <c r="Q18" s="185">
        <v>0.6</v>
      </c>
    </row>
    <row r="19" spans="1:17" ht="22.5" customHeight="1" x14ac:dyDescent="0.25">
      <c r="A19" s="184">
        <v>16</v>
      </c>
      <c r="B19" s="193" t="s">
        <v>389</v>
      </c>
      <c r="C19" s="192">
        <v>4.9829999999999997</v>
      </c>
      <c r="D19" s="191">
        <v>3</v>
      </c>
      <c r="E19" s="191">
        <v>1</v>
      </c>
      <c r="F19" s="191">
        <v>2</v>
      </c>
      <c r="G19" s="191">
        <v>11</v>
      </c>
      <c r="H19" s="190">
        <v>50</v>
      </c>
      <c r="I19" s="190">
        <v>110</v>
      </c>
      <c r="J19" s="190">
        <v>160</v>
      </c>
      <c r="K19" s="189">
        <v>0.2727</v>
      </c>
      <c r="L19" s="188">
        <v>1</v>
      </c>
      <c r="M19" s="188">
        <v>1</v>
      </c>
      <c r="N19" s="187">
        <v>32.11</v>
      </c>
      <c r="O19" s="186">
        <v>0.6</v>
      </c>
      <c r="P19" s="186">
        <v>0.4</v>
      </c>
      <c r="Q19" s="185">
        <v>0.59</v>
      </c>
    </row>
    <row r="20" spans="1:17" ht="22.5" customHeight="1" x14ac:dyDescent="0.25">
      <c r="A20" s="184">
        <v>17</v>
      </c>
      <c r="B20" s="193" t="s">
        <v>336</v>
      </c>
      <c r="C20" s="192">
        <v>2.8820000000000001</v>
      </c>
      <c r="D20" s="191">
        <v>5</v>
      </c>
      <c r="E20" s="191">
        <v>5</v>
      </c>
      <c r="F20" s="191">
        <v>0</v>
      </c>
      <c r="G20" s="191">
        <v>14</v>
      </c>
      <c r="H20" s="190">
        <v>220</v>
      </c>
      <c r="I20" s="190">
        <v>0</v>
      </c>
      <c r="J20" s="190">
        <v>220</v>
      </c>
      <c r="K20" s="189">
        <v>0.35709999999999997</v>
      </c>
      <c r="L20" s="188">
        <v>1</v>
      </c>
      <c r="M20" s="188">
        <v>0</v>
      </c>
      <c r="N20" s="187">
        <v>76.34</v>
      </c>
      <c r="O20" s="186">
        <v>1.73</v>
      </c>
      <c r="P20" s="186">
        <v>0</v>
      </c>
      <c r="Q20" s="185">
        <v>0.56000000000000005</v>
      </c>
    </row>
    <row r="21" spans="1:17" ht="22.5" customHeight="1" x14ac:dyDescent="0.25">
      <c r="A21" s="184">
        <v>18</v>
      </c>
      <c r="B21" s="193" t="s">
        <v>354</v>
      </c>
      <c r="C21" s="192">
        <v>5.3849999999999998</v>
      </c>
      <c r="D21" s="191">
        <v>4</v>
      </c>
      <c r="E21" s="191">
        <v>0</v>
      </c>
      <c r="F21" s="191">
        <v>3</v>
      </c>
      <c r="G21" s="191">
        <v>13</v>
      </c>
      <c r="H21" s="190">
        <v>0</v>
      </c>
      <c r="I21" s="190">
        <v>135</v>
      </c>
      <c r="J21" s="190">
        <v>335</v>
      </c>
      <c r="K21" s="189">
        <v>0.30769999999999997</v>
      </c>
      <c r="L21" s="188">
        <v>0.75</v>
      </c>
      <c r="M21" s="188">
        <v>0.75</v>
      </c>
      <c r="N21" s="187">
        <v>25.07</v>
      </c>
      <c r="O21" s="186">
        <v>0.56000000000000005</v>
      </c>
      <c r="P21" s="186">
        <v>0.56000000000000005</v>
      </c>
      <c r="Q21" s="185">
        <v>0.56000000000000005</v>
      </c>
    </row>
    <row r="22" spans="1:17" ht="22.5" customHeight="1" x14ac:dyDescent="0.25">
      <c r="A22" s="184">
        <v>19</v>
      </c>
      <c r="B22" s="193" t="s">
        <v>379</v>
      </c>
      <c r="C22" s="192">
        <v>5.5090000000000003</v>
      </c>
      <c r="D22" s="191">
        <v>6</v>
      </c>
      <c r="E22" s="191">
        <v>3</v>
      </c>
      <c r="F22" s="191">
        <v>1</v>
      </c>
      <c r="G22" s="191">
        <v>20</v>
      </c>
      <c r="H22" s="190">
        <v>180</v>
      </c>
      <c r="I22" s="190">
        <v>120</v>
      </c>
      <c r="J22" s="190">
        <v>410</v>
      </c>
      <c r="K22" s="189">
        <v>0.3</v>
      </c>
      <c r="L22" s="188">
        <v>0.66669999999999996</v>
      </c>
      <c r="M22" s="188">
        <v>0.33329999999999999</v>
      </c>
      <c r="N22" s="187">
        <v>54.46</v>
      </c>
      <c r="O22" s="186">
        <v>0.73</v>
      </c>
      <c r="P22" s="186">
        <v>0.18</v>
      </c>
      <c r="Q22" s="185">
        <v>0.54</v>
      </c>
    </row>
    <row r="23" spans="1:17" ht="22.5" customHeight="1" x14ac:dyDescent="0.25">
      <c r="A23" s="184">
        <v>20</v>
      </c>
      <c r="B23" s="193" t="s">
        <v>291</v>
      </c>
      <c r="C23" s="192">
        <v>1.57</v>
      </c>
      <c r="D23" s="191">
        <v>2</v>
      </c>
      <c r="E23" s="191">
        <v>2</v>
      </c>
      <c r="F23" s="191">
        <v>0</v>
      </c>
      <c r="G23" s="191">
        <v>6</v>
      </c>
      <c r="H23" s="190">
        <v>215</v>
      </c>
      <c r="I23" s="190">
        <v>0</v>
      </c>
      <c r="J23" s="190">
        <v>215</v>
      </c>
      <c r="K23" s="189">
        <v>0.33329999999999999</v>
      </c>
      <c r="L23" s="188">
        <v>1</v>
      </c>
      <c r="M23" s="188">
        <v>0</v>
      </c>
      <c r="N23" s="187">
        <v>136.94</v>
      </c>
      <c r="O23" s="186">
        <v>1.27</v>
      </c>
      <c r="P23" s="186">
        <v>0</v>
      </c>
      <c r="Q23" s="185">
        <v>0.54</v>
      </c>
    </row>
    <row r="24" spans="1:17" ht="22.5" customHeight="1" x14ac:dyDescent="0.25">
      <c r="A24" s="184">
        <v>21</v>
      </c>
      <c r="B24" s="193" t="s">
        <v>371</v>
      </c>
      <c r="C24" s="192">
        <v>1.0880000000000001</v>
      </c>
      <c r="D24" s="191">
        <v>2</v>
      </c>
      <c r="E24" s="191">
        <v>2</v>
      </c>
      <c r="F24" s="191">
        <v>0</v>
      </c>
      <c r="G24" s="191">
        <v>4</v>
      </c>
      <c r="H24" s="190">
        <v>20</v>
      </c>
      <c r="I24" s="190">
        <v>0</v>
      </c>
      <c r="J24" s="190">
        <v>20</v>
      </c>
      <c r="K24" s="189">
        <v>0.5</v>
      </c>
      <c r="L24" s="188">
        <v>1</v>
      </c>
      <c r="M24" s="188">
        <v>0</v>
      </c>
      <c r="N24" s="187">
        <v>18.38</v>
      </c>
      <c r="O24" s="186">
        <v>1.84</v>
      </c>
      <c r="P24" s="186">
        <v>0</v>
      </c>
      <c r="Q24" s="185">
        <v>0.53</v>
      </c>
    </row>
    <row r="25" spans="1:17" ht="22.5" customHeight="1" x14ac:dyDescent="0.25">
      <c r="A25" s="184">
        <v>22</v>
      </c>
      <c r="B25" s="193" t="s">
        <v>433</v>
      </c>
      <c r="C25" s="192">
        <v>2.8809999999999998</v>
      </c>
      <c r="D25" s="191">
        <v>6</v>
      </c>
      <c r="E25" s="191">
        <v>5</v>
      </c>
      <c r="F25" s="191">
        <v>0</v>
      </c>
      <c r="G25" s="191">
        <v>15</v>
      </c>
      <c r="H25" s="190">
        <v>185</v>
      </c>
      <c r="I25" s="190">
        <v>0</v>
      </c>
      <c r="J25" s="190">
        <v>210</v>
      </c>
      <c r="K25" s="189">
        <v>0.4</v>
      </c>
      <c r="L25" s="188">
        <v>0.83330000000000004</v>
      </c>
      <c r="M25" s="188">
        <v>0</v>
      </c>
      <c r="N25" s="187">
        <v>64.209999999999994</v>
      </c>
      <c r="O25" s="186">
        <v>1.74</v>
      </c>
      <c r="P25" s="186">
        <v>0</v>
      </c>
      <c r="Q25" s="185">
        <v>0.53</v>
      </c>
    </row>
    <row r="26" spans="1:17" ht="22.5" customHeight="1" x14ac:dyDescent="0.25">
      <c r="A26" s="184">
        <v>23</v>
      </c>
      <c r="B26" s="193" t="s">
        <v>411</v>
      </c>
      <c r="C26" s="192">
        <v>1.6040000000000001</v>
      </c>
      <c r="D26" s="191">
        <v>2</v>
      </c>
      <c r="E26" s="191">
        <v>2</v>
      </c>
      <c r="F26" s="191">
        <v>0</v>
      </c>
      <c r="G26" s="191">
        <v>4</v>
      </c>
      <c r="H26" s="190">
        <v>80</v>
      </c>
      <c r="I26" s="190">
        <v>0</v>
      </c>
      <c r="J26" s="190">
        <v>80</v>
      </c>
      <c r="K26" s="189">
        <v>0.5</v>
      </c>
      <c r="L26" s="188">
        <v>1</v>
      </c>
      <c r="M26" s="188">
        <v>0</v>
      </c>
      <c r="N26" s="187">
        <v>49.88</v>
      </c>
      <c r="O26" s="186">
        <v>1.25</v>
      </c>
      <c r="P26" s="186">
        <v>0</v>
      </c>
      <c r="Q26" s="185">
        <v>0.52</v>
      </c>
    </row>
    <row r="27" spans="1:17" ht="22.5" customHeight="1" x14ac:dyDescent="0.25">
      <c r="A27" s="184">
        <v>24</v>
      </c>
      <c r="B27" s="193" t="s">
        <v>430</v>
      </c>
      <c r="C27" s="192">
        <v>0.96199999999999997</v>
      </c>
      <c r="D27" s="191">
        <v>1</v>
      </c>
      <c r="E27" s="191">
        <v>1</v>
      </c>
      <c r="F27" s="191">
        <v>0</v>
      </c>
      <c r="G27" s="191">
        <v>1</v>
      </c>
      <c r="H27" s="190">
        <v>20</v>
      </c>
      <c r="I27" s="190">
        <v>0</v>
      </c>
      <c r="J27" s="190">
        <v>20</v>
      </c>
      <c r="K27" s="189">
        <v>1</v>
      </c>
      <c r="L27" s="188">
        <v>1</v>
      </c>
      <c r="M27" s="188">
        <v>0</v>
      </c>
      <c r="N27" s="187">
        <v>20.79</v>
      </c>
      <c r="O27" s="186">
        <v>1.04</v>
      </c>
      <c r="P27" s="186">
        <v>0</v>
      </c>
      <c r="Q27" s="185">
        <v>0.49</v>
      </c>
    </row>
    <row r="28" spans="1:17" ht="22.5" customHeight="1" x14ac:dyDescent="0.25">
      <c r="A28" s="184">
        <v>25</v>
      </c>
      <c r="B28" s="193" t="s">
        <v>357</v>
      </c>
      <c r="C28" s="192">
        <v>4.32</v>
      </c>
      <c r="D28" s="191">
        <v>7</v>
      </c>
      <c r="E28" s="191">
        <v>5</v>
      </c>
      <c r="F28" s="191">
        <v>0</v>
      </c>
      <c r="G28" s="191">
        <v>11</v>
      </c>
      <c r="H28" s="190">
        <v>230</v>
      </c>
      <c r="I28" s="190">
        <v>0</v>
      </c>
      <c r="J28" s="190">
        <v>980</v>
      </c>
      <c r="K28" s="189">
        <v>0.63639999999999997</v>
      </c>
      <c r="L28" s="188">
        <v>0.71430000000000005</v>
      </c>
      <c r="M28" s="188">
        <v>0</v>
      </c>
      <c r="N28" s="187">
        <v>53.24</v>
      </c>
      <c r="O28" s="186">
        <v>1.1599999999999999</v>
      </c>
      <c r="P28" s="186">
        <v>0</v>
      </c>
      <c r="Q28" s="185">
        <v>0.49</v>
      </c>
    </row>
    <row r="29" spans="1:17" ht="22.5" customHeight="1" x14ac:dyDescent="0.25">
      <c r="A29" s="184">
        <v>26</v>
      </c>
      <c r="B29" s="193" t="s">
        <v>391</v>
      </c>
      <c r="C29" s="192">
        <v>1.0569999999999999</v>
      </c>
      <c r="D29" s="191">
        <v>1</v>
      </c>
      <c r="E29" s="191">
        <v>1</v>
      </c>
      <c r="F29" s="191">
        <v>0</v>
      </c>
      <c r="G29" s="191">
        <v>1</v>
      </c>
      <c r="H29" s="190">
        <v>10</v>
      </c>
      <c r="I29" s="190">
        <v>0</v>
      </c>
      <c r="J29" s="190">
        <v>10</v>
      </c>
      <c r="K29" s="189">
        <v>1</v>
      </c>
      <c r="L29" s="188">
        <v>1</v>
      </c>
      <c r="M29" s="188">
        <v>0</v>
      </c>
      <c r="N29" s="187">
        <v>9.4600000000000009</v>
      </c>
      <c r="O29" s="186">
        <v>0.95</v>
      </c>
      <c r="P29" s="186">
        <v>0</v>
      </c>
      <c r="Q29" s="185">
        <v>0.47</v>
      </c>
    </row>
    <row r="30" spans="1:17" ht="22.5" customHeight="1" x14ac:dyDescent="0.25">
      <c r="A30" s="184">
        <v>27</v>
      </c>
      <c r="B30" s="193" t="s">
        <v>280</v>
      </c>
      <c r="C30" s="192">
        <v>5.2130000000000001</v>
      </c>
      <c r="D30" s="191">
        <v>6</v>
      </c>
      <c r="E30" s="191">
        <v>6</v>
      </c>
      <c r="F30" s="191">
        <v>0</v>
      </c>
      <c r="G30" s="191">
        <v>24</v>
      </c>
      <c r="H30" s="190">
        <v>565</v>
      </c>
      <c r="I30" s="190">
        <v>0</v>
      </c>
      <c r="J30" s="190">
        <v>565</v>
      </c>
      <c r="K30" s="189">
        <v>0.25</v>
      </c>
      <c r="L30" s="188">
        <v>1</v>
      </c>
      <c r="M30" s="188">
        <v>0</v>
      </c>
      <c r="N30" s="187">
        <v>108.38</v>
      </c>
      <c r="O30" s="186">
        <v>1.1499999999999999</v>
      </c>
      <c r="P30" s="186">
        <v>0</v>
      </c>
      <c r="Q30" s="185">
        <v>0.47</v>
      </c>
    </row>
    <row r="31" spans="1:17" ht="22.5" customHeight="1" x14ac:dyDescent="0.25">
      <c r="A31" s="184">
        <v>28</v>
      </c>
      <c r="B31" s="193" t="s">
        <v>281</v>
      </c>
      <c r="C31" s="192">
        <v>5.3220000000000001</v>
      </c>
      <c r="D31" s="191">
        <v>7</v>
      </c>
      <c r="E31" s="191">
        <v>6</v>
      </c>
      <c r="F31" s="191">
        <v>0</v>
      </c>
      <c r="G31" s="191">
        <v>26</v>
      </c>
      <c r="H31" s="190">
        <v>1060</v>
      </c>
      <c r="I31" s="190">
        <v>0</v>
      </c>
      <c r="J31" s="190">
        <v>1085</v>
      </c>
      <c r="K31" s="189">
        <v>0.26919999999999999</v>
      </c>
      <c r="L31" s="188">
        <v>0.85709999999999997</v>
      </c>
      <c r="M31" s="188">
        <v>0</v>
      </c>
      <c r="N31" s="187">
        <v>199.17</v>
      </c>
      <c r="O31" s="186">
        <v>1.1299999999999999</v>
      </c>
      <c r="P31" s="186">
        <v>0</v>
      </c>
      <c r="Q31" s="185">
        <v>0.47</v>
      </c>
    </row>
    <row r="32" spans="1:17" ht="22.5" customHeight="1" x14ac:dyDescent="0.25">
      <c r="A32" s="184">
        <v>29</v>
      </c>
      <c r="B32" s="193" t="s">
        <v>378</v>
      </c>
      <c r="C32" s="192">
        <v>3.226</v>
      </c>
      <c r="D32" s="191">
        <v>4</v>
      </c>
      <c r="E32" s="191">
        <v>4</v>
      </c>
      <c r="F32" s="191">
        <v>0</v>
      </c>
      <c r="G32" s="191">
        <v>13</v>
      </c>
      <c r="H32" s="190">
        <v>105</v>
      </c>
      <c r="I32" s="190">
        <v>0</v>
      </c>
      <c r="J32" s="190">
        <v>105</v>
      </c>
      <c r="K32" s="189">
        <v>0.30769999999999997</v>
      </c>
      <c r="L32" s="188">
        <v>1</v>
      </c>
      <c r="M32" s="188">
        <v>0</v>
      </c>
      <c r="N32" s="187">
        <v>32.549999999999997</v>
      </c>
      <c r="O32" s="186">
        <v>1.24</v>
      </c>
      <c r="P32" s="186">
        <v>0</v>
      </c>
      <c r="Q32" s="185">
        <v>0.47</v>
      </c>
    </row>
    <row r="33" spans="1:17" ht="22.5" customHeight="1" x14ac:dyDescent="0.25">
      <c r="A33" s="184">
        <v>30</v>
      </c>
      <c r="B33" s="193" t="s">
        <v>434</v>
      </c>
      <c r="C33" s="192">
        <v>4.4690000000000003</v>
      </c>
      <c r="D33" s="191">
        <v>4</v>
      </c>
      <c r="E33" s="191">
        <v>1</v>
      </c>
      <c r="F33" s="191">
        <v>1</v>
      </c>
      <c r="G33" s="191">
        <v>19</v>
      </c>
      <c r="H33" s="190">
        <v>50</v>
      </c>
      <c r="I33" s="190">
        <v>120</v>
      </c>
      <c r="J33" s="190">
        <v>470</v>
      </c>
      <c r="K33" s="189">
        <v>0.21049999999999999</v>
      </c>
      <c r="L33" s="188">
        <v>0.5</v>
      </c>
      <c r="M33" s="188">
        <v>0.33329999999999999</v>
      </c>
      <c r="N33" s="187">
        <v>38.04</v>
      </c>
      <c r="O33" s="186">
        <v>0.45</v>
      </c>
      <c r="P33" s="186">
        <v>0.22</v>
      </c>
      <c r="Q33" s="185">
        <v>0.45</v>
      </c>
    </row>
    <row r="34" spans="1:17" ht="22.5" customHeight="1" x14ac:dyDescent="0.25">
      <c r="A34" s="184">
        <v>31</v>
      </c>
      <c r="B34" s="193" t="s">
        <v>403</v>
      </c>
      <c r="C34" s="192">
        <v>3.5720000000000001</v>
      </c>
      <c r="D34" s="191">
        <v>4</v>
      </c>
      <c r="E34" s="191">
        <v>2</v>
      </c>
      <c r="F34" s="191">
        <v>0</v>
      </c>
      <c r="G34" s="191">
        <v>8</v>
      </c>
      <c r="H34" s="190">
        <v>275</v>
      </c>
      <c r="I34" s="190">
        <v>0</v>
      </c>
      <c r="J34" s="190">
        <v>725</v>
      </c>
      <c r="K34" s="189">
        <v>0.5</v>
      </c>
      <c r="L34" s="188">
        <v>0.5</v>
      </c>
      <c r="M34" s="188">
        <v>0</v>
      </c>
      <c r="N34" s="187">
        <v>76.989999999999995</v>
      </c>
      <c r="O34" s="186">
        <v>0.56000000000000005</v>
      </c>
      <c r="P34" s="186">
        <v>0</v>
      </c>
      <c r="Q34" s="185">
        <v>0.41</v>
      </c>
    </row>
    <row r="35" spans="1:17" ht="22.5" customHeight="1" x14ac:dyDescent="0.25">
      <c r="A35" s="184">
        <v>32</v>
      </c>
      <c r="B35" s="193" t="s">
        <v>398</v>
      </c>
      <c r="C35" s="192">
        <v>4.7759999999999998</v>
      </c>
      <c r="D35" s="191">
        <v>7</v>
      </c>
      <c r="E35" s="191">
        <v>5</v>
      </c>
      <c r="F35" s="191">
        <v>0</v>
      </c>
      <c r="G35" s="191">
        <v>29</v>
      </c>
      <c r="H35" s="190">
        <v>330</v>
      </c>
      <c r="I35" s="190">
        <v>0</v>
      </c>
      <c r="J35" s="190">
        <v>665</v>
      </c>
      <c r="K35" s="189">
        <v>0.2414</v>
      </c>
      <c r="L35" s="188">
        <v>0.71430000000000005</v>
      </c>
      <c r="M35" s="188">
        <v>0</v>
      </c>
      <c r="N35" s="187">
        <v>69.099999999999994</v>
      </c>
      <c r="O35" s="186">
        <v>1.05</v>
      </c>
      <c r="P35" s="186">
        <v>0</v>
      </c>
      <c r="Q35" s="185">
        <v>0.39</v>
      </c>
    </row>
    <row r="36" spans="1:17" ht="22.5" customHeight="1" x14ac:dyDescent="0.25">
      <c r="A36" s="184">
        <v>33</v>
      </c>
      <c r="B36" s="193" t="s">
        <v>435</v>
      </c>
      <c r="C36" s="192">
        <v>5.4619999999999997</v>
      </c>
      <c r="D36" s="191">
        <v>5</v>
      </c>
      <c r="E36" s="191">
        <v>4</v>
      </c>
      <c r="F36" s="191">
        <v>0</v>
      </c>
      <c r="G36" s="191">
        <v>29</v>
      </c>
      <c r="H36" s="190">
        <v>1105</v>
      </c>
      <c r="I36" s="190">
        <v>0</v>
      </c>
      <c r="J36" s="190">
        <v>1205</v>
      </c>
      <c r="K36" s="189">
        <v>0.1724</v>
      </c>
      <c r="L36" s="188">
        <v>0.8</v>
      </c>
      <c r="M36" s="188">
        <v>0</v>
      </c>
      <c r="N36" s="187">
        <v>202.31</v>
      </c>
      <c r="O36" s="186">
        <v>0.73</v>
      </c>
      <c r="P36" s="186">
        <v>0</v>
      </c>
      <c r="Q36" s="185">
        <v>0.39</v>
      </c>
    </row>
    <row r="37" spans="1:17" ht="22.5" customHeight="1" x14ac:dyDescent="0.25">
      <c r="A37" s="184">
        <v>34</v>
      </c>
      <c r="B37" s="193" t="s">
        <v>360</v>
      </c>
      <c r="C37" s="192">
        <v>4.8630000000000004</v>
      </c>
      <c r="D37" s="191">
        <v>5</v>
      </c>
      <c r="E37" s="191">
        <v>5</v>
      </c>
      <c r="F37" s="191">
        <v>0</v>
      </c>
      <c r="G37" s="191">
        <v>24</v>
      </c>
      <c r="H37" s="190">
        <v>165</v>
      </c>
      <c r="I37" s="190">
        <v>0</v>
      </c>
      <c r="J37" s="190">
        <v>165</v>
      </c>
      <c r="K37" s="189">
        <v>0.20830000000000001</v>
      </c>
      <c r="L37" s="188">
        <v>1</v>
      </c>
      <c r="M37" s="188">
        <v>0</v>
      </c>
      <c r="N37" s="187">
        <v>33.93</v>
      </c>
      <c r="O37" s="186">
        <v>1.03</v>
      </c>
      <c r="P37" s="186">
        <v>0</v>
      </c>
      <c r="Q37" s="185">
        <v>0.38</v>
      </c>
    </row>
    <row r="38" spans="1:17" ht="22.5" customHeight="1" x14ac:dyDescent="0.25">
      <c r="A38" s="184">
        <v>35</v>
      </c>
      <c r="B38" s="193" t="s">
        <v>359</v>
      </c>
      <c r="C38" s="192">
        <v>3.3359999999999999</v>
      </c>
      <c r="D38" s="191">
        <v>3</v>
      </c>
      <c r="E38" s="191">
        <v>3</v>
      </c>
      <c r="F38" s="191">
        <v>0</v>
      </c>
      <c r="G38" s="191">
        <v>13</v>
      </c>
      <c r="H38" s="190">
        <v>125</v>
      </c>
      <c r="I38" s="190">
        <v>0</v>
      </c>
      <c r="J38" s="190">
        <v>125</v>
      </c>
      <c r="K38" s="189">
        <v>0.23080000000000001</v>
      </c>
      <c r="L38" s="188">
        <v>1</v>
      </c>
      <c r="M38" s="188">
        <v>0</v>
      </c>
      <c r="N38" s="187">
        <v>37.47</v>
      </c>
      <c r="O38" s="186">
        <v>0.9</v>
      </c>
      <c r="P38" s="186">
        <v>0</v>
      </c>
      <c r="Q38" s="185">
        <v>0.38</v>
      </c>
    </row>
    <row r="39" spans="1:17" ht="22.5" customHeight="1" x14ac:dyDescent="0.25">
      <c r="A39" s="184">
        <v>36</v>
      </c>
      <c r="B39" s="193" t="s">
        <v>314</v>
      </c>
      <c r="C39" s="192">
        <v>2.97</v>
      </c>
      <c r="D39" s="191">
        <v>3</v>
      </c>
      <c r="E39" s="191">
        <v>2</v>
      </c>
      <c r="F39" s="191">
        <v>0</v>
      </c>
      <c r="G39" s="191">
        <v>7</v>
      </c>
      <c r="H39" s="190">
        <v>35</v>
      </c>
      <c r="I39" s="190">
        <v>0</v>
      </c>
      <c r="J39" s="190">
        <v>135</v>
      </c>
      <c r="K39" s="189">
        <v>0.42859999999999998</v>
      </c>
      <c r="L39" s="188">
        <v>0.66669999999999996</v>
      </c>
      <c r="M39" s="188">
        <v>0</v>
      </c>
      <c r="N39" s="187">
        <v>11.78</v>
      </c>
      <c r="O39" s="186">
        <v>0.67</v>
      </c>
      <c r="P39" s="186">
        <v>0</v>
      </c>
      <c r="Q39" s="185">
        <v>0.34</v>
      </c>
    </row>
    <row r="40" spans="1:17" ht="22.5" customHeight="1" x14ac:dyDescent="0.25">
      <c r="A40" s="184">
        <v>37</v>
      </c>
      <c r="B40" s="193" t="s">
        <v>332</v>
      </c>
      <c r="C40" s="192">
        <v>5.633</v>
      </c>
      <c r="D40" s="191">
        <v>6</v>
      </c>
      <c r="E40" s="191">
        <v>4</v>
      </c>
      <c r="F40" s="191">
        <v>0</v>
      </c>
      <c r="G40" s="191">
        <v>17</v>
      </c>
      <c r="H40" s="190">
        <v>90</v>
      </c>
      <c r="I40" s="190">
        <v>0</v>
      </c>
      <c r="J40" s="190">
        <v>130</v>
      </c>
      <c r="K40" s="189">
        <v>0.35289999999999999</v>
      </c>
      <c r="L40" s="188">
        <v>0.66669999999999996</v>
      </c>
      <c r="M40" s="188">
        <v>0</v>
      </c>
      <c r="N40" s="187">
        <v>15.98</v>
      </c>
      <c r="O40" s="186">
        <v>0.71</v>
      </c>
      <c r="P40" s="186">
        <v>0</v>
      </c>
      <c r="Q40" s="185">
        <v>0.34</v>
      </c>
    </row>
    <row r="41" spans="1:17" ht="22.5" customHeight="1" x14ac:dyDescent="0.25">
      <c r="A41" s="184">
        <v>38</v>
      </c>
      <c r="B41" s="193" t="s">
        <v>390</v>
      </c>
      <c r="C41" s="192">
        <v>3.5129999999999999</v>
      </c>
      <c r="D41" s="191">
        <v>1</v>
      </c>
      <c r="E41" s="191">
        <v>1</v>
      </c>
      <c r="F41" s="191">
        <v>0</v>
      </c>
      <c r="G41" s="191">
        <v>4</v>
      </c>
      <c r="H41" s="190">
        <v>100</v>
      </c>
      <c r="I41" s="190">
        <v>0</v>
      </c>
      <c r="J41" s="190">
        <v>100</v>
      </c>
      <c r="K41" s="189">
        <v>0.25</v>
      </c>
      <c r="L41" s="188">
        <v>1</v>
      </c>
      <c r="M41" s="188">
        <v>0</v>
      </c>
      <c r="N41" s="187">
        <v>28.47</v>
      </c>
      <c r="O41" s="186">
        <v>0.28000000000000003</v>
      </c>
      <c r="P41" s="186">
        <v>0</v>
      </c>
      <c r="Q41" s="185">
        <v>0.33</v>
      </c>
    </row>
    <row r="42" spans="1:17" ht="22.5" customHeight="1" x14ac:dyDescent="0.25">
      <c r="A42" s="184">
        <v>39</v>
      </c>
      <c r="B42" s="193" t="s">
        <v>350</v>
      </c>
      <c r="C42" s="192">
        <v>5.4539999999999997</v>
      </c>
      <c r="D42" s="191">
        <v>5</v>
      </c>
      <c r="E42" s="191">
        <v>5</v>
      </c>
      <c r="F42" s="191">
        <v>0</v>
      </c>
      <c r="G42" s="191">
        <v>40</v>
      </c>
      <c r="H42" s="190">
        <v>105</v>
      </c>
      <c r="I42" s="190">
        <v>0</v>
      </c>
      <c r="J42" s="190">
        <v>105</v>
      </c>
      <c r="K42" s="189">
        <v>0.125</v>
      </c>
      <c r="L42" s="188">
        <v>1</v>
      </c>
      <c r="M42" s="188">
        <v>0</v>
      </c>
      <c r="N42" s="187">
        <v>19.25</v>
      </c>
      <c r="O42" s="186">
        <v>0.92</v>
      </c>
      <c r="P42" s="186">
        <v>0</v>
      </c>
      <c r="Q42" s="185">
        <v>0.32</v>
      </c>
    </row>
    <row r="43" spans="1:17" ht="22.5" customHeight="1" x14ac:dyDescent="0.25">
      <c r="A43" s="184">
        <v>40</v>
      </c>
      <c r="B43" s="193" t="s">
        <v>397</v>
      </c>
      <c r="C43" s="192">
        <v>4.7240000000000002</v>
      </c>
      <c r="D43" s="191">
        <v>2</v>
      </c>
      <c r="E43" s="191">
        <v>2</v>
      </c>
      <c r="F43" s="191">
        <v>0</v>
      </c>
      <c r="G43" s="191">
        <v>7</v>
      </c>
      <c r="H43" s="190">
        <v>40</v>
      </c>
      <c r="I43" s="190">
        <v>0</v>
      </c>
      <c r="J43" s="190">
        <v>40</v>
      </c>
      <c r="K43" s="189">
        <v>0.28570000000000001</v>
      </c>
      <c r="L43" s="188">
        <v>1</v>
      </c>
      <c r="M43" s="188">
        <v>0</v>
      </c>
      <c r="N43" s="187">
        <v>8.4700000000000006</v>
      </c>
      <c r="O43" s="186">
        <v>0.42</v>
      </c>
      <c r="P43" s="186">
        <v>0</v>
      </c>
      <c r="Q43" s="185">
        <v>0.32</v>
      </c>
    </row>
    <row r="44" spans="1:17" ht="22.5" customHeight="1" x14ac:dyDescent="0.25">
      <c r="A44" s="184">
        <v>41</v>
      </c>
      <c r="B44" s="193" t="s">
        <v>274</v>
      </c>
      <c r="C44" s="192">
        <v>1.429</v>
      </c>
      <c r="D44" s="191">
        <v>1</v>
      </c>
      <c r="E44" s="191">
        <v>1</v>
      </c>
      <c r="F44" s="191">
        <v>0</v>
      </c>
      <c r="G44" s="191">
        <v>7</v>
      </c>
      <c r="H44" s="190">
        <v>25</v>
      </c>
      <c r="I44" s="190">
        <v>0</v>
      </c>
      <c r="J44" s="190">
        <v>25</v>
      </c>
      <c r="K44" s="189">
        <v>0.1429</v>
      </c>
      <c r="L44" s="188">
        <v>1</v>
      </c>
      <c r="M44" s="188">
        <v>0</v>
      </c>
      <c r="N44" s="187">
        <v>17.489999999999998</v>
      </c>
      <c r="O44" s="186">
        <v>0.7</v>
      </c>
      <c r="P44" s="186">
        <v>0</v>
      </c>
      <c r="Q44" s="185">
        <v>0.31</v>
      </c>
    </row>
    <row r="45" spans="1:17" ht="22.5" customHeight="1" x14ac:dyDescent="0.25">
      <c r="A45" s="184">
        <v>42</v>
      </c>
      <c r="B45" s="193" t="s">
        <v>420</v>
      </c>
      <c r="C45" s="192">
        <v>7.3140000000000001</v>
      </c>
      <c r="D45" s="191">
        <v>4</v>
      </c>
      <c r="E45" s="191">
        <v>4</v>
      </c>
      <c r="F45" s="191">
        <v>0</v>
      </c>
      <c r="G45" s="191">
        <v>34</v>
      </c>
      <c r="H45" s="190">
        <v>180</v>
      </c>
      <c r="I45" s="190">
        <v>0</v>
      </c>
      <c r="J45" s="190">
        <v>180</v>
      </c>
      <c r="K45" s="189">
        <v>0.1176</v>
      </c>
      <c r="L45" s="188">
        <v>1</v>
      </c>
      <c r="M45" s="188">
        <v>0</v>
      </c>
      <c r="N45" s="187">
        <v>24.61</v>
      </c>
      <c r="O45" s="186">
        <v>0.55000000000000004</v>
      </c>
      <c r="P45" s="186">
        <v>0</v>
      </c>
      <c r="Q45" s="185">
        <v>0.28999999999999998</v>
      </c>
    </row>
    <row r="46" spans="1:17" ht="22.5" customHeight="1" x14ac:dyDescent="0.25">
      <c r="A46" s="184">
        <v>43</v>
      </c>
      <c r="B46" s="193" t="s">
        <v>326</v>
      </c>
      <c r="C46" s="192">
        <v>4.4470000000000001</v>
      </c>
      <c r="D46" s="191">
        <v>2</v>
      </c>
      <c r="E46" s="191">
        <v>2</v>
      </c>
      <c r="F46" s="191">
        <v>0</v>
      </c>
      <c r="G46" s="191">
        <v>13</v>
      </c>
      <c r="H46" s="190">
        <v>75</v>
      </c>
      <c r="I46" s="190">
        <v>0</v>
      </c>
      <c r="J46" s="190">
        <v>75</v>
      </c>
      <c r="K46" s="189">
        <v>0.15379999999999999</v>
      </c>
      <c r="L46" s="188">
        <v>1</v>
      </c>
      <c r="M46" s="188">
        <v>0</v>
      </c>
      <c r="N46" s="187">
        <v>16.87</v>
      </c>
      <c r="O46" s="186">
        <v>0.45</v>
      </c>
      <c r="P46" s="186">
        <v>0</v>
      </c>
      <c r="Q46" s="185">
        <v>0.28000000000000003</v>
      </c>
    </row>
    <row r="47" spans="1:17" ht="22.5" customHeight="1" x14ac:dyDescent="0.25">
      <c r="A47" s="184">
        <v>44</v>
      </c>
      <c r="B47" s="193" t="s">
        <v>269</v>
      </c>
      <c r="C47" s="192">
        <v>5.282</v>
      </c>
      <c r="D47" s="191">
        <v>3</v>
      </c>
      <c r="E47" s="191">
        <v>3</v>
      </c>
      <c r="F47" s="191">
        <v>0</v>
      </c>
      <c r="G47" s="191">
        <v>18</v>
      </c>
      <c r="H47" s="190">
        <v>40</v>
      </c>
      <c r="I47" s="190">
        <v>0</v>
      </c>
      <c r="J47" s="190">
        <v>40</v>
      </c>
      <c r="K47" s="189">
        <v>0.16669999999999999</v>
      </c>
      <c r="L47" s="188">
        <v>1</v>
      </c>
      <c r="M47" s="188">
        <v>0</v>
      </c>
      <c r="N47" s="187">
        <v>7.57</v>
      </c>
      <c r="O47" s="186">
        <v>0.56999999999999995</v>
      </c>
      <c r="P47" s="186">
        <v>0</v>
      </c>
      <c r="Q47" s="185">
        <v>0.28000000000000003</v>
      </c>
    </row>
    <row r="48" spans="1:17" ht="22.5" customHeight="1" x14ac:dyDescent="0.25">
      <c r="A48" s="184">
        <v>45</v>
      </c>
      <c r="B48" s="193" t="s">
        <v>375</v>
      </c>
      <c r="C48" s="192">
        <v>10.523999999999999</v>
      </c>
      <c r="D48" s="191">
        <v>3</v>
      </c>
      <c r="E48" s="191">
        <v>3</v>
      </c>
      <c r="F48" s="191">
        <v>0</v>
      </c>
      <c r="G48" s="191">
        <v>18</v>
      </c>
      <c r="H48" s="190">
        <v>80</v>
      </c>
      <c r="I48" s="190">
        <v>0</v>
      </c>
      <c r="J48" s="190">
        <v>80</v>
      </c>
      <c r="K48" s="189">
        <v>0.16669999999999999</v>
      </c>
      <c r="L48" s="188">
        <v>1</v>
      </c>
      <c r="M48" s="188">
        <v>0</v>
      </c>
      <c r="N48" s="187">
        <v>7.6</v>
      </c>
      <c r="O48" s="186">
        <v>0.28999999999999998</v>
      </c>
      <c r="P48" s="186">
        <v>0</v>
      </c>
      <c r="Q48" s="185">
        <v>0.26</v>
      </c>
    </row>
    <row r="49" spans="1:17" ht="22.5" customHeight="1" x14ac:dyDescent="0.25">
      <c r="A49" s="184">
        <v>46</v>
      </c>
      <c r="B49" s="193" t="s">
        <v>385</v>
      </c>
      <c r="C49" s="192">
        <v>6.95</v>
      </c>
      <c r="D49" s="191">
        <v>4</v>
      </c>
      <c r="E49" s="191">
        <v>3</v>
      </c>
      <c r="F49" s="191">
        <v>0</v>
      </c>
      <c r="G49" s="191">
        <v>23</v>
      </c>
      <c r="H49" s="190">
        <v>70</v>
      </c>
      <c r="I49" s="190">
        <v>0</v>
      </c>
      <c r="J49" s="190">
        <v>90</v>
      </c>
      <c r="K49" s="189">
        <v>0.1739</v>
      </c>
      <c r="L49" s="188">
        <v>0.75</v>
      </c>
      <c r="M49" s="188">
        <v>0</v>
      </c>
      <c r="N49" s="187">
        <v>10.07</v>
      </c>
      <c r="O49" s="186">
        <v>0.43</v>
      </c>
      <c r="P49" s="186">
        <v>0</v>
      </c>
      <c r="Q49" s="185">
        <v>0.24</v>
      </c>
    </row>
    <row r="50" spans="1:17" ht="22.5" customHeight="1" x14ac:dyDescent="0.25">
      <c r="A50" s="184">
        <v>47</v>
      </c>
      <c r="B50" s="193" t="s">
        <v>409</v>
      </c>
      <c r="C50" s="192">
        <v>1.849</v>
      </c>
      <c r="D50" s="191">
        <v>1</v>
      </c>
      <c r="E50" s="191">
        <v>0</v>
      </c>
      <c r="F50" s="191">
        <v>0</v>
      </c>
      <c r="G50" s="191">
        <v>1</v>
      </c>
      <c r="H50" s="190">
        <v>0</v>
      </c>
      <c r="I50" s="190">
        <v>0</v>
      </c>
      <c r="J50" s="190">
        <v>30</v>
      </c>
      <c r="K50" s="189">
        <v>1</v>
      </c>
      <c r="L50" s="188">
        <v>0</v>
      </c>
      <c r="M50" s="188">
        <v>0</v>
      </c>
      <c r="N50" s="187">
        <v>0</v>
      </c>
      <c r="O50" s="186">
        <v>0</v>
      </c>
      <c r="P50" s="186">
        <v>0</v>
      </c>
      <c r="Q50" s="185">
        <v>0.2</v>
      </c>
    </row>
    <row r="51" spans="1:17" ht="22.5" customHeight="1" x14ac:dyDescent="0.25">
      <c r="A51" s="184">
        <v>48</v>
      </c>
      <c r="B51" s="193" t="s">
        <v>401</v>
      </c>
      <c r="C51" s="192">
        <v>4.38</v>
      </c>
      <c r="D51" s="191">
        <v>2</v>
      </c>
      <c r="E51" s="191">
        <v>1</v>
      </c>
      <c r="F51" s="191">
        <v>0</v>
      </c>
      <c r="G51" s="191">
        <v>11</v>
      </c>
      <c r="H51" s="190">
        <v>10</v>
      </c>
      <c r="I51" s="190">
        <v>0</v>
      </c>
      <c r="J51" s="190">
        <v>35</v>
      </c>
      <c r="K51" s="189">
        <v>0.18179999999999999</v>
      </c>
      <c r="L51" s="188">
        <v>0.5</v>
      </c>
      <c r="M51" s="188">
        <v>0</v>
      </c>
      <c r="N51" s="187">
        <v>2.2799999999999998</v>
      </c>
      <c r="O51" s="186">
        <v>0.23</v>
      </c>
      <c r="P51" s="186">
        <v>0</v>
      </c>
      <c r="Q51" s="185">
        <v>0.19</v>
      </c>
    </row>
    <row r="52" spans="1:17" ht="22.5" customHeight="1" x14ac:dyDescent="0.25">
      <c r="A52" s="184">
        <v>49</v>
      </c>
      <c r="B52" s="193" t="s">
        <v>275</v>
      </c>
      <c r="C52" s="192">
        <v>5.335</v>
      </c>
      <c r="D52" s="191">
        <v>2</v>
      </c>
      <c r="E52" s="191">
        <v>1</v>
      </c>
      <c r="F52" s="191">
        <v>0</v>
      </c>
      <c r="G52" s="191">
        <v>10</v>
      </c>
      <c r="H52" s="190">
        <v>20</v>
      </c>
      <c r="I52" s="190">
        <v>0</v>
      </c>
      <c r="J52" s="190">
        <v>270</v>
      </c>
      <c r="K52" s="189">
        <v>0.2</v>
      </c>
      <c r="L52" s="188">
        <v>0.5</v>
      </c>
      <c r="M52" s="188">
        <v>0</v>
      </c>
      <c r="N52" s="187">
        <v>3.75</v>
      </c>
      <c r="O52" s="186">
        <v>0.19</v>
      </c>
      <c r="P52" s="186">
        <v>0</v>
      </c>
      <c r="Q52" s="185">
        <v>0.19</v>
      </c>
    </row>
    <row r="53" spans="1:17" ht="22.5" customHeight="1" x14ac:dyDescent="0.25">
      <c r="A53" s="184">
        <v>50</v>
      </c>
      <c r="B53" s="193" t="s">
        <v>352</v>
      </c>
      <c r="C53" s="192">
        <v>2.0539999999999998</v>
      </c>
      <c r="D53" s="191">
        <v>2</v>
      </c>
      <c r="E53" s="191">
        <v>0</v>
      </c>
      <c r="F53" s="191">
        <v>0</v>
      </c>
      <c r="G53" s="191">
        <v>7</v>
      </c>
      <c r="H53" s="190">
        <v>0</v>
      </c>
      <c r="I53" s="190">
        <v>0</v>
      </c>
      <c r="J53" s="190">
        <v>1100</v>
      </c>
      <c r="K53" s="189">
        <v>0.28570000000000001</v>
      </c>
      <c r="L53" s="188">
        <v>0</v>
      </c>
      <c r="M53" s="188">
        <v>0</v>
      </c>
      <c r="N53" s="187">
        <v>0</v>
      </c>
      <c r="O53" s="186">
        <v>0</v>
      </c>
      <c r="P53" s="186">
        <v>0</v>
      </c>
      <c r="Q53" s="185">
        <v>0.12</v>
      </c>
    </row>
    <row r="54" spans="1:17" ht="22.5" customHeight="1" x14ac:dyDescent="0.25">
      <c r="A54" s="184">
        <v>51</v>
      </c>
      <c r="B54" s="193" t="s">
        <v>316</v>
      </c>
      <c r="C54" s="192">
        <v>2.2250000000000001</v>
      </c>
      <c r="D54" s="191">
        <v>1</v>
      </c>
      <c r="E54" s="191">
        <v>0</v>
      </c>
      <c r="F54" s="191">
        <v>0</v>
      </c>
      <c r="G54" s="191">
        <v>4</v>
      </c>
      <c r="H54" s="190">
        <v>0</v>
      </c>
      <c r="I54" s="190">
        <v>0</v>
      </c>
      <c r="J54" s="190">
        <v>25</v>
      </c>
      <c r="K54" s="189">
        <v>0.25</v>
      </c>
      <c r="L54" s="188">
        <v>0</v>
      </c>
      <c r="M54" s="188">
        <v>0</v>
      </c>
      <c r="N54" s="187">
        <v>0</v>
      </c>
      <c r="O54" s="186">
        <v>0</v>
      </c>
      <c r="P54" s="186">
        <v>0</v>
      </c>
      <c r="Q54" s="185">
        <v>0.09</v>
      </c>
    </row>
    <row r="55" spans="1:17" ht="22.5" customHeight="1" x14ac:dyDescent="0.25">
      <c r="A55" s="184">
        <v>52</v>
      </c>
      <c r="B55" s="193" t="s">
        <v>392</v>
      </c>
      <c r="C55" s="192">
        <v>2.101</v>
      </c>
      <c r="D55" s="191">
        <v>1</v>
      </c>
      <c r="E55" s="191">
        <v>0</v>
      </c>
      <c r="F55" s="191">
        <v>0</v>
      </c>
      <c r="G55" s="191">
        <v>15</v>
      </c>
      <c r="H55" s="190">
        <v>0</v>
      </c>
      <c r="I55" s="190">
        <v>0</v>
      </c>
      <c r="J55" s="190">
        <v>50</v>
      </c>
      <c r="K55" s="189">
        <v>6.6699999999999995E-2</v>
      </c>
      <c r="L55" s="188">
        <v>0</v>
      </c>
      <c r="M55" s="188">
        <v>0</v>
      </c>
      <c r="N55" s="187">
        <v>0</v>
      </c>
      <c r="O55" s="186">
        <v>0</v>
      </c>
      <c r="P55" s="186">
        <v>0</v>
      </c>
      <c r="Q55" s="185">
        <v>0.04</v>
      </c>
    </row>
    <row r="56" spans="1:17" ht="22.5" customHeight="1" x14ac:dyDescent="0.25">
      <c r="A56" s="184">
        <v>53</v>
      </c>
      <c r="B56" s="193" t="s">
        <v>405</v>
      </c>
      <c r="C56" s="192">
        <v>4.4870000000000001</v>
      </c>
      <c r="D56" s="191">
        <v>1</v>
      </c>
      <c r="E56" s="191">
        <v>0</v>
      </c>
      <c r="F56" s="191">
        <v>0</v>
      </c>
      <c r="G56" s="191">
        <v>20</v>
      </c>
      <c r="H56" s="190">
        <v>0</v>
      </c>
      <c r="I56" s="190">
        <v>0</v>
      </c>
      <c r="J56" s="190">
        <v>100</v>
      </c>
      <c r="K56" s="189">
        <v>0.05</v>
      </c>
      <c r="L56" s="188">
        <v>0</v>
      </c>
      <c r="M56" s="188">
        <v>0</v>
      </c>
      <c r="N56" s="187">
        <v>0</v>
      </c>
      <c r="O56" s="186">
        <v>0</v>
      </c>
      <c r="P56" s="186">
        <v>0</v>
      </c>
      <c r="Q56" s="185">
        <v>0.04</v>
      </c>
    </row>
    <row r="57" spans="1:17" ht="22.5" customHeight="1" x14ac:dyDescent="0.25">
      <c r="A57" s="184">
        <v>54</v>
      </c>
      <c r="B57" s="193" t="s">
        <v>355</v>
      </c>
      <c r="C57" s="192">
        <v>0.19800000000000001</v>
      </c>
      <c r="D57" s="191">
        <v>0</v>
      </c>
      <c r="E57" s="191">
        <v>0</v>
      </c>
      <c r="F57" s="191">
        <v>0</v>
      </c>
      <c r="G57" s="191">
        <v>0</v>
      </c>
      <c r="H57" s="190">
        <v>0</v>
      </c>
      <c r="I57" s="190">
        <v>0</v>
      </c>
      <c r="J57" s="190">
        <v>0</v>
      </c>
      <c r="K57" s="189">
        <v>0</v>
      </c>
      <c r="L57" s="188">
        <v>0</v>
      </c>
      <c r="M57" s="188">
        <v>0</v>
      </c>
      <c r="N57" s="187">
        <v>0</v>
      </c>
      <c r="O57" s="186">
        <v>0</v>
      </c>
      <c r="P57" s="186">
        <v>0</v>
      </c>
      <c r="Q57" s="185">
        <v>0.02</v>
      </c>
    </row>
    <row r="58" spans="1:17" ht="22.5" customHeight="1" x14ac:dyDescent="0.25">
      <c r="A58" s="184">
        <v>55</v>
      </c>
      <c r="B58" s="193" t="s">
        <v>330</v>
      </c>
      <c r="C58" s="192">
        <v>0.44700000000000001</v>
      </c>
      <c r="D58" s="191">
        <v>0</v>
      </c>
      <c r="E58" s="191">
        <v>0</v>
      </c>
      <c r="F58" s="191">
        <v>0</v>
      </c>
      <c r="G58" s="191">
        <v>3</v>
      </c>
      <c r="H58" s="190">
        <v>0</v>
      </c>
      <c r="I58" s="190">
        <v>0</v>
      </c>
      <c r="J58" s="190">
        <v>0</v>
      </c>
      <c r="K58" s="189">
        <v>0</v>
      </c>
      <c r="L58" s="188">
        <v>0</v>
      </c>
      <c r="M58" s="188">
        <v>0</v>
      </c>
      <c r="N58" s="187">
        <v>0</v>
      </c>
      <c r="O58" s="186">
        <v>0</v>
      </c>
      <c r="P58" s="186">
        <v>0</v>
      </c>
      <c r="Q58" s="185">
        <v>0.02</v>
      </c>
    </row>
    <row r="59" spans="1:17" ht="22.5" customHeight="1" x14ac:dyDescent="0.25">
      <c r="A59" s="184">
        <v>56</v>
      </c>
      <c r="B59" s="193" t="s">
        <v>370</v>
      </c>
      <c r="C59" s="192">
        <v>0.995</v>
      </c>
      <c r="D59" s="191">
        <v>0</v>
      </c>
      <c r="E59" s="191">
        <v>0</v>
      </c>
      <c r="F59" s="191">
        <v>0</v>
      </c>
      <c r="G59" s="191">
        <v>2</v>
      </c>
      <c r="H59" s="190">
        <v>0</v>
      </c>
      <c r="I59" s="190">
        <v>0</v>
      </c>
      <c r="J59" s="190">
        <v>0</v>
      </c>
      <c r="K59" s="189">
        <v>0</v>
      </c>
      <c r="L59" s="188">
        <v>0</v>
      </c>
      <c r="M59" s="188">
        <v>0</v>
      </c>
      <c r="N59" s="187">
        <v>0</v>
      </c>
      <c r="O59" s="186">
        <v>0</v>
      </c>
      <c r="P59" s="186">
        <v>0</v>
      </c>
      <c r="Q59" s="185">
        <v>0.02</v>
      </c>
    </row>
    <row r="60" spans="1:17" ht="22.5" customHeight="1" x14ac:dyDescent="0.25">
      <c r="A60" s="184">
        <v>57</v>
      </c>
      <c r="B60" s="193" t="s">
        <v>353</v>
      </c>
      <c r="C60" s="192">
        <v>0.75</v>
      </c>
      <c r="D60" s="191">
        <v>0</v>
      </c>
      <c r="E60" s="191">
        <v>0</v>
      </c>
      <c r="F60" s="191">
        <v>0</v>
      </c>
      <c r="G60" s="191">
        <v>1</v>
      </c>
      <c r="H60" s="190">
        <v>0</v>
      </c>
      <c r="I60" s="190">
        <v>0</v>
      </c>
      <c r="J60" s="190">
        <v>0</v>
      </c>
      <c r="K60" s="189">
        <v>0</v>
      </c>
      <c r="L60" s="188">
        <v>0</v>
      </c>
      <c r="M60" s="188">
        <v>0</v>
      </c>
      <c r="N60" s="187">
        <v>0</v>
      </c>
      <c r="O60" s="186">
        <v>0</v>
      </c>
      <c r="P60" s="186">
        <v>0</v>
      </c>
      <c r="Q60" s="185">
        <v>0.02</v>
      </c>
    </row>
    <row r="61" spans="1:17" ht="22.5" customHeight="1" x14ac:dyDescent="0.25">
      <c r="A61" s="184">
        <v>58</v>
      </c>
      <c r="B61" s="193" t="s">
        <v>271</v>
      </c>
      <c r="C61" s="192">
        <v>0.84299999999999997</v>
      </c>
      <c r="D61" s="191">
        <v>0</v>
      </c>
      <c r="E61" s="191">
        <v>0</v>
      </c>
      <c r="F61" s="191">
        <v>0</v>
      </c>
      <c r="G61" s="191">
        <v>3</v>
      </c>
      <c r="H61" s="190">
        <v>0</v>
      </c>
      <c r="I61" s="190">
        <v>0</v>
      </c>
      <c r="J61" s="190">
        <v>0</v>
      </c>
      <c r="K61" s="189">
        <v>0</v>
      </c>
      <c r="L61" s="188">
        <v>0</v>
      </c>
      <c r="M61" s="188">
        <v>0</v>
      </c>
      <c r="N61" s="187">
        <v>0</v>
      </c>
      <c r="O61" s="186">
        <v>0</v>
      </c>
      <c r="P61" s="186">
        <v>0</v>
      </c>
      <c r="Q61" s="185">
        <v>0.02</v>
      </c>
    </row>
    <row r="62" spans="1:17" ht="22.5" customHeight="1" x14ac:dyDescent="0.25">
      <c r="A62" s="184">
        <v>59</v>
      </c>
      <c r="B62" s="193" t="s">
        <v>290</v>
      </c>
      <c r="C62" s="192">
        <v>0.36399999999999999</v>
      </c>
      <c r="D62" s="191">
        <v>0</v>
      </c>
      <c r="E62" s="191">
        <v>0</v>
      </c>
      <c r="F62" s="191">
        <v>0</v>
      </c>
      <c r="G62" s="191">
        <v>0</v>
      </c>
      <c r="H62" s="190">
        <v>0</v>
      </c>
      <c r="I62" s="190">
        <v>0</v>
      </c>
      <c r="J62" s="190">
        <v>0</v>
      </c>
      <c r="K62" s="189">
        <v>0</v>
      </c>
      <c r="L62" s="188">
        <v>0</v>
      </c>
      <c r="M62" s="188">
        <v>0</v>
      </c>
      <c r="N62" s="187">
        <v>0</v>
      </c>
      <c r="O62" s="186">
        <v>0</v>
      </c>
      <c r="P62" s="186">
        <v>0</v>
      </c>
      <c r="Q62" s="185">
        <v>0.02</v>
      </c>
    </row>
    <row r="63" spans="1:17" ht="22.5" customHeight="1" x14ac:dyDescent="0.25">
      <c r="A63" s="184">
        <v>60</v>
      </c>
      <c r="B63" s="193" t="s">
        <v>322</v>
      </c>
      <c r="C63" s="192">
        <v>0.41799999999999998</v>
      </c>
      <c r="D63" s="191">
        <v>0</v>
      </c>
      <c r="E63" s="191">
        <v>0</v>
      </c>
      <c r="F63" s="191">
        <v>0</v>
      </c>
      <c r="G63" s="191">
        <v>0</v>
      </c>
      <c r="H63" s="190">
        <v>0</v>
      </c>
      <c r="I63" s="190">
        <v>0</v>
      </c>
      <c r="J63" s="190">
        <v>0</v>
      </c>
      <c r="K63" s="189">
        <v>0</v>
      </c>
      <c r="L63" s="188">
        <v>0</v>
      </c>
      <c r="M63" s="188">
        <v>0</v>
      </c>
      <c r="N63" s="187">
        <v>0</v>
      </c>
      <c r="O63" s="186">
        <v>0</v>
      </c>
      <c r="P63" s="186">
        <v>0</v>
      </c>
      <c r="Q63" s="185">
        <v>0.02</v>
      </c>
    </row>
    <row r="64" spans="1:17" ht="22.5" customHeight="1" x14ac:dyDescent="0.25">
      <c r="A64" s="184" t="s">
        <v>171</v>
      </c>
      <c r="B64" s="183" t="s">
        <v>3</v>
      </c>
      <c r="C64" s="182">
        <v>220.804</v>
      </c>
      <c r="D64" s="181">
        <v>222</v>
      </c>
      <c r="E64" s="181">
        <v>160</v>
      </c>
      <c r="F64" s="181">
        <v>26</v>
      </c>
      <c r="G64" s="181">
        <v>828</v>
      </c>
      <c r="H64" s="180">
        <v>11476</v>
      </c>
      <c r="I64" s="180">
        <v>2400</v>
      </c>
      <c r="J64" s="180">
        <v>20706</v>
      </c>
      <c r="K64" s="179">
        <v>0.2681</v>
      </c>
      <c r="L64" s="178">
        <v>0.83779999999999999</v>
      </c>
      <c r="M64" s="178">
        <v>0.4194</v>
      </c>
      <c r="N64" s="177">
        <v>62.84</v>
      </c>
      <c r="O64" s="176">
        <v>0.84</v>
      </c>
      <c r="P64" s="176">
        <v>0.12</v>
      </c>
      <c r="Q64" s="175" t="s">
        <v>171</v>
      </c>
    </row>
  </sheetData>
  <sortState ref="B3:R62">
    <sortCondition descending="1" ref="Q3"/>
  </sortState>
  <mergeCells count="3">
    <mergeCell ref="A2:A3"/>
    <mergeCell ref="B2:B3"/>
    <mergeCell ref="F1:L1"/>
  </mergeCells>
  <pageMargins left="0.25" right="0.25" top="0.25" bottom="0.5" header="0.25" footer="0.25"/>
  <pageSetup orientation="portrait" cellComments="atEnd"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rgb="FFFF0000"/>
  </sheetPr>
  <dimension ref="A1:Q66"/>
  <sheetViews>
    <sheetView workbookViewId="0">
      <selection sqref="A1:Q22"/>
    </sheetView>
  </sheetViews>
  <sheetFormatPr defaultRowHeight="22.5" customHeight="1" x14ac:dyDescent="0.25"/>
  <cols>
    <col min="1" max="1" width="6" style="93" bestFit="1" customWidth="1"/>
    <col min="2" max="2" width="22.42578125" style="94" bestFit="1" customWidth="1"/>
    <col min="3" max="3" width="8.28515625" style="93" bestFit="1" customWidth="1"/>
    <col min="4" max="4" width="6" style="93" bestFit="1" customWidth="1"/>
    <col min="5" max="5" width="10.28515625" style="93" bestFit="1" customWidth="1"/>
    <col min="6" max="6" width="10.42578125" style="93" bestFit="1" customWidth="1"/>
    <col min="7" max="7" width="8.42578125" style="93" bestFit="1" customWidth="1"/>
    <col min="8" max="8" width="13.42578125" style="93" bestFit="1" customWidth="1"/>
    <col min="9" max="9" width="12" style="93" bestFit="1" customWidth="1"/>
    <col min="10" max="11" width="13.42578125" style="93" bestFit="1" customWidth="1"/>
    <col min="12" max="12" width="11.42578125" style="93" bestFit="1" customWidth="1"/>
    <col min="13" max="13" width="10.42578125" style="93" bestFit="1" customWidth="1"/>
    <col min="14" max="14" width="11.85546875" style="93" bestFit="1" customWidth="1"/>
    <col min="15" max="15" width="11.42578125" style="93" bestFit="1" customWidth="1"/>
    <col min="16" max="16" width="10.42578125" style="93" bestFit="1" customWidth="1"/>
    <col min="17" max="17" width="12.28515625" style="93" bestFit="1" customWidth="1"/>
    <col min="18" max="16384" width="9.140625" style="93"/>
  </cols>
  <sheetData>
    <row r="1" spans="1:17" ht="22.5" customHeight="1" x14ac:dyDescent="0.25">
      <c r="F1" s="610"/>
      <c r="G1" s="610"/>
      <c r="H1" s="610"/>
      <c r="I1" s="610"/>
      <c r="J1" s="610"/>
      <c r="K1" s="610"/>
      <c r="L1" s="610"/>
    </row>
    <row r="2" spans="1:17" ht="22.5" customHeight="1" x14ac:dyDescent="0.25">
      <c r="A2" s="606" t="s">
        <v>172</v>
      </c>
      <c r="B2" s="608" t="s">
        <v>7</v>
      </c>
      <c r="C2" s="199" t="s">
        <v>173</v>
      </c>
      <c r="D2" s="198" t="s">
        <v>3</v>
      </c>
      <c r="E2" s="198" t="s">
        <v>176</v>
      </c>
      <c r="F2" s="198" t="s">
        <v>166</v>
      </c>
      <c r="G2" s="198" t="s">
        <v>8</v>
      </c>
      <c r="H2" s="198" t="s">
        <v>176</v>
      </c>
      <c r="I2" s="198" t="s">
        <v>166</v>
      </c>
      <c r="J2" s="198" t="s">
        <v>3</v>
      </c>
      <c r="K2" s="198" t="s">
        <v>21</v>
      </c>
      <c r="L2" s="198" t="s">
        <v>164</v>
      </c>
      <c r="M2" s="198" t="s">
        <v>166</v>
      </c>
      <c r="N2" s="198" t="s">
        <v>164</v>
      </c>
      <c r="O2" s="198" t="s">
        <v>164</v>
      </c>
      <c r="P2" s="198" t="s">
        <v>166</v>
      </c>
      <c r="Q2" s="197" t="s">
        <v>169</v>
      </c>
    </row>
    <row r="3" spans="1:17" ht="22.5" customHeight="1" x14ac:dyDescent="0.25">
      <c r="A3" s="607"/>
      <c r="B3" s="609"/>
      <c r="C3" s="196" t="s">
        <v>174</v>
      </c>
      <c r="D3" s="195" t="s">
        <v>175</v>
      </c>
      <c r="E3" s="195" t="s">
        <v>175</v>
      </c>
      <c r="F3" s="195" t="s">
        <v>175</v>
      </c>
      <c r="G3" s="195" t="s">
        <v>12</v>
      </c>
      <c r="H3" s="195" t="s">
        <v>9</v>
      </c>
      <c r="I3" s="195" t="s">
        <v>9</v>
      </c>
      <c r="J3" s="195" t="s">
        <v>9</v>
      </c>
      <c r="K3" s="195" t="s">
        <v>13</v>
      </c>
      <c r="L3" s="195" t="s">
        <v>165</v>
      </c>
      <c r="M3" s="195" t="s">
        <v>165</v>
      </c>
      <c r="N3" s="195" t="s">
        <v>167</v>
      </c>
      <c r="O3" s="195" t="s">
        <v>168</v>
      </c>
      <c r="P3" s="195" t="s">
        <v>168</v>
      </c>
      <c r="Q3" s="194" t="s">
        <v>170</v>
      </c>
    </row>
    <row r="4" spans="1:17" ht="22.5" customHeight="1" x14ac:dyDescent="0.25">
      <c r="A4" s="184">
        <v>1</v>
      </c>
      <c r="B4" s="193" t="s">
        <v>356</v>
      </c>
      <c r="C4" s="192">
        <v>5.5670000000000002</v>
      </c>
      <c r="D4" s="191">
        <v>14</v>
      </c>
      <c r="E4" s="191">
        <v>11</v>
      </c>
      <c r="F4" s="191">
        <v>2</v>
      </c>
      <c r="G4" s="191">
        <v>29</v>
      </c>
      <c r="H4" s="190">
        <v>1135</v>
      </c>
      <c r="I4" s="190">
        <v>340</v>
      </c>
      <c r="J4" s="190">
        <v>1532</v>
      </c>
      <c r="K4" s="189">
        <v>0.48280000000000001</v>
      </c>
      <c r="L4" s="188">
        <v>0.92859999999999998</v>
      </c>
      <c r="M4" s="188">
        <v>0.66669999999999996</v>
      </c>
      <c r="N4" s="187">
        <v>264.95</v>
      </c>
      <c r="O4" s="186">
        <v>2.34</v>
      </c>
      <c r="P4" s="186">
        <v>0.36</v>
      </c>
      <c r="Q4" s="185">
        <v>0.93</v>
      </c>
    </row>
    <row r="5" spans="1:17" ht="22.5" customHeight="1" x14ac:dyDescent="0.25">
      <c r="A5" s="184">
        <v>2</v>
      </c>
      <c r="B5" s="193" t="s">
        <v>371</v>
      </c>
      <c r="C5" s="192">
        <v>6.4180000000000001</v>
      </c>
      <c r="D5" s="191">
        <v>14</v>
      </c>
      <c r="E5" s="191">
        <v>8</v>
      </c>
      <c r="F5" s="191">
        <v>1</v>
      </c>
      <c r="G5" s="191">
        <v>25</v>
      </c>
      <c r="H5" s="190">
        <v>460</v>
      </c>
      <c r="I5" s="190">
        <v>120</v>
      </c>
      <c r="J5" s="190">
        <v>1665</v>
      </c>
      <c r="K5" s="189">
        <v>0.56000000000000005</v>
      </c>
      <c r="L5" s="188">
        <v>0.64290000000000003</v>
      </c>
      <c r="M5" s="188">
        <v>0.16669999999999999</v>
      </c>
      <c r="N5" s="187">
        <v>90.37</v>
      </c>
      <c r="O5" s="186">
        <v>1.4</v>
      </c>
      <c r="P5" s="186">
        <v>0.16</v>
      </c>
      <c r="Q5" s="185">
        <v>0.79</v>
      </c>
    </row>
    <row r="6" spans="1:17" ht="22.5" customHeight="1" x14ac:dyDescent="0.25">
      <c r="A6" s="184">
        <v>3</v>
      </c>
      <c r="B6" s="193" t="s">
        <v>359</v>
      </c>
      <c r="C6" s="192">
        <v>6.3250000000000002</v>
      </c>
      <c r="D6" s="191">
        <v>12</v>
      </c>
      <c r="E6" s="191">
        <v>5</v>
      </c>
      <c r="F6" s="191">
        <v>3</v>
      </c>
      <c r="G6" s="191">
        <v>28</v>
      </c>
      <c r="H6" s="190">
        <v>335</v>
      </c>
      <c r="I6" s="190">
        <v>360</v>
      </c>
      <c r="J6" s="190">
        <v>825</v>
      </c>
      <c r="K6" s="189">
        <v>0.42859999999999998</v>
      </c>
      <c r="L6" s="188">
        <v>0.66669999999999996</v>
      </c>
      <c r="M6" s="188">
        <v>0.42859999999999998</v>
      </c>
      <c r="N6" s="187">
        <v>109.88</v>
      </c>
      <c r="O6" s="186">
        <v>1.26</v>
      </c>
      <c r="P6" s="186">
        <v>0.47</v>
      </c>
      <c r="Q6" s="185">
        <v>0.79</v>
      </c>
    </row>
    <row r="7" spans="1:17" ht="22.5" customHeight="1" x14ac:dyDescent="0.25">
      <c r="A7" s="184">
        <v>4</v>
      </c>
      <c r="B7" s="193" t="s">
        <v>392</v>
      </c>
      <c r="C7" s="192">
        <v>3.7330000000000001</v>
      </c>
      <c r="D7" s="191">
        <v>7</v>
      </c>
      <c r="E7" s="191">
        <v>5</v>
      </c>
      <c r="F7" s="191">
        <v>1</v>
      </c>
      <c r="G7" s="191">
        <v>22</v>
      </c>
      <c r="H7" s="190">
        <v>270</v>
      </c>
      <c r="I7" s="190">
        <v>240</v>
      </c>
      <c r="J7" s="190">
        <v>560</v>
      </c>
      <c r="K7" s="189">
        <v>0.31819999999999998</v>
      </c>
      <c r="L7" s="188">
        <v>0.85709999999999997</v>
      </c>
      <c r="M7" s="188">
        <v>0.5</v>
      </c>
      <c r="N7" s="187">
        <v>136.62</v>
      </c>
      <c r="O7" s="186">
        <v>1.61</v>
      </c>
      <c r="P7" s="186">
        <v>0.27</v>
      </c>
      <c r="Q7" s="185">
        <v>0.77</v>
      </c>
    </row>
    <row r="8" spans="1:17" ht="22.5" customHeight="1" x14ac:dyDescent="0.25">
      <c r="A8" s="184">
        <v>5</v>
      </c>
      <c r="B8" s="193" t="s">
        <v>389</v>
      </c>
      <c r="C8" s="192">
        <v>6.7869999999999999</v>
      </c>
      <c r="D8" s="191">
        <v>15</v>
      </c>
      <c r="E8" s="191">
        <v>8</v>
      </c>
      <c r="F8" s="191">
        <v>2</v>
      </c>
      <c r="G8" s="191">
        <v>39</v>
      </c>
      <c r="H8" s="190">
        <v>625</v>
      </c>
      <c r="I8" s="190">
        <v>150</v>
      </c>
      <c r="J8" s="190">
        <v>905</v>
      </c>
      <c r="K8" s="189">
        <v>0.3846</v>
      </c>
      <c r="L8" s="188">
        <v>0.66669999999999996</v>
      </c>
      <c r="M8" s="188">
        <v>0.28570000000000001</v>
      </c>
      <c r="N8" s="187">
        <v>114.19</v>
      </c>
      <c r="O8" s="186">
        <v>1.47</v>
      </c>
      <c r="P8" s="186">
        <v>0.28999999999999998</v>
      </c>
      <c r="Q8" s="185">
        <v>0.76</v>
      </c>
    </row>
    <row r="9" spans="1:17" ht="22.5" customHeight="1" x14ac:dyDescent="0.25">
      <c r="A9" s="184">
        <v>6</v>
      </c>
      <c r="B9" s="193" t="s">
        <v>363</v>
      </c>
      <c r="C9" s="192">
        <v>3.746</v>
      </c>
      <c r="D9" s="191">
        <v>5</v>
      </c>
      <c r="E9" s="191">
        <v>4</v>
      </c>
      <c r="F9" s="191">
        <v>1</v>
      </c>
      <c r="G9" s="191">
        <v>23</v>
      </c>
      <c r="H9" s="190">
        <v>260</v>
      </c>
      <c r="I9" s="190">
        <v>120</v>
      </c>
      <c r="J9" s="190">
        <v>380</v>
      </c>
      <c r="K9" s="189">
        <v>0.21740000000000001</v>
      </c>
      <c r="L9" s="188">
        <v>1</v>
      </c>
      <c r="M9" s="188">
        <v>1</v>
      </c>
      <c r="N9" s="187">
        <v>101.44</v>
      </c>
      <c r="O9" s="186">
        <v>1.33</v>
      </c>
      <c r="P9" s="186">
        <v>0.27</v>
      </c>
      <c r="Q9" s="185">
        <v>0.72</v>
      </c>
    </row>
    <row r="10" spans="1:17" ht="22.5" customHeight="1" x14ac:dyDescent="0.25">
      <c r="A10" s="184">
        <v>7</v>
      </c>
      <c r="B10" s="193" t="s">
        <v>315</v>
      </c>
      <c r="C10" s="192">
        <v>6.89</v>
      </c>
      <c r="D10" s="191">
        <v>10</v>
      </c>
      <c r="E10" s="191">
        <v>7</v>
      </c>
      <c r="F10" s="191">
        <v>1</v>
      </c>
      <c r="G10" s="191">
        <v>32</v>
      </c>
      <c r="H10" s="190">
        <v>670</v>
      </c>
      <c r="I10" s="190">
        <v>120</v>
      </c>
      <c r="J10" s="190">
        <v>1340</v>
      </c>
      <c r="K10" s="189">
        <v>0.3125</v>
      </c>
      <c r="L10" s="188">
        <v>0.8</v>
      </c>
      <c r="M10" s="188">
        <v>0.33329999999999999</v>
      </c>
      <c r="N10" s="187">
        <v>114.66</v>
      </c>
      <c r="O10" s="186">
        <v>1.1599999999999999</v>
      </c>
      <c r="P10" s="186">
        <v>0.15</v>
      </c>
      <c r="Q10" s="185">
        <v>0.68</v>
      </c>
    </row>
    <row r="11" spans="1:17" ht="22.5" customHeight="1" x14ac:dyDescent="0.25">
      <c r="A11" s="184">
        <v>8</v>
      </c>
      <c r="B11" s="193" t="s">
        <v>332</v>
      </c>
      <c r="C11" s="192">
        <v>6.8259999999999996</v>
      </c>
      <c r="D11" s="191">
        <v>14</v>
      </c>
      <c r="E11" s="191">
        <v>11</v>
      </c>
      <c r="F11" s="191">
        <v>0</v>
      </c>
      <c r="G11" s="191">
        <v>29</v>
      </c>
      <c r="H11" s="190">
        <v>860</v>
      </c>
      <c r="I11" s="190">
        <v>0</v>
      </c>
      <c r="J11" s="190">
        <v>940</v>
      </c>
      <c r="K11" s="189">
        <v>0.48280000000000001</v>
      </c>
      <c r="L11" s="188">
        <v>0.78569999999999995</v>
      </c>
      <c r="M11" s="188">
        <v>0</v>
      </c>
      <c r="N11" s="187">
        <v>125.99</v>
      </c>
      <c r="O11" s="186">
        <v>1.61</v>
      </c>
      <c r="P11" s="186">
        <v>0</v>
      </c>
      <c r="Q11" s="185">
        <v>0.66</v>
      </c>
    </row>
    <row r="12" spans="1:17" ht="22.5" customHeight="1" x14ac:dyDescent="0.25">
      <c r="A12" s="184">
        <v>9</v>
      </c>
      <c r="B12" s="193" t="s">
        <v>330</v>
      </c>
      <c r="C12" s="192">
        <v>8.9610000000000003</v>
      </c>
      <c r="D12" s="191">
        <v>9</v>
      </c>
      <c r="E12" s="191">
        <v>3</v>
      </c>
      <c r="F12" s="191">
        <v>4</v>
      </c>
      <c r="G12" s="191">
        <v>36</v>
      </c>
      <c r="H12" s="190">
        <v>55</v>
      </c>
      <c r="I12" s="190">
        <v>1636</v>
      </c>
      <c r="J12" s="190">
        <v>1811</v>
      </c>
      <c r="K12" s="189">
        <v>0.25</v>
      </c>
      <c r="L12" s="188">
        <v>0.77780000000000005</v>
      </c>
      <c r="M12" s="188">
        <v>0.66669999999999996</v>
      </c>
      <c r="N12" s="187">
        <v>188.71</v>
      </c>
      <c r="O12" s="186">
        <v>0.78</v>
      </c>
      <c r="P12" s="186">
        <v>0.45</v>
      </c>
      <c r="Q12" s="185">
        <v>0.65</v>
      </c>
    </row>
    <row r="13" spans="1:17" ht="22.5" customHeight="1" x14ac:dyDescent="0.25">
      <c r="A13" s="184">
        <v>10</v>
      </c>
      <c r="B13" s="193" t="s">
        <v>351</v>
      </c>
      <c r="C13" s="192">
        <v>5.6959999999999997</v>
      </c>
      <c r="D13" s="191">
        <v>9</v>
      </c>
      <c r="E13" s="191">
        <v>4</v>
      </c>
      <c r="F13" s="191">
        <v>1</v>
      </c>
      <c r="G13" s="191">
        <v>21</v>
      </c>
      <c r="H13" s="190">
        <v>750</v>
      </c>
      <c r="I13" s="190">
        <v>120</v>
      </c>
      <c r="J13" s="190">
        <v>1045</v>
      </c>
      <c r="K13" s="189">
        <v>0.42859999999999998</v>
      </c>
      <c r="L13" s="188">
        <v>0.55559999999999998</v>
      </c>
      <c r="M13" s="188">
        <v>0.2</v>
      </c>
      <c r="N13" s="187">
        <v>152.74</v>
      </c>
      <c r="O13" s="186">
        <v>0.88</v>
      </c>
      <c r="P13" s="186">
        <v>0.18</v>
      </c>
      <c r="Q13" s="185">
        <v>0.64</v>
      </c>
    </row>
    <row r="14" spans="1:17" ht="22.5" customHeight="1" x14ac:dyDescent="0.25">
      <c r="A14" s="184">
        <v>11</v>
      </c>
      <c r="B14" s="193" t="s">
        <v>384</v>
      </c>
      <c r="C14" s="192">
        <v>6.109</v>
      </c>
      <c r="D14" s="191">
        <v>7</v>
      </c>
      <c r="E14" s="191">
        <v>3</v>
      </c>
      <c r="F14" s="191">
        <v>1</v>
      </c>
      <c r="G14" s="191">
        <v>16</v>
      </c>
      <c r="H14" s="190">
        <v>855</v>
      </c>
      <c r="I14" s="190">
        <v>120</v>
      </c>
      <c r="J14" s="190">
        <v>1080</v>
      </c>
      <c r="K14" s="189">
        <v>0.4375</v>
      </c>
      <c r="L14" s="188">
        <v>0.57140000000000002</v>
      </c>
      <c r="M14" s="188">
        <v>0.25</v>
      </c>
      <c r="N14" s="187">
        <v>159.6</v>
      </c>
      <c r="O14" s="186">
        <v>0.65</v>
      </c>
      <c r="P14" s="186">
        <v>0.16</v>
      </c>
      <c r="Q14" s="185">
        <v>0.64</v>
      </c>
    </row>
    <row r="15" spans="1:17" ht="22.5" customHeight="1" x14ac:dyDescent="0.25">
      <c r="A15" s="184">
        <v>12</v>
      </c>
      <c r="B15" s="193" t="s">
        <v>321</v>
      </c>
      <c r="C15" s="192">
        <v>3.9550000000000001</v>
      </c>
      <c r="D15" s="191">
        <v>8</v>
      </c>
      <c r="E15" s="191">
        <v>3</v>
      </c>
      <c r="F15" s="191">
        <v>1</v>
      </c>
      <c r="G15" s="191">
        <v>15</v>
      </c>
      <c r="H15" s="190">
        <v>80</v>
      </c>
      <c r="I15" s="190">
        <v>120</v>
      </c>
      <c r="J15" s="190">
        <v>410</v>
      </c>
      <c r="K15" s="189">
        <v>0.5333</v>
      </c>
      <c r="L15" s="188">
        <v>0.5</v>
      </c>
      <c r="M15" s="188">
        <v>0.2</v>
      </c>
      <c r="N15" s="187">
        <v>50.57</v>
      </c>
      <c r="O15" s="186">
        <v>1.01</v>
      </c>
      <c r="P15" s="186">
        <v>0.25</v>
      </c>
      <c r="Q15" s="185">
        <v>0.64</v>
      </c>
    </row>
    <row r="16" spans="1:17" ht="22.5" customHeight="1" x14ac:dyDescent="0.25">
      <c r="A16" s="184">
        <v>13</v>
      </c>
      <c r="B16" s="193" t="s">
        <v>272</v>
      </c>
      <c r="C16" s="192">
        <v>10.416</v>
      </c>
      <c r="D16" s="191">
        <v>15</v>
      </c>
      <c r="E16" s="191">
        <v>9</v>
      </c>
      <c r="F16" s="191">
        <v>2</v>
      </c>
      <c r="G16" s="191">
        <v>51</v>
      </c>
      <c r="H16" s="190">
        <v>375</v>
      </c>
      <c r="I16" s="190">
        <v>240</v>
      </c>
      <c r="J16" s="190">
        <v>790</v>
      </c>
      <c r="K16" s="189">
        <v>0.29409999999999997</v>
      </c>
      <c r="L16" s="188">
        <v>0.73329999999999995</v>
      </c>
      <c r="M16" s="188">
        <v>0.33329999999999999</v>
      </c>
      <c r="N16" s="187">
        <v>59.04</v>
      </c>
      <c r="O16" s="186">
        <v>1.06</v>
      </c>
      <c r="P16" s="186">
        <v>0.19</v>
      </c>
      <c r="Q16" s="185">
        <v>0.62</v>
      </c>
    </row>
    <row r="17" spans="1:17" ht="22.5" customHeight="1" x14ac:dyDescent="0.25">
      <c r="A17" s="184">
        <v>14</v>
      </c>
      <c r="B17" s="193" t="s">
        <v>365</v>
      </c>
      <c r="C17" s="192">
        <v>8.0890000000000004</v>
      </c>
      <c r="D17" s="191">
        <v>23</v>
      </c>
      <c r="E17" s="191">
        <v>14</v>
      </c>
      <c r="F17" s="191">
        <v>0</v>
      </c>
      <c r="G17" s="191">
        <v>44</v>
      </c>
      <c r="H17" s="190">
        <v>640</v>
      </c>
      <c r="I17" s="190">
        <v>0</v>
      </c>
      <c r="J17" s="190">
        <v>1140</v>
      </c>
      <c r="K17" s="189">
        <v>0.52270000000000005</v>
      </c>
      <c r="L17" s="188">
        <v>0.60870000000000002</v>
      </c>
      <c r="M17" s="188">
        <v>0</v>
      </c>
      <c r="N17" s="187">
        <v>79.12</v>
      </c>
      <c r="O17" s="186">
        <v>1.73</v>
      </c>
      <c r="P17" s="186">
        <v>0</v>
      </c>
      <c r="Q17" s="185">
        <v>0.61</v>
      </c>
    </row>
    <row r="18" spans="1:17" ht="22.5" customHeight="1" x14ac:dyDescent="0.25">
      <c r="A18" s="184">
        <v>15</v>
      </c>
      <c r="B18" s="193" t="s">
        <v>374</v>
      </c>
      <c r="C18" s="192">
        <v>8.673</v>
      </c>
      <c r="D18" s="191">
        <v>21</v>
      </c>
      <c r="E18" s="191">
        <v>7</v>
      </c>
      <c r="F18" s="191">
        <v>2</v>
      </c>
      <c r="G18" s="191">
        <v>56</v>
      </c>
      <c r="H18" s="190">
        <v>1055</v>
      </c>
      <c r="I18" s="190">
        <v>240</v>
      </c>
      <c r="J18" s="190">
        <v>2510</v>
      </c>
      <c r="K18" s="189">
        <v>0.375</v>
      </c>
      <c r="L18" s="188">
        <v>0.42859999999999998</v>
      </c>
      <c r="M18" s="188">
        <v>0.1429</v>
      </c>
      <c r="N18" s="187">
        <v>149.31</v>
      </c>
      <c r="O18" s="186">
        <v>1.04</v>
      </c>
      <c r="P18" s="186">
        <v>0.23</v>
      </c>
      <c r="Q18" s="185">
        <v>0.59</v>
      </c>
    </row>
    <row r="19" spans="1:17" ht="22.5" customHeight="1" x14ac:dyDescent="0.25">
      <c r="A19" s="184">
        <v>16</v>
      </c>
      <c r="B19" s="193" t="s">
        <v>324</v>
      </c>
      <c r="C19" s="192">
        <v>4.8739999999999997</v>
      </c>
      <c r="D19" s="191">
        <v>7</v>
      </c>
      <c r="E19" s="191">
        <v>3</v>
      </c>
      <c r="F19" s="191">
        <v>1</v>
      </c>
      <c r="G19" s="191">
        <v>21</v>
      </c>
      <c r="H19" s="190">
        <v>610</v>
      </c>
      <c r="I19" s="190">
        <v>120</v>
      </c>
      <c r="J19" s="190">
        <v>800</v>
      </c>
      <c r="K19" s="189">
        <v>0.33329999999999999</v>
      </c>
      <c r="L19" s="188">
        <v>0.57140000000000002</v>
      </c>
      <c r="M19" s="188">
        <v>0.25</v>
      </c>
      <c r="N19" s="187">
        <v>149.77000000000001</v>
      </c>
      <c r="O19" s="186">
        <v>0.82</v>
      </c>
      <c r="P19" s="186">
        <v>0.21</v>
      </c>
      <c r="Q19" s="185">
        <v>0.57999999999999996</v>
      </c>
    </row>
    <row r="20" spans="1:17" ht="22.5" customHeight="1" x14ac:dyDescent="0.25">
      <c r="A20" s="184">
        <v>17</v>
      </c>
      <c r="B20" s="193" t="s">
        <v>391</v>
      </c>
      <c r="C20" s="192">
        <v>6.5069999999999997</v>
      </c>
      <c r="D20" s="191">
        <v>10</v>
      </c>
      <c r="E20" s="191">
        <v>5</v>
      </c>
      <c r="F20" s="191">
        <v>1</v>
      </c>
      <c r="G20" s="191">
        <v>30</v>
      </c>
      <c r="H20" s="190">
        <v>645</v>
      </c>
      <c r="I20" s="190">
        <v>60</v>
      </c>
      <c r="J20" s="190">
        <v>925</v>
      </c>
      <c r="K20" s="189">
        <v>0.33329999999999999</v>
      </c>
      <c r="L20" s="188">
        <v>0.6</v>
      </c>
      <c r="M20" s="188">
        <v>0.2</v>
      </c>
      <c r="N20" s="187">
        <v>108.34</v>
      </c>
      <c r="O20" s="186">
        <v>0.92</v>
      </c>
      <c r="P20" s="186">
        <v>0.15</v>
      </c>
      <c r="Q20" s="185">
        <v>0.56999999999999995</v>
      </c>
    </row>
    <row r="21" spans="1:17" ht="22.5" customHeight="1" x14ac:dyDescent="0.25">
      <c r="A21" s="184">
        <v>18</v>
      </c>
      <c r="B21" s="193" t="s">
        <v>411</v>
      </c>
      <c r="C21" s="192">
        <v>6.1280000000000001</v>
      </c>
      <c r="D21" s="191">
        <v>8</v>
      </c>
      <c r="E21" s="191">
        <v>7</v>
      </c>
      <c r="F21" s="191">
        <v>0</v>
      </c>
      <c r="G21" s="191">
        <v>19</v>
      </c>
      <c r="H21" s="190">
        <v>555</v>
      </c>
      <c r="I21" s="190">
        <v>0</v>
      </c>
      <c r="J21" s="190">
        <v>585</v>
      </c>
      <c r="K21" s="189">
        <v>0.42109999999999997</v>
      </c>
      <c r="L21" s="188">
        <v>0.875</v>
      </c>
      <c r="M21" s="188">
        <v>0</v>
      </c>
      <c r="N21" s="187">
        <v>90.57</v>
      </c>
      <c r="O21" s="186">
        <v>1.1399999999999999</v>
      </c>
      <c r="P21" s="186">
        <v>0</v>
      </c>
      <c r="Q21" s="185">
        <v>0.56999999999999995</v>
      </c>
    </row>
    <row r="22" spans="1:17" ht="22.5" customHeight="1" x14ac:dyDescent="0.25">
      <c r="A22" s="184">
        <v>19</v>
      </c>
      <c r="B22" s="193" t="s">
        <v>403</v>
      </c>
      <c r="C22" s="192">
        <v>5.359</v>
      </c>
      <c r="D22" s="191">
        <v>9</v>
      </c>
      <c r="E22" s="191">
        <v>4</v>
      </c>
      <c r="F22" s="191">
        <v>1</v>
      </c>
      <c r="G22" s="191">
        <v>23</v>
      </c>
      <c r="H22" s="190">
        <v>110</v>
      </c>
      <c r="I22" s="190">
        <v>120</v>
      </c>
      <c r="J22" s="190">
        <v>295</v>
      </c>
      <c r="K22" s="189">
        <v>0.39129999999999998</v>
      </c>
      <c r="L22" s="188">
        <v>0.55559999999999998</v>
      </c>
      <c r="M22" s="188">
        <v>0.2</v>
      </c>
      <c r="N22" s="187">
        <v>42.92</v>
      </c>
      <c r="O22" s="186">
        <v>0.93</v>
      </c>
      <c r="P22" s="186">
        <v>0.19</v>
      </c>
      <c r="Q22" s="185">
        <v>0.55000000000000004</v>
      </c>
    </row>
    <row r="23" spans="1:17" ht="22.5" customHeight="1" x14ac:dyDescent="0.25">
      <c r="A23" s="184">
        <v>20</v>
      </c>
      <c r="B23" s="193" t="s">
        <v>360</v>
      </c>
      <c r="C23" s="192">
        <v>6.7220000000000004</v>
      </c>
      <c r="D23" s="191">
        <v>12</v>
      </c>
      <c r="E23" s="191">
        <v>4</v>
      </c>
      <c r="F23" s="191">
        <v>2</v>
      </c>
      <c r="G23" s="191">
        <v>33</v>
      </c>
      <c r="H23" s="190">
        <v>230</v>
      </c>
      <c r="I23" s="190">
        <v>300</v>
      </c>
      <c r="J23" s="190">
        <v>680</v>
      </c>
      <c r="K23" s="189">
        <v>0.36359999999999998</v>
      </c>
      <c r="L23" s="188">
        <v>0.5</v>
      </c>
      <c r="M23" s="188">
        <v>0.25</v>
      </c>
      <c r="N23" s="187">
        <v>78.849999999999994</v>
      </c>
      <c r="O23" s="186">
        <v>0.89</v>
      </c>
      <c r="P23" s="186">
        <v>0.3</v>
      </c>
      <c r="Q23" s="185">
        <v>0.54</v>
      </c>
    </row>
    <row r="24" spans="1:17" ht="22.5" customHeight="1" x14ac:dyDescent="0.25">
      <c r="A24" s="184">
        <v>21</v>
      </c>
      <c r="B24" s="193" t="s">
        <v>352</v>
      </c>
      <c r="C24" s="192">
        <v>8.25</v>
      </c>
      <c r="D24" s="191">
        <v>15</v>
      </c>
      <c r="E24" s="191">
        <v>8</v>
      </c>
      <c r="F24" s="191">
        <v>0</v>
      </c>
      <c r="G24" s="191">
        <v>31</v>
      </c>
      <c r="H24" s="190">
        <v>1000</v>
      </c>
      <c r="I24" s="190">
        <v>0</v>
      </c>
      <c r="J24" s="190">
        <v>1415</v>
      </c>
      <c r="K24" s="189">
        <v>0.4839</v>
      </c>
      <c r="L24" s="188">
        <v>0.5333</v>
      </c>
      <c r="M24" s="188">
        <v>0</v>
      </c>
      <c r="N24" s="187">
        <v>121.21</v>
      </c>
      <c r="O24" s="186">
        <v>0.97</v>
      </c>
      <c r="P24" s="186">
        <v>0</v>
      </c>
      <c r="Q24" s="185">
        <v>0.53</v>
      </c>
    </row>
    <row r="25" spans="1:17" ht="22.5" customHeight="1" x14ac:dyDescent="0.25">
      <c r="A25" s="184">
        <v>22</v>
      </c>
      <c r="B25" s="193" t="s">
        <v>355</v>
      </c>
      <c r="C25" s="192">
        <v>3.3359999999999999</v>
      </c>
      <c r="D25" s="191">
        <v>6</v>
      </c>
      <c r="E25" s="191">
        <v>4</v>
      </c>
      <c r="F25" s="191">
        <v>0</v>
      </c>
      <c r="G25" s="191">
        <v>14</v>
      </c>
      <c r="H25" s="190">
        <v>200</v>
      </c>
      <c r="I25" s="190">
        <v>0</v>
      </c>
      <c r="J25" s="190">
        <v>325</v>
      </c>
      <c r="K25" s="189">
        <v>0.42859999999999998</v>
      </c>
      <c r="L25" s="188">
        <v>0.66669999999999996</v>
      </c>
      <c r="M25" s="188">
        <v>0</v>
      </c>
      <c r="N25" s="187">
        <v>59.95</v>
      </c>
      <c r="O25" s="186">
        <v>1.2</v>
      </c>
      <c r="P25" s="186">
        <v>0</v>
      </c>
      <c r="Q25" s="185">
        <v>0.52</v>
      </c>
    </row>
    <row r="26" spans="1:17" ht="22.5" customHeight="1" x14ac:dyDescent="0.25">
      <c r="A26" s="184">
        <v>23</v>
      </c>
      <c r="B26" s="193" t="s">
        <v>314</v>
      </c>
      <c r="C26" s="192">
        <v>8.5169999999999995</v>
      </c>
      <c r="D26" s="191">
        <v>18</v>
      </c>
      <c r="E26" s="191">
        <v>8</v>
      </c>
      <c r="F26" s="191">
        <v>1</v>
      </c>
      <c r="G26" s="191">
        <v>48</v>
      </c>
      <c r="H26" s="190">
        <v>280</v>
      </c>
      <c r="I26" s="190">
        <v>120</v>
      </c>
      <c r="J26" s="190">
        <v>1245</v>
      </c>
      <c r="K26" s="189">
        <v>0.375</v>
      </c>
      <c r="L26" s="188">
        <v>0.5</v>
      </c>
      <c r="M26" s="188">
        <v>0.1</v>
      </c>
      <c r="N26" s="187">
        <v>46.96</v>
      </c>
      <c r="O26" s="186">
        <v>1.06</v>
      </c>
      <c r="P26" s="186">
        <v>0.12</v>
      </c>
      <c r="Q26" s="185">
        <v>0.52</v>
      </c>
    </row>
    <row r="27" spans="1:17" ht="22.5" customHeight="1" x14ac:dyDescent="0.25">
      <c r="A27" s="184">
        <v>24</v>
      </c>
      <c r="B27" s="193" t="s">
        <v>274</v>
      </c>
      <c r="C27" s="192">
        <v>3.3250000000000002</v>
      </c>
      <c r="D27" s="191">
        <v>9</v>
      </c>
      <c r="E27" s="191">
        <v>4</v>
      </c>
      <c r="F27" s="191">
        <v>0</v>
      </c>
      <c r="G27" s="191">
        <v>17</v>
      </c>
      <c r="H27" s="190">
        <v>300</v>
      </c>
      <c r="I27" s="190">
        <v>0</v>
      </c>
      <c r="J27" s="190">
        <v>535</v>
      </c>
      <c r="K27" s="189">
        <v>0.52939999999999998</v>
      </c>
      <c r="L27" s="188">
        <v>0.44440000000000002</v>
      </c>
      <c r="M27" s="188">
        <v>0</v>
      </c>
      <c r="N27" s="187">
        <v>90.23</v>
      </c>
      <c r="O27" s="186">
        <v>1.2</v>
      </c>
      <c r="P27" s="186">
        <v>0</v>
      </c>
      <c r="Q27" s="185">
        <v>0.51</v>
      </c>
    </row>
    <row r="28" spans="1:17" ht="22.5" customHeight="1" x14ac:dyDescent="0.25">
      <c r="A28" s="184">
        <v>25</v>
      </c>
      <c r="B28" s="193" t="s">
        <v>282</v>
      </c>
      <c r="C28" s="192">
        <v>0.498</v>
      </c>
      <c r="D28" s="191">
        <v>1</v>
      </c>
      <c r="E28" s="191">
        <v>1</v>
      </c>
      <c r="F28" s="191">
        <v>0</v>
      </c>
      <c r="G28" s="191">
        <v>3</v>
      </c>
      <c r="H28" s="190">
        <v>25</v>
      </c>
      <c r="I28" s="190">
        <v>0</v>
      </c>
      <c r="J28" s="190">
        <v>25</v>
      </c>
      <c r="K28" s="189">
        <v>0.33329999999999999</v>
      </c>
      <c r="L28" s="188">
        <v>1</v>
      </c>
      <c r="M28" s="188">
        <v>0</v>
      </c>
      <c r="N28" s="187">
        <v>50.2</v>
      </c>
      <c r="O28" s="186">
        <v>2.0099999999999998</v>
      </c>
      <c r="P28" s="186">
        <v>0</v>
      </c>
      <c r="Q28" s="185">
        <v>0.51</v>
      </c>
    </row>
    <row r="29" spans="1:17" ht="22.5" customHeight="1" x14ac:dyDescent="0.25">
      <c r="A29" s="184">
        <v>26</v>
      </c>
      <c r="B29" s="193" t="s">
        <v>390</v>
      </c>
      <c r="C29" s="192">
        <v>9.3610000000000007</v>
      </c>
      <c r="D29" s="191">
        <v>17</v>
      </c>
      <c r="E29" s="191">
        <v>10</v>
      </c>
      <c r="F29" s="191">
        <v>0</v>
      </c>
      <c r="G29" s="191">
        <v>41</v>
      </c>
      <c r="H29" s="190">
        <v>860</v>
      </c>
      <c r="I29" s="190">
        <v>0</v>
      </c>
      <c r="J29" s="190">
        <v>1255</v>
      </c>
      <c r="K29" s="189">
        <v>0.41460000000000002</v>
      </c>
      <c r="L29" s="188">
        <v>0.58819999999999995</v>
      </c>
      <c r="M29" s="188">
        <v>0</v>
      </c>
      <c r="N29" s="187">
        <v>91.87</v>
      </c>
      <c r="O29" s="186">
        <v>1.07</v>
      </c>
      <c r="P29" s="186">
        <v>0</v>
      </c>
      <c r="Q29" s="185">
        <v>0.5</v>
      </c>
    </row>
    <row r="30" spans="1:17" ht="22.5" customHeight="1" x14ac:dyDescent="0.25">
      <c r="A30" s="184">
        <v>27</v>
      </c>
      <c r="B30" s="193" t="s">
        <v>271</v>
      </c>
      <c r="C30" s="192">
        <v>6.2869999999999999</v>
      </c>
      <c r="D30" s="191">
        <v>10</v>
      </c>
      <c r="E30" s="191">
        <v>8</v>
      </c>
      <c r="F30" s="191">
        <v>0</v>
      </c>
      <c r="G30" s="191">
        <v>26</v>
      </c>
      <c r="H30" s="190">
        <v>230</v>
      </c>
      <c r="I30" s="190">
        <v>0</v>
      </c>
      <c r="J30" s="190">
        <v>400</v>
      </c>
      <c r="K30" s="189">
        <v>0.3846</v>
      </c>
      <c r="L30" s="188">
        <v>0.8</v>
      </c>
      <c r="M30" s="188">
        <v>0</v>
      </c>
      <c r="N30" s="187">
        <v>36.58</v>
      </c>
      <c r="O30" s="186">
        <v>1.27</v>
      </c>
      <c r="P30" s="186">
        <v>0</v>
      </c>
      <c r="Q30" s="185">
        <v>0.49</v>
      </c>
    </row>
    <row r="31" spans="1:17" ht="22.5" customHeight="1" x14ac:dyDescent="0.25">
      <c r="A31" s="184">
        <v>28</v>
      </c>
      <c r="B31" s="193" t="s">
        <v>397</v>
      </c>
      <c r="C31" s="192">
        <v>5.29</v>
      </c>
      <c r="D31" s="191">
        <v>5</v>
      </c>
      <c r="E31" s="191">
        <v>1</v>
      </c>
      <c r="F31" s="191">
        <v>1</v>
      </c>
      <c r="G31" s="191">
        <v>11</v>
      </c>
      <c r="H31" s="190">
        <v>100</v>
      </c>
      <c r="I31" s="190">
        <v>60</v>
      </c>
      <c r="J31" s="190">
        <v>350</v>
      </c>
      <c r="K31" s="189">
        <v>0.45450000000000002</v>
      </c>
      <c r="L31" s="188">
        <v>0.4</v>
      </c>
      <c r="M31" s="188">
        <v>0.25</v>
      </c>
      <c r="N31" s="187">
        <v>30.25</v>
      </c>
      <c r="O31" s="186">
        <v>0.38</v>
      </c>
      <c r="P31" s="186">
        <v>0.19</v>
      </c>
      <c r="Q31" s="185">
        <v>0.48</v>
      </c>
    </row>
    <row r="32" spans="1:17" ht="22.5" customHeight="1" x14ac:dyDescent="0.25">
      <c r="A32" s="184">
        <v>29</v>
      </c>
      <c r="B32" s="193" t="s">
        <v>435</v>
      </c>
      <c r="C32" s="192">
        <v>6.8719999999999999</v>
      </c>
      <c r="D32" s="191">
        <v>22</v>
      </c>
      <c r="E32" s="191">
        <v>9</v>
      </c>
      <c r="F32" s="191">
        <v>0</v>
      </c>
      <c r="G32" s="191">
        <v>46</v>
      </c>
      <c r="H32" s="190">
        <v>360</v>
      </c>
      <c r="I32" s="190">
        <v>0</v>
      </c>
      <c r="J32" s="190">
        <v>1220</v>
      </c>
      <c r="K32" s="189">
        <v>0.4783</v>
      </c>
      <c r="L32" s="188">
        <v>0.40910000000000002</v>
      </c>
      <c r="M32" s="188">
        <v>0</v>
      </c>
      <c r="N32" s="187">
        <v>52.39</v>
      </c>
      <c r="O32" s="186">
        <v>1.31</v>
      </c>
      <c r="P32" s="186">
        <v>0</v>
      </c>
      <c r="Q32" s="185">
        <v>0.48</v>
      </c>
    </row>
    <row r="33" spans="1:17" ht="22.5" customHeight="1" x14ac:dyDescent="0.25">
      <c r="A33" s="184">
        <v>30</v>
      </c>
      <c r="B33" s="193" t="s">
        <v>366</v>
      </c>
      <c r="C33" s="192">
        <v>6.7229999999999999</v>
      </c>
      <c r="D33" s="191">
        <v>20</v>
      </c>
      <c r="E33" s="191">
        <v>10</v>
      </c>
      <c r="F33" s="191">
        <v>0</v>
      </c>
      <c r="G33" s="191">
        <v>49</v>
      </c>
      <c r="H33" s="190">
        <v>545</v>
      </c>
      <c r="I33" s="190">
        <v>0</v>
      </c>
      <c r="J33" s="190">
        <v>1075</v>
      </c>
      <c r="K33" s="189">
        <v>0.40820000000000001</v>
      </c>
      <c r="L33" s="188">
        <v>0.5</v>
      </c>
      <c r="M33" s="188">
        <v>0</v>
      </c>
      <c r="N33" s="187">
        <v>81.069999999999993</v>
      </c>
      <c r="O33" s="186">
        <v>1.49</v>
      </c>
      <c r="P33" s="186">
        <v>0</v>
      </c>
      <c r="Q33" s="185">
        <v>0.47</v>
      </c>
    </row>
    <row r="34" spans="1:17" ht="22.5" customHeight="1" x14ac:dyDescent="0.25">
      <c r="A34" s="184">
        <v>31</v>
      </c>
      <c r="B34" s="193" t="s">
        <v>430</v>
      </c>
      <c r="C34" s="192">
        <v>4.3070000000000004</v>
      </c>
      <c r="D34" s="191">
        <v>11</v>
      </c>
      <c r="E34" s="191">
        <v>5</v>
      </c>
      <c r="F34" s="191">
        <v>0</v>
      </c>
      <c r="G34" s="191">
        <v>19</v>
      </c>
      <c r="H34" s="190">
        <v>180</v>
      </c>
      <c r="I34" s="190">
        <v>0</v>
      </c>
      <c r="J34" s="190">
        <v>445</v>
      </c>
      <c r="K34" s="189">
        <v>0.57889999999999997</v>
      </c>
      <c r="L34" s="188">
        <v>0.45450000000000002</v>
      </c>
      <c r="M34" s="188">
        <v>0</v>
      </c>
      <c r="N34" s="187">
        <v>41.79</v>
      </c>
      <c r="O34" s="186">
        <v>1.1599999999999999</v>
      </c>
      <c r="P34" s="186">
        <v>0</v>
      </c>
      <c r="Q34" s="185">
        <v>0.47</v>
      </c>
    </row>
    <row r="35" spans="1:17" ht="22.5" customHeight="1" x14ac:dyDescent="0.25">
      <c r="A35" s="184">
        <v>32</v>
      </c>
      <c r="B35" s="193" t="s">
        <v>281</v>
      </c>
      <c r="C35" s="192">
        <v>8.0739999999999998</v>
      </c>
      <c r="D35" s="191">
        <v>14</v>
      </c>
      <c r="E35" s="191">
        <v>8</v>
      </c>
      <c r="F35" s="191">
        <v>0</v>
      </c>
      <c r="G35" s="191">
        <v>32</v>
      </c>
      <c r="H35" s="190">
        <v>525</v>
      </c>
      <c r="I35" s="190">
        <v>0</v>
      </c>
      <c r="J35" s="190">
        <v>1180</v>
      </c>
      <c r="K35" s="189">
        <v>0.4375</v>
      </c>
      <c r="L35" s="188">
        <v>0.57140000000000002</v>
      </c>
      <c r="M35" s="188">
        <v>0</v>
      </c>
      <c r="N35" s="187">
        <v>65.02</v>
      </c>
      <c r="O35" s="186">
        <v>0.99</v>
      </c>
      <c r="P35" s="186">
        <v>0</v>
      </c>
      <c r="Q35" s="185">
        <v>0.47</v>
      </c>
    </row>
    <row r="36" spans="1:17" ht="22.5" customHeight="1" x14ac:dyDescent="0.25">
      <c r="A36" s="184">
        <v>33</v>
      </c>
      <c r="B36" s="193" t="s">
        <v>409</v>
      </c>
      <c r="C36" s="192">
        <v>6.5010000000000003</v>
      </c>
      <c r="D36" s="191">
        <v>13</v>
      </c>
      <c r="E36" s="191">
        <v>7</v>
      </c>
      <c r="F36" s="191">
        <v>0</v>
      </c>
      <c r="G36" s="191">
        <v>28</v>
      </c>
      <c r="H36" s="190">
        <v>275</v>
      </c>
      <c r="I36" s="190">
        <v>0</v>
      </c>
      <c r="J36" s="190">
        <v>480</v>
      </c>
      <c r="K36" s="189">
        <v>0.46429999999999999</v>
      </c>
      <c r="L36" s="188">
        <v>0.53849999999999998</v>
      </c>
      <c r="M36" s="188">
        <v>0</v>
      </c>
      <c r="N36" s="187">
        <v>42.3</v>
      </c>
      <c r="O36" s="186">
        <v>1.08</v>
      </c>
      <c r="P36" s="186">
        <v>0</v>
      </c>
      <c r="Q36" s="185">
        <v>0.47</v>
      </c>
    </row>
    <row r="37" spans="1:17" ht="22.5" customHeight="1" x14ac:dyDescent="0.25">
      <c r="A37" s="184">
        <v>34</v>
      </c>
      <c r="B37" s="193" t="s">
        <v>357</v>
      </c>
      <c r="C37" s="192">
        <v>3.6139999999999999</v>
      </c>
      <c r="D37" s="191">
        <v>3</v>
      </c>
      <c r="E37" s="191">
        <v>0</v>
      </c>
      <c r="F37" s="191">
        <v>1</v>
      </c>
      <c r="G37" s="191">
        <v>14</v>
      </c>
      <c r="H37" s="190">
        <v>0</v>
      </c>
      <c r="I37" s="190">
        <v>600</v>
      </c>
      <c r="J37" s="190">
        <v>1855</v>
      </c>
      <c r="K37" s="189">
        <v>0.21429999999999999</v>
      </c>
      <c r="L37" s="188">
        <v>0.33329999999999999</v>
      </c>
      <c r="M37" s="188">
        <v>0.33329999999999999</v>
      </c>
      <c r="N37" s="187">
        <v>166.02</v>
      </c>
      <c r="O37" s="186">
        <v>0.28000000000000003</v>
      </c>
      <c r="P37" s="186">
        <v>0.28000000000000003</v>
      </c>
      <c r="Q37" s="185">
        <v>0.44</v>
      </c>
    </row>
    <row r="38" spans="1:17" ht="22.5" customHeight="1" x14ac:dyDescent="0.25">
      <c r="A38" s="184">
        <v>35</v>
      </c>
      <c r="B38" s="193" t="s">
        <v>341</v>
      </c>
      <c r="C38" s="192">
        <v>0.96399999999999997</v>
      </c>
      <c r="D38" s="191">
        <v>2</v>
      </c>
      <c r="E38" s="191">
        <v>1</v>
      </c>
      <c r="F38" s="191">
        <v>0</v>
      </c>
      <c r="G38" s="191">
        <v>4</v>
      </c>
      <c r="H38" s="190">
        <v>25</v>
      </c>
      <c r="I38" s="190">
        <v>0</v>
      </c>
      <c r="J38" s="190">
        <v>35</v>
      </c>
      <c r="K38" s="189">
        <v>0.5</v>
      </c>
      <c r="L38" s="188">
        <v>0.5</v>
      </c>
      <c r="M38" s="188">
        <v>0</v>
      </c>
      <c r="N38" s="187">
        <v>25.93</v>
      </c>
      <c r="O38" s="186">
        <v>1.04</v>
      </c>
      <c r="P38" s="186">
        <v>0</v>
      </c>
      <c r="Q38" s="185">
        <v>0.42</v>
      </c>
    </row>
    <row r="39" spans="1:17" ht="22.5" customHeight="1" x14ac:dyDescent="0.25">
      <c r="A39" s="184">
        <v>36</v>
      </c>
      <c r="B39" s="193" t="s">
        <v>398</v>
      </c>
      <c r="C39" s="192">
        <v>5.7009999999999996</v>
      </c>
      <c r="D39" s="191">
        <v>9</v>
      </c>
      <c r="E39" s="191">
        <v>6</v>
      </c>
      <c r="F39" s="191">
        <v>0</v>
      </c>
      <c r="G39" s="191">
        <v>37</v>
      </c>
      <c r="H39" s="190">
        <v>500</v>
      </c>
      <c r="I39" s="190">
        <v>0</v>
      </c>
      <c r="J39" s="190">
        <v>910</v>
      </c>
      <c r="K39" s="189">
        <v>0.2432</v>
      </c>
      <c r="L39" s="188">
        <v>0.66669999999999996</v>
      </c>
      <c r="M39" s="188">
        <v>0</v>
      </c>
      <c r="N39" s="187">
        <v>87.7</v>
      </c>
      <c r="O39" s="186">
        <v>1.05</v>
      </c>
      <c r="P39" s="186">
        <v>0</v>
      </c>
      <c r="Q39" s="185">
        <v>0.41</v>
      </c>
    </row>
    <row r="40" spans="1:17" ht="22.5" customHeight="1" x14ac:dyDescent="0.25">
      <c r="A40" s="184">
        <v>37</v>
      </c>
      <c r="B40" s="193" t="s">
        <v>336</v>
      </c>
      <c r="C40" s="192">
        <v>5.4980000000000002</v>
      </c>
      <c r="D40" s="191">
        <v>16</v>
      </c>
      <c r="E40" s="191">
        <v>5</v>
      </c>
      <c r="F40" s="191">
        <v>0</v>
      </c>
      <c r="G40" s="191">
        <v>30</v>
      </c>
      <c r="H40" s="190">
        <v>325</v>
      </c>
      <c r="I40" s="190">
        <v>0</v>
      </c>
      <c r="J40" s="190">
        <v>1760</v>
      </c>
      <c r="K40" s="189">
        <v>0.5333</v>
      </c>
      <c r="L40" s="188">
        <v>0.3125</v>
      </c>
      <c r="M40" s="188">
        <v>0</v>
      </c>
      <c r="N40" s="187">
        <v>59.11</v>
      </c>
      <c r="O40" s="186">
        <v>0.91</v>
      </c>
      <c r="P40" s="186">
        <v>0</v>
      </c>
      <c r="Q40" s="185">
        <v>0.4</v>
      </c>
    </row>
    <row r="41" spans="1:17" ht="22.5" customHeight="1" x14ac:dyDescent="0.25">
      <c r="A41" s="184">
        <v>38</v>
      </c>
      <c r="B41" s="193" t="s">
        <v>354</v>
      </c>
      <c r="C41" s="192">
        <v>5.5529999999999999</v>
      </c>
      <c r="D41" s="191">
        <v>4</v>
      </c>
      <c r="E41" s="191">
        <v>0</v>
      </c>
      <c r="F41" s="191">
        <v>1</v>
      </c>
      <c r="G41" s="191">
        <v>9</v>
      </c>
      <c r="H41" s="190">
        <v>0</v>
      </c>
      <c r="I41" s="190">
        <v>120</v>
      </c>
      <c r="J41" s="190">
        <v>155</v>
      </c>
      <c r="K41" s="189">
        <v>0.44440000000000002</v>
      </c>
      <c r="L41" s="188">
        <v>0.25</v>
      </c>
      <c r="M41" s="188">
        <v>0.25</v>
      </c>
      <c r="N41" s="187">
        <v>21.61</v>
      </c>
      <c r="O41" s="186">
        <v>0.18</v>
      </c>
      <c r="P41" s="186">
        <v>0.18</v>
      </c>
      <c r="Q41" s="185">
        <v>0.4</v>
      </c>
    </row>
    <row r="42" spans="1:17" ht="22.5" customHeight="1" x14ac:dyDescent="0.25">
      <c r="A42" s="184">
        <v>39</v>
      </c>
      <c r="B42" s="193" t="s">
        <v>269</v>
      </c>
      <c r="C42" s="192">
        <v>6.5430000000000001</v>
      </c>
      <c r="D42" s="191">
        <v>11</v>
      </c>
      <c r="E42" s="191">
        <v>4</v>
      </c>
      <c r="F42" s="191">
        <v>0</v>
      </c>
      <c r="G42" s="191">
        <v>26</v>
      </c>
      <c r="H42" s="190">
        <v>2030</v>
      </c>
      <c r="I42" s="190">
        <v>0</v>
      </c>
      <c r="J42" s="190">
        <v>3280</v>
      </c>
      <c r="K42" s="189">
        <v>0.42309999999999998</v>
      </c>
      <c r="L42" s="188">
        <v>0.36359999999999998</v>
      </c>
      <c r="M42" s="188">
        <v>0</v>
      </c>
      <c r="N42" s="187">
        <v>310.26</v>
      </c>
      <c r="O42" s="186">
        <v>0.61</v>
      </c>
      <c r="P42" s="186">
        <v>0</v>
      </c>
      <c r="Q42" s="185">
        <v>0.39</v>
      </c>
    </row>
    <row r="43" spans="1:17" ht="22.5" customHeight="1" x14ac:dyDescent="0.25">
      <c r="A43" s="184">
        <v>40</v>
      </c>
      <c r="B43" s="193" t="s">
        <v>286</v>
      </c>
      <c r="C43" s="192">
        <v>7.7539999999999996</v>
      </c>
      <c r="D43" s="191">
        <v>15</v>
      </c>
      <c r="E43" s="191">
        <v>7</v>
      </c>
      <c r="F43" s="191">
        <v>0</v>
      </c>
      <c r="G43" s="191">
        <v>40</v>
      </c>
      <c r="H43" s="190">
        <v>770</v>
      </c>
      <c r="I43" s="190">
        <v>0</v>
      </c>
      <c r="J43" s="190">
        <v>1155</v>
      </c>
      <c r="K43" s="189">
        <v>0.375</v>
      </c>
      <c r="L43" s="188">
        <v>0.4667</v>
      </c>
      <c r="M43" s="188">
        <v>0</v>
      </c>
      <c r="N43" s="187">
        <v>99.3</v>
      </c>
      <c r="O43" s="186">
        <v>0.9</v>
      </c>
      <c r="P43" s="186">
        <v>0</v>
      </c>
      <c r="Q43" s="185">
        <v>0.37</v>
      </c>
    </row>
    <row r="44" spans="1:17" ht="22.5" customHeight="1" x14ac:dyDescent="0.25">
      <c r="A44" s="184">
        <v>41</v>
      </c>
      <c r="B44" s="193" t="s">
        <v>326</v>
      </c>
      <c r="C44" s="192">
        <v>6.5060000000000002</v>
      </c>
      <c r="D44" s="191">
        <v>6</v>
      </c>
      <c r="E44" s="191">
        <v>3</v>
      </c>
      <c r="F44" s="191">
        <v>0</v>
      </c>
      <c r="G44" s="191">
        <v>17</v>
      </c>
      <c r="H44" s="190">
        <v>2100</v>
      </c>
      <c r="I44" s="190">
        <v>0</v>
      </c>
      <c r="J44" s="190">
        <v>2335</v>
      </c>
      <c r="K44" s="189">
        <v>0.35289999999999999</v>
      </c>
      <c r="L44" s="188">
        <v>0.5</v>
      </c>
      <c r="M44" s="188">
        <v>0</v>
      </c>
      <c r="N44" s="187">
        <v>322.77999999999997</v>
      </c>
      <c r="O44" s="186">
        <v>0.46</v>
      </c>
      <c r="P44" s="186">
        <v>0</v>
      </c>
      <c r="Q44" s="185">
        <v>0.35</v>
      </c>
    </row>
    <row r="45" spans="1:17" ht="22.5" customHeight="1" x14ac:dyDescent="0.25">
      <c r="A45" s="184">
        <v>42</v>
      </c>
      <c r="B45" s="193" t="s">
        <v>299</v>
      </c>
      <c r="C45" s="192">
        <v>7.3209999999999997</v>
      </c>
      <c r="D45" s="191">
        <v>10</v>
      </c>
      <c r="E45" s="191">
        <v>6</v>
      </c>
      <c r="F45" s="191">
        <v>0</v>
      </c>
      <c r="G45" s="191">
        <v>29</v>
      </c>
      <c r="H45" s="190">
        <v>230</v>
      </c>
      <c r="I45" s="190">
        <v>0</v>
      </c>
      <c r="J45" s="190">
        <v>300</v>
      </c>
      <c r="K45" s="189">
        <v>0.3448</v>
      </c>
      <c r="L45" s="188">
        <v>0.6</v>
      </c>
      <c r="M45" s="188">
        <v>0</v>
      </c>
      <c r="N45" s="187">
        <v>31.42</v>
      </c>
      <c r="O45" s="186">
        <v>0.82</v>
      </c>
      <c r="P45" s="186">
        <v>0</v>
      </c>
      <c r="Q45" s="185">
        <v>0.34</v>
      </c>
    </row>
    <row r="46" spans="1:17" ht="22.5" customHeight="1" x14ac:dyDescent="0.25">
      <c r="A46" s="184">
        <v>43</v>
      </c>
      <c r="B46" s="193" t="s">
        <v>375</v>
      </c>
      <c r="C46" s="192">
        <v>8.6690000000000005</v>
      </c>
      <c r="D46" s="191">
        <v>16</v>
      </c>
      <c r="E46" s="191">
        <v>5</v>
      </c>
      <c r="F46" s="191">
        <v>0</v>
      </c>
      <c r="G46" s="191">
        <v>34</v>
      </c>
      <c r="H46" s="190">
        <v>750</v>
      </c>
      <c r="I46" s="190">
        <v>0</v>
      </c>
      <c r="J46" s="190">
        <v>3095</v>
      </c>
      <c r="K46" s="189">
        <v>0.47060000000000002</v>
      </c>
      <c r="L46" s="188">
        <v>0.3125</v>
      </c>
      <c r="M46" s="188">
        <v>0</v>
      </c>
      <c r="N46" s="187">
        <v>86.52</v>
      </c>
      <c r="O46" s="186">
        <v>0.57999999999999996</v>
      </c>
      <c r="P46" s="186">
        <v>0</v>
      </c>
      <c r="Q46" s="185">
        <v>0.34</v>
      </c>
    </row>
    <row r="47" spans="1:17" ht="22.5" customHeight="1" x14ac:dyDescent="0.25">
      <c r="A47" s="184">
        <v>44</v>
      </c>
      <c r="B47" s="193" t="s">
        <v>420</v>
      </c>
      <c r="C47" s="192">
        <v>5.9189999999999996</v>
      </c>
      <c r="D47" s="191">
        <v>4</v>
      </c>
      <c r="E47" s="191">
        <v>4</v>
      </c>
      <c r="F47" s="191">
        <v>0</v>
      </c>
      <c r="G47" s="191">
        <v>30</v>
      </c>
      <c r="H47" s="190">
        <v>300</v>
      </c>
      <c r="I47" s="190">
        <v>0</v>
      </c>
      <c r="J47" s="190">
        <v>300</v>
      </c>
      <c r="K47" s="189">
        <v>0.1333</v>
      </c>
      <c r="L47" s="188">
        <v>1</v>
      </c>
      <c r="M47" s="188">
        <v>0</v>
      </c>
      <c r="N47" s="187">
        <v>50.68</v>
      </c>
      <c r="O47" s="186">
        <v>0.68</v>
      </c>
      <c r="P47" s="186">
        <v>0</v>
      </c>
      <c r="Q47" s="185">
        <v>0.34</v>
      </c>
    </row>
    <row r="48" spans="1:17" ht="22.5" customHeight="1" x14ac:dyDescent="0.25">
      <c r="A48" s="184">
        <v>45</v>
      </c>
      <c r="B48" s="193" t="s">
        <v>434</v>
      </c>
      <c r="C48" s="192">
        <v>6.2530000000000001</v>
      </c>
      <c r="D48" s="191">
        <v>9</v>
      </c>
      <c r="E48" s="191">
        <v>6</v>
      </c>
      <c r="F48" s="191">
        <v>0</v>
      </c>
      <c r="G48" s="191">
        <v>27</v>
      </c>
      <c r="H48" s="190">
        <v>155</v>
      </c>
      <c r="I48" s="190">
        <v>0</v>
      </c>
      <c r="J48" s="190">
        <v>330</v>
      </c>
      <c r="K48" s="189">
        <v>0.33329999999999999</v>
      </c>
      <c r="L48" s="188">
        <v>0.66669999999999996</v>
      </c>
      <c r="M48" s="188">
        <v>0</v>
      </c>
      <c r="N48" s="187">
        <v>24.79</v>
      </c>
      <c r="O48" s="186">
        <v>0.96</v>
      </c>
      <c r="P48" s="186">
        <v>0</v>
      </c>
      <c r="Q48" s="185">
        <v>0.34</v>
      </c>
    </row>
    <row r="49" spans="1:17" ht="22.5" customHeight="1" x14ac:dyDescent="0.25">
      <c r="A49" s="184">
        <v>46</v>
      </c>
      <c r="B49" s="193" t="s">
        <v>401</v>
      </c>
      <c r="C49" s="192">
        <v>6.532</v>
      </c>
      <c r="D49" s="191">
        <v>15</v>
      </c>
      <c r="E49" s="191">
        <v>5</v>
      </c>
      <c r="F49" s="191">
        <v>0</v>
      </c>
      <c r="G49" s="191">
        <v>35</v>
      </c>
      <c r="H49" s="190">
        <v>340</v>
      </c>
      <c r="I49" s="190">
        <v>0</v>
      </c>
      <c r="J49" s="190">
        <v>630</v>
      </c>
      <c r="K49" s="189">
        <v>0.42859999999999998</v>
      </c>
      <c r="L49" s="188">
        <v>0.33329999999999999</v>
      </c>
      <c r="M49" s="188">
        <v>0</v>
      </c>
      <c r="N49" s="187">
        <v>52.05</v>
      </c>
      <c r="O49" s="186">
        <v>0.77</v>
      </c>
      <c r="P49" s="186">
        <v>0</v>
      </c>
      <c r="Q49" s="185">
        <v>0.32</v>
      </c>
    </row>
    <row r="50" spans="1:17" ht="22.5" customHeight="1" x14ac:dyDescent="0.25">
      <c r="A50" s="184">
        <v>47</v>
      </c>
      <c r="B50" s="193" t="s">
        <v>369</v>
      </c>
      <c r="C50" s="192">
        <v>6.4509999999999996</v>
      </c>
      <c r="D50" s="191">
        <v>10</v>
      </c>
      <c r="E50" s="191">
        <v>6</v>
      </c>
      <c r="F50" s="191">
        <v>0</v>
      </c>
      <c r="G50" s="191">
        <v>37</v>
      </c>
      <c r="H50" s="190">
        <v>170</v>
      </c>
      <c r="I50" s="190">
        <v>0</v>
      </c>
      <c r="J50" s="190">
        <v>350</v>
      </c>
      <c r="K50" s="189">
        <v>0.27029999999999998</v>
      </c>
      <c r="L50" s="188">
        <v>0.6</v>
      </c>
      <c r="M50" s="188">
        <v>0</v>
      </c>
      <c r="N50" s="187">
        <v>26.35</v>
      </c>
      <c r="O50" s="186">
        <v>0.93</v>
      </c>
      <c r="P50" s="186">
        <v>0</v>
      </c>
      <c r="Q50" s="185">
        <v>0.31</v>
      </c>
    </row>
    <row r="51" spans="1:17" ht="22.5" customHeight="1" x14ac:dyDescent="0.25">
      <c r="A51" s="184">
        <v>48</v>
      </c>
      <c r="B51" s="193" t="s">
        <v>379</v>
      </c>
      <c r="C51" s="192">
        <v>5.8070000000000004</v>
      </c>
      <c r="D51" s="191">
        <v>6</v>
      </c>
      <c r="E51" s="191">
        <v>4</v>
      </c>
      <c r="F51" s="191">
        <v>0</v>
      </c>
      <c r="G51" s="191">
        <v>18</v>
      </c>
      <c r="H51" s="190">
        <v>170</v>
      </c>
      <c r="I51" s="190">
        <v>0</v>
      </c>
      <c r="J51" s="190">
        <v>205</v>
      </c>
      <c r="K51" s="189">
        <v>0.33329999999999999</v>
      </c>
      <c r="L51" s="188">
        <v>0.66669999999999996</v>
      </c>
      <c r="M51" s="188">
        <v>0</v>
      </c>
      <c r="N51" s="187">
        <v>29.28</v>
      </c>
      <c r="O51" s="186">
        <v>0.69</v>
      </c>
      <c r="P51" s="186">
        <v>0</v>
      </c>
      <c r="Q51" s="185">
        <v>0.31</v>
      </c>
    </row>
    <row r="52" spans="1:17" ht="22.5" customHeight="1" x14ac:dyDescent="0.25">
      <c r="A52" s="184">
        <v>49</v>
      </c>
      <c r="B52" s="193" t="s">
        <v>350</v>
      </c>
      <c r="C52" s="192">
        <v>8.57</v>
      </c>
      <c r="D52" s="191">
        <v>16</v>
      </c>
      <c r="E52" s="191">
        <v>8</v>
      </c>
      <c r="F52" s="191">
        <v>0</v>
      </c>
      <c r="G52" s="191">
        <v>56</v>
      </c>
      <c r="H52" s="190">
        <v>440</v>
      </c>
      <c r="I52" s="190">
        <v>0</v>
      </c>
      <c r="J52" s="190">
        <v>741</v>
      </c>
      <c r="K52" s="189">
        <v>0.28570000000000001</v>
      </c>
      <c r="L52" s="188">
        <v>0.5</v>
      </c>
      <c r="M52" s="188">
        <v>0</v>
      </c>
      <c r="N52" s="187">
        <v>51.34</v>
      </c>
      <c r="O52" s="186">
        <v>0.93</v>
      </c>
      <c r="P52" s="186">
        <v>0</v>
      </c>
      <c r="Q52" s="185">
        <v>0.28999999999999998</v>
      </c>
    </row>
    <row r="53" spans="1:17" ht="22.5" customHeight="1" x14ac:dyDescent="0.25">
      <c r="A53" s="184">
        <v>50</v>
      </c>
      <c r="B53" s="193" t="s">
        <v>322</v>
      </c>
      <c r="C53" s="192">
        <v>1.4990000000000001</v>
      </c>
      <c r="D53" s="191">
        <v>2</v>
      </c>
      <c r="E53" s="191">
        <v>1</v>
      </c>
      <c r="F53" s="191">
        <v>0</v>
      </c>
      <c r="G53" s="191">
        <v>5</v>
      </c>
      <c r="H53" s="190">
        <v>10</v>
      </c>
      <c r="I53" s="190">
        <v>0</v>
      </c>
      <c r="J53" s="190">
        <v>35</v>
      </c>
      <c r="K53" s="189">
        <v>0.4</v>
      </c>
      <c r="L53" s="188">
        <v>0.5</v>
      </c>
      <c r="M53" s="188">
        <v>0</v>
      </c>
      <c r="N53" s="187">
        <v>6.67</v>
      </c>
      <c r="O53" s="186">
        <v>0.67</v>
      </c>
      <c r="P53" s="186">
        <v>0</v>
      </c>
      <c r="Q53" s="185">
        <v>0.26</v>
      </c>
    </row>
    <row r="54" spans="1:17" ht="22.5" customHeight="1" x14ac:dyDescent="0.25">
      <c r="A54" s="184">
        <v>51</v>
      </c>
      <c r="B54" s="193" t="s">
        <v>290</v>
      </c>
      <c r="C54" s="192">
        <v>2.7930000000000001</v>
      </c>
      <c r="D54" s="191">
        <v>6</v>
      </c>
      <c r="E54" s="191">
        <v>2</v>
      </c>
      <c r="F54" s="191">
        <v>0</v>
      </c>
      <c r="G54" s="191">
        <v>15</v>
      </c>
      <c r="H54" s="190">
        <v>55</v>
      </c>
      <c r="I54" s="190">
        <v>0</v>
      </c>
      <c r="J54" s="190">
        <v>170</v>
      </c>
      <c r="K54" s="189">
        <v>0.4</v>
      </c>
      <c r="L54" s="188">
        <v>0.33329999999999999</v>
      </c>
      <c r="M54" s="188">
        <v>0</v>
      </c>
      <c r="N54" s="187">
        <v>19.690000000000001</v>
      </c>
      <c r="O54" s="186">
        <v>0.72</v>
      </c>
      <c r="P54" s="186">
        <v>0</v>
      </c>
      <c r="Q54" s="185">
        <v>0.25</v>
      </c>
    </row>
    <row r="55" spans="1:17" ht="22.5" customHeight="1" x14ac:dyDescent="0.25">
      <c r="A55" s="184">
        <v>52</v>
      </c>
      <c r="B55" s="193" t="s">
        <v>378</v>
      </c>
      <c r="C55" s="192">
        <v>7.444</v>
      </c>
      <c r="D55" s="191">
        <v>15</v>
      </c>
      <c r="E55" s="191">
        <v>5</v>
      </c>
      <c r="F55" s="191">
        <v>0</v>
      </c>
      <c r="G55" s="191">
        <v>38</v>
      </c>
      <c r="H55" s="190">
        <v>200</v>
      </c>
      <c r="I55" s="190">
        <v>0</v>
      </c>
      <c r="J55" s="190">
        <v>955</v>
      </c>
      <c r="K55" s="189">
        <v>0.3947</v>
      </c>
      <c r="L55" s="188">
        <v>0.33329999999999999</v>
      </c>
      <c r="M55" s="188">
        <v>0</v>
      </c>
      <c r="N55" s="187">
        <v>26.87</v>
      </c>
      <c r="O55" s="186">
        <v>0.67</v>
      </c>
      <c r="P55" s="186">
        <v>0</v>
      </c>
      <c r="Q55" s="185">
        <v>0.25</v>
      </c>
    </row>
    <row r="56" spans="1:17" ht="22.5" customHeight="1" x14ac:dyDescent="0.25">
      <c r="A56" s="184">
        <v>53</v>
      </c>
      <c r="B56" s="193" t="s">
        <v>406</v>
      </c>
      <c r="C56" s="192">
        <v>7.0970000000000004</v>
      </c>
      <c r="D56" s="191">
        <v>16</v>
      </c>
      <c r="E56" s="191">
        <v>4</v>
      </c>
      <c r="F56" s="191">
        <v>0</v>
      </c>
      <c r="G56" s="191">
        <v>39</v>
      </c>
      <c r="H56" s="190">
        <v>180</v>
      </c>
      <c r="I56" s="190">
        <v>0</v>
      </c>
      <c r="J56" s="190">
        <v>580</v>
      </c>
      <c r="K56" s="189">
        <v>0.4103</v>
      </c>
      <c r="L56" s="188">
        <v>0.25</v>
      </c>
      <c r="M56" s="188">
        <v>0</v>
      </c>
      <c r="N56" s="187">
        <v>25.36</v>
      </c>
      <c r="O56" s="186">
        <v>0.56000000000000005</v>
      </c>
      <c r="P56" s="186">
        <v>0</v>
      </c>
      <c r="Q56" s="185">
        <v>0.22</v>
      </c>
    </row>
    <row r="57" spans="1:17" ht="22.5" customHeight="1" x14ac:dyDescent="0.25">
      <c r="A57" s="184">
        <v>54</v>
      </c>
      <c r="B57" s="193" t="s">
        <v>280</v>
      </c>
      <c r="C57" s="192">
        <v>6.4459999999999997</v>
      </c>
      <c r="D57" s="191">
        <v>14</v>
      </c>
      <c r="E57" s="191">
        <v>4</v>
      </c>
      <c r="F57" s="191">
        <v>0</v>
      </c>
      <c r="G57" s="191">
        <v>42</v>
      </c>
      <c r="H57" s="190">
        <v>280</v>
      </c>
      <c r="I57" s="190">
        <v>0</v>
      </c>
      <c r="J57" s="190">
        <v>815</v>
      </c>
      <c r="K57" s="189">
        <v>0.33329999999999999</v>
      </c>
      <c r="L57" s="188">
        <v>0.28570000000000001</v>
      </c>
      <c r="M57" s="188">
        <v>0</v>
      </c>
      <c r="N57" s="187">
        <v>43.44</v>
      </c>
      <c r="O57" s="186">
        <v>0.62</v>
      </c>
      <c r="P57" s="186">
        <v>0</v>
      </c>
      <c r="Q57" s="185">
        <v>0.2</v>
      </c>
    </row>
    <row r="58" spans="1:17" ht="22.5" customHeight="1" x14ac:dyDescent="0.25">
      <c r="A58" s="184">
        <v>55</v>
      </c>
      <c r="B58" s="193" t="s">
        <v>316</v>
      </c>
      <c r="C58" s="192">
        <v>6.2359999999999998</v>
      </c>
      <c r="D58" s="191">
        <v>6</v>
      </c>
      <c r="E58" s="191">
        <v>1</v>
      </c>
      <c r="F58" s="191">
        <v>0</v>
      </c>
      <c r="G58" s="191">
        <v>14</v>
      </c>
      <c r="H58" s="190">
        <v>50</v>
      </c>
      <c r="I58" s="190">
        <v>0</v>
      </c>
      <c r="J58" s="190">
        <v>725</v>
      </c>
      <c r="K58" s="189">
        <v>0.42859999999999998</v>
      </c>
      <c r="L58" s="188">
        <v>0.16669999999999999</v>
      </c>
      <c r="M58" s="188">
        <v>0</v>
      </c>
      <c r="N58" s="187">
        <v>8.02</v>
      </c>
      <c r="O58" s="186">
        <v>0.16</v>
      </c>
      <c r="P58" s="186">
        <v>0</v>
      </c>
      <c r="Q58" s="185">
        <v>0.18</v>
      </c>
    </row>
    <row r="59" spans="1:17" ht="22.5" customHeight="1" x14ac:dyDescent="0.25">
      <c r="A59" s="184">
        <v>56</v>
      </c>
      <c r="B59" s="193" t="s">
        <v>405</v>
      </c>
      <c r="C59" s="192">
        <v>6.4180000000000001</v>
      </c>
      <c r="D59" s="191">
        <v>6</v>
      </c>
      <c r="E59" s="191">
        <v>3</v>
      </c>
      <c r="F59" s="191">
        <v>0</v>
      </c>
      <c r="G59" s="191">
        <v>33</v>
      </c>
      <c r="H59" s="190">
        <v>125</v>
      </c>
      <c r="I59" s="190">
        <v>0</v>
      </c>
      <c r="J59" s="190">
        <v>275</v>
      </c>
      <c r="K59" s="189">
        <v>0.18179999999999999</v>
      </c>
      <c r="L59" s="188">
        <v>0.5</v>
      </c>
      <c r="M59" s="188">
        <v>0</v>
      </c>
      <c r="N59" s="187">
        <v>19.48</v>
      </c>
      <c r="O59" s="186">
        <v>0.47</v>
      </c>
      <c r="P59" s="186">
        <v>0</v>
      </c>
      <c r="Q59" s="185">
        <v>0.16</v>
      </c>
    </row>
    <row r="60" spans="1:17" ht="22.5" customHeight="1" x14ac:dyDescent="0.25">
      <c r="A60" s="184">
        <v>57</v>
      </c>
      <c r="B60" s="193" t="s">
        <v>385</v>
      </c>
      <c r="C60" s="192">
        <v>13.381</v>
      </c>
      <c r="D60" s="191">
        <v>13</v>
      </c>
      <c r="E60" s="191">
        <v>4</v>
      </c>
      <c r="F60" s="191">
        <v>0</v>
      </c>
      <c r="G60" s="191">
        <v>52</v>
      </c>
      <c r="H60" s="190">
        <v>225</v>
      </c>
      <c r="I60" s="190">
        <v>0</v>
      </c>
      <c r="J60" s="190">
        <v>555</v>
      </c>
      <c r="K60" s="189">
        <v>0.25</v>
      </c>
      <c r="L60" s="188">
        <v>0.30769999999999997</v>
      </c>
      <c r="M60" s="188">
        <v>0</v>
      </c>
      <c r="N60" s="187">
        <v>16.809999999999999</v>
      </c>
      <c r="O60" s="186">
        <v>0.3</v>
      </c>
      <c r="P60" s="186">
        <v>0</v>
      </c>
      <c r="Q60" s="185">
        <v>0.11</v>
      </c>
    </row>
    <row r="61" spans="1:17" ht="22.5" customHeight="1" x14ac:dyDescent="0.25">
      <c r="A61" s="184">
        <v>58</v>
      </c>
      <c r="B61" s="193" t="s">
        <v>291</v>
      </c>
      <c r="C61" s="192">
        <v>3.0470000000000002</v>
      </c>
      <c r="D61" s="191">
        <v>5</v>
      </c>
      <c r="E61" s="191">
        <v>1</v>
      </c>
      <c r="F61" s="191">
        <v>0</v>
      </c>
      <c r="G61" s="191">
        <v>17</v>
      </c>
      <c r="H61" s="190">
        <v>30</v>
      </c>
      <c r="I61" s="190">
        <v>0</v>
      </c>
      <c r="J61" s="190">
        <v>225</v>
      </c>
      <c r="K61" s="189">
        <v>0.29409999999999997</v>
      </c>
      <c r="L61" s="188">
        <v>0.2</v>
      </c>
      <c r="M61" s="188">
        <v>0</v>
      </c>
      <c r="N61" s="187">
        <v>9.85</v>
      </c>
      <c r="O61" s="186">
        <v>0.33</v>
      </c>
      <c r="P61" s="186">
        <v>0</v>
      </c>
      <c r="Q61" s="185">
        <v>0.11</v>
      </c>
    </row>
    <row r="62" spans="1:17" ht="22.5" customHeight="1" x14ac:dyDescent="0.25">
      <c r="A62" s="184">
        <v>59</v>
      </c>
      <c r="B62" s="193" t="s">
        <v>353</v>
      </c>
      <c r="C62" s="192">
        <v>1.784</v>
      </c>
      <c r="D62" s="191">
        <v>1</v>
      </c>
      <c r="E62" s="191">
        <v>0</v>
      </c>
      <c r="F62" s="191">
        <v>0</v>
      </c>
      <c r="G62" s="191">
        <v>3</v>
      </c>
      <c r="H62" s="190">
        <v>0</v>
      </c>
      <c r="I62" s="190">
        <v>0</v>
      </c>
      <c r="J62" s="190">
        <v>50</v>
      </c>
      <c r="K62" s="189">
        <v>0.33329999999999999</v>
      </c>
      <c r="L62" s="188">
        <v>0</v>
      </c>
      <c r="M62" s="188">
        <v>0</v>
      </c>
      <c r="N62" s="187">
        <v>0</v>
      </c>
      <c r="O62" s="186">
        <v>0</v>
      </c>
      <c r="P62" s="186">
        <v>0</v>
      </c>
      <c r="Q62" s="185">
        <v>7.0000000000000007E-2</v>
      </c>
    </row>
    <row r="63" spans="1:17" ht="22.5" customHeight="1" x14ac:dyDescent="0.25">
      <c r="A63" s="184">
        <v>60</v>
      </c>
      <c r="B63" s="193" t="s">
        <v>295</v>
      </c>
      <c r="C63" s="192">
        <v>0.20100000000000001</v>
      </c>
      <c r="D63" s="191">
        <v>0</v>
      </c>
      <c r="E63" s="191">
        <v>0</v>
      </c>
      <c r="F63" s="191">
        <v>0</v>
      </c>
      <c r="G63" s="191">
        <v>0</v>
      </c>
      <c r="H63" s="190">
        <v>0</v>
      </c>
      <c r="I63" s="190">
        <v>0</v>
      </c>
      <c r="J63" s="190">
        <v>0</v>
      </c>
      <c r="K63" s="189">
        <v>0</v>
      </c>
      <c r="L63" s="188">
        <v>0</v>
      </c>
      <c r="M63" s="188">
        <v>0</v>
      </c>
      <c r="N63" s="187">
        <v>0</v>
      </c>
      <c r="O63" s="186">
        <v>0</v>
      </c>
      <c r="P63" s="186">
        <v>0</v>
      </c>
      <c r="Q63" s="185">
        <v>0.02</v>
      </c>
    </row>
    <row r="64" spans="1:17" ht="22.5" customHeight="1" x14ac:dyDescent="0.25">
      <c r="A64" s="184">
        <v>61</v>
      </c>
      <c r="B64" s="193" t="s">
        <v>370</v>
      </c>
      <c r="C64" s="192">
        <v>0.69</v>
      </c>
      <c r="D64" s="191">
        <v>0</v>
      </c>
      <c r="E64" s="191">
        <v>0</v>
      </c>
      <c r="F64" s="191">
        <v>0</v>
      </c>
      <c r="G64" s="191">
        <v>3</v>
      </c>
      <c r="H64" s="190">
        <v>0</v>
      </c>
      <c r="I64" s="190">
        <v>0</v>
      </c>
      <c r="J64" s="190">
        <v>0</v>
      </c>
      <c r="K64" s="189">
        <v>0</v>
      </c>
      <c r="L64" s="188">
        <v>0</v>
      </c>
      <c r="M64" s="188">
        <v>0</v>
      </c>
      <c r="N64" s="187">
        <v>0</v>
      </c>
      <c r="O64" s="186">
        <v>0</v>
      </c>
      <c r="P64" s="186">
        <v>0</v>
      </c>
      <c r="Q64" s="185">
        <v>0.02</v>
      </c>
    </row>
    <row r="65" spans="1:17" ht="22.5" customHeight="1" x14ac:dyDescent="0.25">
      <c r="A65" s="184">
        <v>62</v>
      </c>
      <c r="B65" s="193" t="s">
        <v>408</v>
      </c>
      <c r="C65" s="192">
        <v>8.2000000000000003E-2</v>
      </c>
      <c r="D65" s="191">
        <v>0</v>
      </c>
      <c r="E65" s="191">
        <v>0</v>
      </c>
      <c r="F65" s="191">
        <v>0</v>
      </c>
      <c r="G65" s="191">
        <v>1</v>
      </c>
      <c r="H65" s="190">
        <v>0</v>
      </c>
      <c r="I65" s="190">
        <v>0</v>
      </c>
      <c r="J65" s="190">
        <v>0</v>
      </c>
      <c r="K65" s="189">
        <v>0</v>
      </c>
      <c r="L65" s="188">
        <v>0</v>
      </c>
      <c r="M65" s="188">
        <v>0</v>
      </c>
      <c r="N65" s="187">
        <v>0</v>
      </c>
      <c r="O65" s="186">
        <v>0</v>
      </c>
      <c r="P65" s="186">
        <v>0</v>
      </c>
      <c r="Q65" s="185">
        <v>0.02</v>
      </c>
    </row>
    <row r="66" spans="1:17" ht="22.5" customHeight="1" x14ac:dyDescent="0.25">
      <c r="A66" s="184" t="s">
        <v>171</v>
      </c>
      <c r="B66" s="183" t="s">
        <v>3</v>
      </c>
      <c r="C66" s="182">
        <v>359.899</v>
      </c>
      <c r="D66" s="181">
        <v>626</v>
      </c>
      <c r="E66" s="181">
        <v>303</v>
      </c>
      <c r="F66" s="181">
        <v>31</v>
      </c>
      <c r="G66" s="200">
        <v>1662</v>
      </c>
      <c r="H66" s="180">
        <v>24915</v>
      </c>
      <c r="I66" s="180">
        <v>5426</v>
      </c>
      <c r="J66" s="180">
        <v>51989</v>
      </c>
      <c r="K66" s="179">
        <v>0.37669999999999998</v>
      </c>
      <c r="L66" s="178">
        <v>0.53349999999999997</v>
      </c>
      <c r="M66" s="178">
        <v>9.6000000000000002E-2</v>
      </c>
      <c r="N66" s="177">
        <v>84.3</v>
      </c>
      <c r="O66" s="176">
        <v>0.93</v>
      </c>
      <c r="P66" s="176">
        <v>0.09</v>
      </c>
      <c r="Q66" s="175" t="s">
        <v>171</v>
      </c>
    </row>
  </sheetData>
  <sortState ref="B3:R64">
    <sortCondition descending="1" ref="Q3"/>
  </sortState>
  <mergeCells count="3">
    <mergeCell ref="F1:L1"/>
    <mergeCell ref="A2:A3"/>
    <mergeCell ref="B2:B3"/>
  </mergeCells>
  <pageMargins left="0.25" right="0.25" top="0.25" bottom="0.5" header="0.25" footer="0.25"/>
  <pageSetup orientation="portrait" cellComments="atEnd"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rgb="FFFF0000"/>
  </sheetPr>
  <dimension ref="A1:Q66"/>
  <sheetViews>
    <sheetView workbookViewId="0">
      <selection sqref="A1:Q22"/>
    </sheetView>
  </sheetViews>
  <sheetFormatPr defaultRowHeight="22.5" customHeight="1" x14ac:dyDescent="0.25"/>
  <cols>
    <col min="1" max="1" width="6" style="93" bestFit="1" customWidth="1"/>
    <col min="2" max="2" width="22.42578125" style="94" bestFit="1" customWidth="1"/>
    <col min="3" max="3" width="8.28515625" style="93" bestFit="1" customWidth="1"/>
    <col min="4" max="4" width="6" style="93" bestFit="1" customWidth="1"/>
    <col min="5" max="5" width="10.28515625" style="93" bestFit="1" customWidth="1"/>
    <col min="6" max="6" width="10.42578125" style="93" bestFit="1" customWidth="1"/>
    <col min="7" max="7" width="8.42578125" style="93" bestFit="1" customWidth="1"/>
    <col min="8" max="8" width="13.42578125" style="93" bestFit="1" customWidth="1"/>
    <col min="9" max="9" width="12" style="93" bestFit="1" customWidth="1"/>
    <col min="10" max="11" width="13.42578125" style="93" bestFit="1" customWidth="1"/>
    <col min="12" max="12" width="11.42578125" style="93" bestFit="1" customWidth="1"/>
    <col min="13" max="13" width="10.42578125" style="93" bestFit="1" customWidth="1"/>
    <col min="14" max="14" width="11.85546875" style="93" bestFit="1" customWidth="1"/>
    <col min="15" max="15" width="11.42578125" style="93" bestFit="1" customWidth="1"/>
    <col min="16" max="16" width="10.42578125" style="93" bestFit="1" customWidth="1"/>
    <col min="17" max="17" width="12.28515625" style="93" bestFit="1" customWidth="1"/>
    <col min="18" max="16384" width="9.140625" style="93"/>
  </cols>
  <sheetData>
    <row r="1" spans="1:17" ht="22.5" customHeight="1" x14ac:dyDescent="0.25">
      <c r="F1" s="610"/>
      <c r="G1" s="610"/>
      <c r="H1" s="610"/>
      <c r="I1" s="610"/>
      <c r="J1" s="610"/>
      <c r="K1" s="610"/>
      <c r="L1" s="610"/>
    </row>
    <row r="2" spans="1:17" ht="22.5" customHeight="1" x14ac:dyDescent="0.25">
      <c r="A2" s="606" t="s">
        <v>172</v>
      </c>
      <c r="B2" s="608" t="s">
        <v>7</v>
      </c>
      <c r="C2" s="199" t="s">
        <v>173</v>
      </c>
      <c r="D2" s="198" t="s">
        <v>3</v>
      </c>
      <c r="E2" s="198" t="s">
        <v>176</v>
      </c>
      <c r="F2" s="198" t="s">
        <v>166</v>
      </c>
      <c r="G2" s="198" t="s">
        <v>8</v>
      </c>
      <c r="H2" s="198" t="s">
        <v>176</v>
      </c>
      <c r="I2" s="198" t="s">
        <v>166</v>
      </c>
      <c r="J2" s="198" t="s">
        <v>3</v>
      </c>
      <c r="K2" s="198" t="s">
        <v>21</v>
      </c>
      <c r="L2" s="198" t="s">
        <v>164</v>
      </c>
      <c r="M2" s="198" t="s">
        <v>166</v>
      </c>
      <c r="N2" s="198" t="s">
        <v>164</v>
      </c>
      <c r="O2" s="198" t="s">
        <v>164</v>
      </c>
      <c r="P2" s="198" t="s">
        <v>166</v>
      </c>
      <c r="Q2" s="197" t="s">
        <v>169</v>
      </c>
    </row>
    <row r="3" spans="1:17" ht="22.5" customHeight="1" x14ac:dyDescent="0.25">
      <c r="A3" s="607"/>
      <c r="B3" s="609"/>
      <c r="C3" s="196" t="s">
        <v>174</v>
      </c>
      <c r="D3" s="195" t="s">
        <v>175</v>
      </c>
      <c r="E3" s="195" t="s">
        <v>175</v>
      </c>
      <c r="F3" s="195" t="s">
        <v>175</v>
      </c>
      <c r="G3" s="195" t="s">
        <v>12</v>
      </c>
      <c r="H3" s="195" t="s">
        <v>9</v>
      </c>
      <c r="I3" s="195" t="s">
        <v>9</v>
      </c>
      <c r="J3" s="195" t="s">
        <v>9</v>
      </c>
      <c r="K3" s="195" t="s">
        <v>13</v>
      </c>
      <c r="L3" s="195" t="s">
        <v>165</v>
      </c>
      <c r="M3" s="195" t="s">
        <v>165</v>
      </c>
      <c r="N3" s="195" t="s">
        <v>167</v>
      </c>
      <c r="O3" s="195" t="s">
        <v>168</v>
      </c>
      <c r="P3" s="195" t="s">
        <v>168</v>
      </c>
      <c r="Q3" s="194" t="s">
        <v>170</v>
      </c>
    </row>
    <row r="4" spans="1:17" ht="22.5" customHeight="1" x14ac:dyDescent="0.25">
      <c r="A4" s="184">
        <v>1</v>
      </c>
      <c r="B4" s="193" t="s">
        <v>315</v>
      </c>
      <c r="C4" s="192">
        <v>6.47</v>
      </c>
      <c r="D4" s="191">
        <v>12</v>
      </c>
      <c r="E4" s="191">
        <v>10</v>
      </c>
      <c r="F4" s="191">
        <v>1</v>
      </c>
      <c r="G4" s="191">
        <v>21</v>
      </c>
      <c r="H4" s="190">
        <v>530</v>
      </c>
      <c r="I4" s="190">
        <v>120</v>
      </c>
      <c r="J4" s="190">
        <v>700</v>
      </c>
      <c r="K4" s="189">
        <v>0.57140000000000002</v>
      </c>
      <c r="L4" s="188">
        <v>0.91669999999999996</v>
      </c>
      <c r="M4" s="188">
        <v>0.5</v>
      </c>
      <c r="N4" s="187">
        <v>100.46</v>
      </c>
      <c r="O4" s="186">
        <v>1.7</v>
      </c>
      <c r="P4" s="186">
        <v>0.15</v>
      </c>
      <c r="Q4" s="185">
        <v>0.85</v>
      </c>
    </row>
    <row r="5" spans="1:17" ht="22.5" customHeight="1" x14ac:dyDescent="0.25">
      <c r="A5" s="184">
        <v>2</v>
      </c>
      <c r="B5" s="193" t="s">
        <v>401</v>
      </c>
      <c r="C5" s="192">
        <v>6.508</v>
      </c>
      <c r="D5" s="191">
        <v>11</v>
      </c>
      <c r="E5" s="191">
        <v>6</v>
      </c>
      <c r="F5" s="191">
        <v>2</v>
      </c>
      <c r="G5" s="191">
        <v>22</v>
      </c>
      <c r="H5" s="190">
        <v>340</v>
      </c>
      <c r="I5" s="190">
        <v>360</v>
      </c>
      <c r="J5" s="190">
        <v>850</v>
      </c>
      <c r="K5" s="189">
        <v>0.5</v>
      </c>
      <c r="L5" s="188">
        <v>0.72729999999999995</v>
      </c>
      <c r="M5" s="188">
        <v>0.4</v>
      </c>
      <c r="N5" s="187">
        <v>107.56</v>
      </c>
      <c r="O5" s="186">
        <v>1.23</v>
      </c>
      <c r="P5" s="186">
        <v>0.31</v>
      </c>
      <c r="Q5" s="185">
        <v>0.82</v>
      </c>
    </row>
    <row r="6" spans="1:17" ht="22.5" customHeight="1" x14ac:dyDescent="0.25">
      <c r="A6" s="184">
        <v>3</v>
      </c>
      <c r="B6" s="193" t="s">
        <v>271</v>
      </c>
      <c r="C6" s="192">
        <v>5.0919999999999996</v>
      </c>
      <c r="D6" s="191">
        <v>7</v>
      </c>
      <c r="E6" s="191">
        <v>5</v>
      </c>
      <c r="F6" s="191">
        <v>1</v>
      </c>
      <c r="G6" s="191">
        <v>15</v>
      </c>
      <c r="H6" s="190">
        <v>345</v>
      </c>
      <c r="I6" s="190">
        <v>120</v>
      </c>
      <c r="J6" s="190">
        <v>965</v>
      </c>
      <c r="K6" s="189">
        <v>0.4667</v>
      </c>
      <c r="L6" s="188">
        <v>0.85709999999999997</v>
      </c>
      <c r="M6" s="188">
        <v>0.5</v>
      </c>
      <c r="N6" s="187">
        <v>91.32</v>
      </c>
      <c r="O6" s="186">
        <v>1.18</v>
      </c>
      <c r="P6" s="186">
        <v>0.2</v>
      </c>
      <c r="Q6" s="185">
        <v>0.81</v>
      </c>
    </row>
    <row r="7" spans="1:17" ht="22.5" customHeight="1" x14ac:dyDescent="0.25">
      <c r="A7" s="184">
        <v>4</v>
      </c>
      <c r="B7" s="193" t="s">
        <v>360</v>
      </c>
      <c r="C7" s="192">
        <v>5.484</v>
      </c>
      <c r="D7" s="191">
        <v>9</v>
      </c>
      <c r="E7" s="191">
        <v>5</v>
      </c>
      <c r="F7" s="191">
        <v>2</v>
      </c>
      <c r="G7" s="191">
        <v>25</v>
      </c>
      <c r="H7" s="190">
        <v>1125</v>
      </c>
      <c r="I7" s="190">
        <v>300</v>
      </c>
      <c r="J7" s="190">
        <v>1725</v>
      </c>
      <c r="K7" s="189">
        <v>0.36</v>
      </c>
      <c r="L7" s="188">
        <v>0.77780000000000005</v>
      </c>
      <c r="M7" s="188">
        <v>0.5</v>
      </c>
      <c r="N7" s="187">
        <v>259.85000000000002</v>
      </c>
      <c r="O7" s="186">
        <v>1.28</v>
      </c>
      <c r="P7" s="186">
        <v>0.36</v>
      </c>
      <c r="Q7" s="185">
        <v>0.81</v>
      </c>
    </row>
    <row r="8" spans="1:17" ht="22.5" customHeight="1" x14ac:dyDescent="0.25">
      <c r="A8" s="184">
        <v>5</v>
      </c>
      <c r="B8" s="193" t="s">
        <v>435</v>
      </c>
      <c r="C8" s="192">
        <v>5.6959999999999997</v>
      </c>
      <c r="D8" s="191">
        <v>6</v>
      </c>
      <c r="E8" s="191">
        <v>4</v>
      </c>
      <c r="F8" s="191">
        <v>1</v>
      </c>
      <c r="G8" s="191">
        <v>10</v>
      </c>
      <c r="H8" s="190">
        <v>235</v>
      </c>
      <c r="I8" s="190">
        <v>120</v>
      </c>
      <c r="J8" s="190">
        <v>455</v>
      </c>
      <c r="K8" s="189">
        <v>0.6</v>
      </c>
      <c r="L8" s="188">
        <v>0.83330000000000004</v>
      </c>
      <c r="M8" s="188">
        <v>0.5</v>
      </c>
      <c r="N8" s="187">
        <v>62.32</v>
      </c>
      <c r="O8" s="186">
        <v>0.88</v>
      </c>
      <c r="P8" s="186">
        <v>0.18</v>
      </c>
      <c r="Q8" s="185">
        <v>0.79</v>
      </c>
    </row>
    <row r="9" spans="1:17" ht="22.5" customHeight="1" x14ac:dyDescent="0.25">
      <c r="A9" s="184">
        <v>6</v>
      </c>
      <c r="B9" s="193" t="s">
        <v>365</v>
      </c>
      <c r="C9" s="192">
        <v>7.5209999999999999</v>
      </c>
      <c r="D9" s="191">
        <v>7</v>
      </c>
      <c r="E9" s="191">
        <v>5</v>
      </c>
      <c r="F9" s="191">
        <v>1</v>
      </c>
      <c r="G9" s="191">
        <v>22</v>
      </c>
      <c r="H9" s="190">
        <v>2590</v>
      </c>
      <c r="I9" s="190">
        <v>120</v>
      </c>
      <c r="J9" s="190">
        <v>3210</v>
      </c>
      <c r="K9" s="189">
        <v>0.31819999999999998</v>
      </c>
      <c r="L9" s="188">
        <v>0.85709999999999997</v>
      </c>
      <c r="M9" s="188">
        <v>0.5</v>
      </c>
      <c r="N9" s="187">
        <v>360.32</v>
      </c>
      <c r="O9" s="186">
        <v>0.8</v>
      </c>
      <c r="P9" s="186">
        <v>0.13</v>
      </c>
      <c r="Q9" s="185">
        <v>0.75</v>
      </c>
    </row>
    <row r="10" spans="1:17" ht="22.5" customHeight="1" x14ac:dyDescent="0.25">
      <c r="A10" s="184">
        <v>7</v>
      </c>
      <c r="B10" s="193" t="s">
        <v>357</v>
      </c>
      <c r="C10" s="192">
        <v>8.3559999999999999</v>
      </c>
      <c r="D10" s="191">
        <v>7</v>
      </c>
      <c r="E10" s="191">
        <v>4</v>
      </c>
      <c r="F10" s="191">
        <v>2</v>
      </c>
      <c r="G10" s="191">
        <v>19</v>
      </c>
      <c r="H10" s="190">
        <v>580</v>
      </c>
      <c r="I10" s="190">
        <v>170</v>
      </c>
      <c r="J10" s="190">
        <v>1050</v>
      </c>
      <c r="K10" s="189">
        <v>0.36840000000000001</v>
      </c>
      <c r="L10" s="188">
        <v>0.85709999999999997</v>
      </c>
      <c r="M10" s="188">
        <v>0.66669999999999996</v>
      </c>
      <c r="N10" s="187">
        <v>89.76</v>
      </c>
      <c r="O10" s="186">
        <v>0.72</v>
      </c>
      <c r="P10" s="186">
        <v>0.24</v>
      </c>
      <c r="Q10" s="185">
        <v>0.74</v>
      </c>
    </row>
    <row r="11" spans="1:17" ht="22.5" customHeight="1" x14ac:dyDescent="0.25">
      <c r="A11" s="184">
        <v>8</v>
      </c>
      <c r="B11" s="193" t="s">
        <v>330</v>
      </c>
      <c r="C11" s="192">
        <v>5.1639999999999997</v>
      </c>
      <c r="D11" s="191">
        <v>9</v>
      </c>
      <c r="E11" s="191">
        <v>5</v>
      </c>
      <c r="F11" s="191">
        <v>1</v>
      </c>
      <c r="G11" s="191">
        <v>20</v>
      </c>
      <c r="H11" s="190">
        <v>215</v>
      </c>
      <c r="I11" s="190">
        <v>120</v>
      </c>
      <c r="J11" s="190">
        <v>505</v>
      </c>
      <c r="K11" s="189">
        <v>0.45</v>
      </c>
      <c r="L11" s="188">
        <v>0.66669999999999996</v>
      </c>
      <c r="M11" s="188">
        <v>0.25</v>
      </c>
      <c r="N11" s="187">
        <v>64.87</v>
      </c>
      <c r="O11" s="186">
        <v>1.1599999999999999</v>
      </c>
      <c r="P11" s="186">
        <v>0.19</v>
      </c>
      <c r="Q11" s="185">
        <v>0.72</v>
      </c>
    </row>
    <row r="12" spans="1:17" ht="22.5" customHeight="1" x14ac:dyDescent="0.25">
      <c r="A12" s="184">
        <v>9</v>
      </c>
      <c r="B12" s="193" t="s">
        <v>434</v>
      </c>
      <c r="C12" s="192">
        <v>4.7489999999999997</v>
      </c>
      <c r="D12" s="191">
        <v>7</v>
      </c>
      <c r="E12" s="191">
        <v>3</v>
      </c>
      <c r="F12" s="191">
        <v>1</v>
      </c>
      <c r="G12" s="191">
        <v>13</v>
      </c>
      <c r="H12" s="190">
        <v>125</v>
      </c>
      <c r="I12" s="190">
        <v>120</v>
      </c>
      <c r="J12" s="190">
        <v>325</v>
      </c>
      <c r="K12" s="189">
        <v>0.53849999999999998</v>
      </c>
      <c r="L12" s="188">
        <v>0.57140000000000002</v>
      </c>
      <c r="M12" s="188">
        <v>0.25</v>
      </c>
      <c r="N12" s="187">
        <v>51.59</v>
      </c>
      <c r="O12" s="186">
        <v>0.84</v>
      </c>
      <c r="P12" s="186">
        <v>0.21</v>
      </c>
      <c r="Q12" s="185">
        <v>0.71</v>
      </c>
    </row>
    <row r="13" spans="1:17" ht="22.5" customHeight="1" x14ac:dyDescent="0.25">
      <c r="A13" s="184">
        <v>10</v>
      </c>
      <c r="B13" s="193" t="s">
        <v>354</v>
      </c>
      <c r="C13" s="192">
        <v>5.2640000000000002</v>
      </c>
      <c r="D13" s="191">
        <v>3</v>
      </c>
      <c r="E13" s="191">
        <v>1</v>
      </c>
      <c r="F13" s="191">
        <v>2</v>
      </c>
      <c r="G13" s="191">
        <v>9</v>
      </c>
      <c r="H13" s="190">
        <v>100</v>
      </c>
      <c r="I13" s="190">
        <v>130</v>
      </c>
      <c r="J13" s="190">
        <v>230</v>
      </c>
      <c r="K13" s="189">
        <v>0.33329999999999999</v>
      </c>
      <c r="L13" s="188">
        <v>1</v>
      </c>
      <c r="M13" s="188">
        <v>1</v>
      </c>
      <c r="N13" s="187">
        <v>43.69</v>
      </c>
      <c r="O13" s="186">
        <v>0.56999999999999995</v>
      </c>
      <c r="P13" s="186">
        <v>0.38</v>
      </c>
      <c r="Q13" s="185">
        <v>0.69</v>
      </c>
    </row>
    <row r="14" spans="1:17" ht="22.5" customHeight="1" x14ac:dyDescent="0.25">
      <c r="A14" s="184">
        <v>11</v>
      </c>
      <c r="B14" s="193" t="s">
        <v>288</v>
      </c>
      <c r="C14" s="192">
        <v>0.81499999999999995</v>
      </c>
      <c r="D14" s="191">
        <v>3</v>
      </c>
      <c r="E14" s="191">
        <v>3</v>
      </c>
      <c r="F14" s="191">
        <v>0</v>
      </c>
      <c r="G14" s="191">
        <v>5</v>
      </c>
      <c r="H14" s="190">
        <v>200</v>
      </c>
      <c r="I14" s="190">
        <v>0</v>
      </c>
      <c r="J14" s="190">
        <v>200</v>
      </c>
      <c r="K14" s="189">
        <v>0.6</v>
      </c>
      <c r="L14" s="188">
        <v>1</v>
      </c>
      <c r="M14" s="188">
        <v>0</v>
      </c>
      <c r="N14" s="187">
        <v>245.4</v>
      </c>
      <c r="O14" s="186">
        <v>3.68</v>
      </c>
      <c r="P14" s="186">
        <v>0</v>
      </c>
      <c r="Q14" s="185">
        <v>0.69</v>
      </c>
    </row>
    <row r="15" spans="1:17" ht="22.5" customHeight="1" x14ac:dyDescent="0.25">
      <c r="A15" s="184">
        <v>12</v>
      </c>
      <c r="B15" s="193" t="s">
        <v>409</v>
      </c>
      <c r="C15" s="192">
        <v>6.55</v>
      </c>
      <c r="D15" s="191">
        <v>7</v>
      </c>
      <c r="E15" s="191">
        <v>4</v>
      </c>
      <c r="F15" s="191">
        <v>1</v>
      </c>
      <c r="G15" s="191">
        <v>25</v>
      </c>
      <c r="H15" s="190">
        <v>625</v>
      </c>
      <c r="I15" s="190">
        <v>10</v>
      </c>
      <c r="J15" s="190">
        <v>685</v>
      </c>
      <c r="K15" s="189">
        <v>0.28000000000000003</v>
      </c>
      <c r="L15" s="188">
        <v>0.71430000000000005</v>
      </c>
      <c r="M15" s="188">
        <v>0.33329999999999999</v>
      </c>
      <c r="N15" s="187">
        <v>96.95</v>
      </c>
      <c r="O15" s="186">
        <v>0.76</v>
      </c>
      <c r="P15" s="186">
        <v>0.15</v>
      </c>
      <c r="Q15" s="185">
        <v>0.68</v>
      </c>
    </row>
    <row r="16" spans="1:17" ht="22.5" customHeight="1" x14ac:dyDescent="0.25">
      <c r="A16" s="184">
        <v>13</v>
      </c>
      <c r="B16" s="193" t="s">
        <v>430</v>
      </c>
      <c r="C16" s="192">
        <v>8.2669999999999995</v>
      </c>
      <c r="D16" s="191">
        <v>13</v>
      </c>
      <c r="E16" s="191">
        <v>3</v>
      </c>
      <c r="F16" s="191">
        <v>3</v>
      </c>
      <c r="G16" s="191">
        <v>31</v>
      </c>
      <c r="H16" s="190">
        <v>100</v>
      </c>
      <c r="I16" s="190">
        <v>360</v>
      </c>
      <c r="J16" s="190">
        <v>1220</v>
      </c>
      <c r="K16" s="189">
        <v>0.4194</v>
      </c>
      <c r="L16" s="188">
        <v>0.46150000000000002</v>
      </c>
      <c r="M16" s="188">
        <v>0.3</v>
      </c>
      <c r="N16" s="187">
        <v>55.64</v>
      </c>
      <c r="O16" s="186">
        <v>0.73</v>
      </c>
      <c r="P16" s="186">
        <v>0.36</v>
      </c>
      <c r="Q16" s="185">
        <v>0.65</v>
      </c>
    </row>
    <row r="17" spans="1:17" ht="22.5" customHeight="1" x14ac:dyDescent="0.25">
      <c r="A17" s="184">
        <v>14</v>
      </c>
      <c r="B17" s="193" t="s">
        <v>392</v>
      </c>
      <c r="C17" s="192">
        <v>0.88100000000000001</v>
      </c>
      <c r="D17" s="191">
        <v>2</v>
      </c>
      <c r="E17" s="191">
        <v>2</v>
      </c>
      <c r="F17" s="191">
        <v>0</v>
      </c>
      <c r="G17" s="191">
        <v>6</v>
      </c>
      <c r="H17" s="190">
        <v>150</v>
      </c>
      <c r="I17" s="190">
        <v>0</v>
      </c>
      <c r="J17" s="190">
        <v>150</v>
      </c>
      <c r="K17" s="189">
        <v>0.33329999999999999</v>
      </c>
      <c r="L17" s="188">
        <v>1</v>
      </c>
      <c r="M17" s="188">
        <v>0</v>
      </c>
      <c r="N17" s="187">
        <v>170.26</v>
      </c>
      <c r="O17" s="186">
        <v>2.27</v>
      </c>
      <c r="P17" s="186">
        <v>0</v>
      </c>
      <c r="Q17" s="185">
        <v>0.61</v>
      </c>
    </row>
    <row r="18" spans="1:17" ht="22.5" customHeight="1" x14ac:dyDescent="0.25">
      <c r="A18" s="184">
        <v>15</v>
      </c>
      <c r="B18" s="193" t="s">
        <v>341</v>
      </c>
      <c r="C18" s="192">
        <v>3.8530000000000002</v>
      </c>
      <c r="D18" s="191">
        <v>2</v>
      </c>
      <c r="E18" s="191">
        <v>1</v>
      </c>
      <c r="F18" s="191">
        <v>1</v>
      </c>
      <c r="G18" s="191">
        <v>8</v>
      </c>
      <c r="H18" s="190">
        <v>15</v>
      </c>
      <c r="I18" s="190">
        <v>60</v>
      </c>
      <c r="J18" s="190">
        <v>75</v>
      </c>
      <c r="K18" s="189">
        <v>0.25</v>
      </c>
      <c r="L18" s="188">
        <v>1</v>
      </c>
      <c r="M18" s="188">
        <v>1</v>
      </c>
      <c r="N18" s="187">
        <v>19.47</v>
      </c>
      <c r="O18" s="186">
        <v>0.52</v>
      </c>
      <c r="P18" s="186">
        <v>0.26</v>
      </c>
      <c r="Q18" s="185">
        <v>0.6</v>
      </c>
    </row>
    <row r="19" spans="1:17" ht="22.5" customHeight="1" x14ac:dyDescent="0.25">
      <c r="A19" s="184">
        <v>16</v>
      </c>
      <c r="B19" s="193" t="s">
        <v>403</v>
      </c>
      <c r="C19" s="192">
        <v>3.9780000000000002</v>
      </c>
      <c r="D19" s="191">
        <v>3</v>
      </c>
      <c r="E19" s="191">
        <v>1</v>
      </c>
      <c r="F19" s="191">
        <v>1</v>
      </c>
      <c r="G19" s="191">
        <v>15</v>
      </c>
      <c r="H19" s="190">
        <v>300</v>
      </c>
      <c r="I19" s="190">
        <v>60</v>
      </c>
      <c r="J19" s="190">
        <v>385</v>
      </c>
      <c r="K19" s="189">
        <v>0.2</v>
      </c>
      <c r="L19" s="188">
        <v>0.66669999999999996</v>
      </c>
      <c r="M19" s="188">
        <v>0.5</v>
      </c>
      <c r="N19" s="187">
        <v>90.5</v>
      </c>
      <c r="O19" s="186">
        <v>0.5</v>
      </c>
      <c r="P19" s="186">
        <v>0.25</v>
      </c>
      <c r="Q19" s="185">
        <v>0.56999999999999995</v>
      </c>
    </row>
    <row r="20" spans="1:17" ht="22.5" customHeight="1" x14ac:dyDescent="0.25">
      <c r="A20" s="184">
        <v>17</v>
      </c>
      <c r="B20" s="193" t="s">
        <v>272</v>
      </c>
      <c r="C20" s="192">
        <v>9.3239999999999998</v>
      </c>
      <c r="D20" s="191">
        <v>14</v>
      </c>
      <c r="E20" s="191">
        <v>4</v>
      </c>
      <c r="F20" s="191">
        <v>1</v>
      </c>
      <c r="G20" s="191">
        <v>33</v>
      </c>
      <c r="H20" s="190">
        <v>410</v>
      </c>
      <c r="I20" s="190">
        <v>12</v>
      </c>
      <c r="J20" s="190">
        <v>892</v>
      </c>
      <c r="K20" s="189">
        <v>0.42420000000000002</v>
      </c>
      <c r="L20" s="188">
        <v>0.35709999999999997</v>
      </c>
      <c r="M20" s="188">
        <v>0.1</v>
      </c>
      <c r="N20" s="187">
        <v>45.26</v>
      </c>
      <c r="O20" s="186">
        <v>0.54</v>
      </c>
      <c r="P20" s="186">
        <v>0.11</v>
      </c>
      <c r="Q20" s="185">
        <v>0.56000000000000005</v>
      </c>
    </row>
    <row r="21" spans="1:17" ht="22.5" customHeight="1" x14ac:dyDescent="0.25">
      <c r="A21" s="184">
        <v>18</v>
      </c>
      <c r="B21" s="193" t="s">
        <v>299</v>
      </c>
      <c r="C21" s="192">
        <v>5.343</v>
      </c>
      <c r="D21" s="191">
        <v>12</v>
      </c>
      <c r="E21" s="191">
        <v>6</v>
      </c>
      <c r="F21" s="191">
        <v>0</v>
      </c>
      <c r="G21" s="191">
        <v>23</v>
      </c>
      <c r="H21" s="190">
        <v>375</v>
      </c>
      <c r="I21" s="190">
        <v>0</v>
      </c>
      <c r="J21" s="190">
        <v>470</v>
      </c>
      <c r="K21" s="189">
        <v>0.52170000000000005</v>
      </c>
      <c r="L21" s="188">
        <v>0.5</v>
      </c>
      <c r="M21" s="188">
        <v>0</v>
      </c>
      <c r="N21" s="187">
        <v>70.19</v>
      </c>
      <c r="O21" s="186">
        <v>1.1200000000000001</v>
      </c>
      <c r="P21" s="186">
        <v>0</v>
      </c>
      <c r="Q21" s="185">
        <v>0.53</v>
      </c>
    </row>
    <row r="22" spans="1:17" ht="22.5" customHeight="1" x14ac:dyDescent="0.25">
      <c r="A22" s="184">
        <v>19</v>
      </c>
      <c r="B22" s="193" t="s">
        <v>391</v>
      </c>
      <c r="C22" s="192">
        <v>4.2869999999999999</v>
      </c>
      <c r="D22" s="191">
        <v>4</v>
      </c>
      <c r="E22" s="191">
        <v>3</v>
      </c>
      <c r="F22" s="191">
        <v>0</v>
      </c>
      <c r="G22" s="191">
        <v>12</v>
      </c>
      <c r="H22" s="190">
        <v>550</v>
      </c>
      <c r="I22" s="190">
        <v>0</v>
      </c>
      <c r="J22" s="190">
        <v>650</v>
      </c>
      <c r="K22" s="189">
        <v>0.33329999999999999</v>
      </c>
      <c r="L22" s="188">
        <v>0.75</v>
      </c>
      <c r="M22" s="188">
        <v>0</v>
      </c>
      <c r="N22" s="187">
        <v>128.29</v>
      </c>
      <c r="O22" s="186">
        <v>0.7</v>
      </c>
      <c r="P22" s="186">
        <v>0</v>
      </c>
      <c r="Q22" s="185">
        <v>0.52</v>
      </c>
    </row>
    <row r="23" spans="1:17" ht="22.5" customHeight="1" x14ac:dyDescent="0.25">
      <c r="A23" s="184">
        <v>20</v>
      </c>
      <c r="B23" s="193" t="s">
        <v>398</v>
      </c>
      <c r="C23" s="192">
        <v>5.1879999999999997</v>
      </c>
      <c r="D23" s="191">
        <v>6</v>
      </c>
      <c r="E23" s="191">
        <v>6</v>
      </c>
      <c r="F23" s="191">
        <v>0</v>
      </c>
      <c r="G23" s="191">
        <v>19</v>
      </c>
      <c r="H23" s="190">
        <v>210</v>
      </c>
      <c r="I23" s="190">
        <v>0</v>
      </c>
      <c r="J23" s="190">
        <v>210</v>
      </c>
      <c r="K23" s="189">
        <v>0.31580000000000003</v>
      </c>
      <c r="L23" s="188">
        <v>1</v>
      </c>
      <c r="M23" s="188">
        <v>0</v>
      </c>
      <c r="N23" s="187">
        <v>40.479999999999997</v>
      </c>
      <c r="O23" s="186">
        <v>1.1599999999999999</v>
      </c>
      <c r="P23" s="186">
        <v>0</v>
      </c>
      <c r="Q23" s="185">
        <v>0.51</v>
      </c>
    </row>
    <row r="24" spans="1:17" ht="22.5" customHeight="1" x14ac:dyDescent="0.25">
      <c r="A24" s="184">
        <v>21</v>
      </c>
      <c r="B24" s="193" t="s">
        <v>408</v>
      </c>
      <c r="C24" s="192">
        <v>0.93500000000000005</v>
      </c>
      <c r="D24" s="191">
        <v>1</v>
      </c>
      <c r="E24" s="191">
        <v>1</v>
      </c>
      <c r="F24" s="191">
        <v>0</v>
      </c>
      <c r="G24" s="191">
        <v>3</v>
      </c>
      <c r="H24" s="190">
        <v>30</v>
      </c>
      <c r="I24" s="190">
        <v>0</v>
      </c>
      <c r="J24" s="190">
        <v>30</v>
      </c>
      <c r="K24" s="189">
        <v>0.33329999999999999</v>
      </c>
      <c r="L24" s="188">
        <v>1</v>
      </c>
      <c r="M24" s="188">
        <v>0</v>
      </c>
      <c r="N24" s="187">
        <v>32.090000000000003</v>
      </c>
      <c r="O24" s="186">
        <v>1.07</v>
      </c>
      <c r="P24" s="186">
        <v>0</v>
      </c>
      <c r="Q24" s="185">
        <v>0.51</v>
      </c>
    </row>
    <row r="25" spans="1:17" ht="22.5" customHeight="1" x14ac:dyDescent="0.25">
      <c r="A25" s="184">
        <v>22</v>
      </c>
      <c r="B25" s="193" t="s">
        <v>411</v>
      </c>
      <c r="C25" s="192">
        <v>5.1630000000000003</v>
      </c>
      <c r="D25" s="191">
        <v>6</v>
      </c>
      <c r="E25" s="191">
        <v>4</v>
      </c>
      <c r="F25" s="191">
        <v>0</v>
      </c>
      <c r="G25" s="191">
        <v>20</v>
      </c>
      <c r="H25" s="190">
        <v>1110</v>
      </c>
      <c r="I25" s="190">
        <v>0</v>
      </c>
      <c r="J25" s="190">
        <v>1310</v>
      </c>
      <c r="K25" s="189">
        <v>0.3</v>
      </c>
      <c r="L25" s="188">
        <v>0.66669999999999996</v>
      </c>
      <c r="M25" s="188">
        <v>0</v>
      </c>
      <c r="N25" s="187">
        <v>214.99</v>
      </c>
      <c r="O25" s="186">
        <v>0.77</v>
      </c>
      <c r="P25" s="186">
        <v>0</v>
      </c>
      <c r="Q25" s="185">
        <v>0.5</v>
      </c>
    </row>
    <row r="26" spans="1:17" ht="22.5" customHeight="1" x14ac:dyDescent="0.25">
      <c r="A26" s="184">
        <v>23</v>
      </c>
      <c r="B26" s="193" t="s">
        <v>324</v>
      </c>
      <c r="C26" s="192">
        <v>2.673</v>
      </c>
      <c r="D26" s="191">
        <v>2</v>
      </c>
      <c r="E26" s="191">
        <v>2</v>
      </c>
      <c r="F26" s="191">
        <v>0</v>
      </c>
      <c r="G26" s="191">
        <v>8</v>
      </c>
      <c r="H26" s="190">
        <v>225</v>
      </c>
      <c r="I26" s="190">
        <v>0</v>
      </c>
      <c r="J26" s="190">
        <v>225</v>
      </c>
      <c r="K26" s="189">
        <v>0.25</v>
      </c>
      <c r="L26" s="188">
        <v>1</v>
      </c>
      <c r="M26" s="188">
        <v>0</v>
      </c>
      <c r="N26" s="187">
        <v>84.18</v>
      </c>
      <c r="O26" s="186">
        <v>0.75</v>
      </c>
      <c r="P26" s="186">
        <v>0</v>
      </c>
      <c r="Q26" s="185">
        <v>0.49</v>
      </c>
    </row>
    <row r="27" spans="1:17" ht="22.5" customHeight="1" x14ac:dyDescent="0.25">
      <c r="A27" s="184">
        <v>24</v>
      </c>
      <c r="B27" s="193" t="s">
        <v>366</v>
      </c>
      <c r="C27" s="192">
        <v>1.7549999999999999</v>
      </c>
      <c r="D27" s="191">
        <v>5</v>
      </c>
      <c r="E27" s="191">
        <v>1</v>
      </c>
      <c r="F27" s="191">
        <v>0</v>
      </c>
      <c r="G27" s="191">
        <v>10</v>
      </c>
      <c r="H27" s="190">
        <v>1200</v>
      </c>
      <c r="I27" s="190">
        <v>0</v>
      </c>
      <c r="J27" s="190">
        <v>1585</v>
      </c>
      <c r="K27" s="189">
        <v>0.5</v>
      </c>
      <c r="L27" s="188">
        <v>0.2</v>
      </c>
      <c r="M27" s="188">
        <v>0</v>
      </c>
      <c r="N27" s="187">
        <v>683.76</v>
      </c>
      <c r="O27" s="186">
        <v>0.56999999999999995</v>
      </c>
      <c r="P27" s="186">
        <v>0</v>
      </c>
      <c r="Q27" s="185">
        <v>0.47</v>
      </c>
    </row>
    <row r="28" spans="1:17" ht="22.5" customHeight="1" x14ac:dyDescent="0.25">
      <c r="A28" s="184">
        <v>25</v>
      </c>
      <c r="B28" s="193" t="s">
        <v>351</v>
      </c>
      <c r="C28" s="192">
        <v>3.6920000000000002</v>
      </c>
      <c r="D28" s="191">
        <v>5</v>
      </c>
      <c r="E28" s="191">
        <v>3</v>
      </c>
      <c r="F28" s="191">
        <v>0</v>
      </c>
      <c r="G28" s="191">
        <v>12</v>
      </c>
      <c r="H28" s="190">
        <v>155</v>
      </c>
      <c r="I28" s="190">
        <v>0</v>
      </c>
      <c r="J28" s="190">
        <v>375</v>
      </c>
      <c r="K28" s="189">
        <v>0.41670000000000001</v>
      </c>
      <c r="L28" s="188">
        <v>0.6</v>
      </c>
      <c r="M28" s="188">
        <v>0</v>
      </c>
      <c r="N28" s="187">
        <v>41.98</v>
      </c>
      <c r="O28" s="186">
        <v>0.81</v>
      </c>
      <c r="P28" s="186">
        <v>0</v>
      </c>
      <c r="Q28" s="185">
        <v>0.47</v>
      </c>
    </row>
    <row r="29" spans="1:17" ht="22.5" customHeight="1" x14ac:dyDescent="0.25">
      <c r="A29" s="184">
        <v>26</v>
      </c>
      <c r="B29" s="193" t="s">
        <v>420</v>
      </c>
      <c r="C29" s="192">
        <v>5.6120000000000001</v>
      </c>
      <c r="D29" s="191">
        <v>1</v>
      </c>
      <c r="E29" s="191">
        <v>0</v>
      </c>
      <c r="F29" s="191">
        <v>1</v>
      </c>
      <c r="G29" s="191">
        <v>22</v>
      </c>
      <c r="H29" s="190">
        <v>0</v>
      </c>
      <c r="I29" s="190">
        <v>48</v>
      </c>
      <c r="J29" s="190">
        <v>48</v>
      </c>
      <c r="K29" s="189">
        <v>4.5499999999999999E-2</v>
      </c>
      <c r="L29" s="188">
        <v>1</v>
      </c>
      <c r="M29" s="188">
        <v>1</v>
      </c>
      <c r="N29" s="187">
        <v>8.5500000000000007</v>
      </c>
      <c r="O29" s="186">
        <v>0.18</v>
      </c>
      <c r="P29" s="186">
        <v>0.18</v>
      </c>
      <c r="Q29" s="185">
        <v>0.45</v>
      </c>
    </row>
    <row r="30" spans="1:17" ht="22.5" customHeight="1" x14ac:dyDescent="0.25">
      <c r="A30" s="184">
        <v>27</v>
      </c>
      <c r="B30" s="193" t="s">
        <v>314</v>
      </c>
      <c r="C30" s="192">
        <v>5.0890000000000004</v>
      </c>
      <c r="D30" s="191">
        <v>7</v>
      </c>
      <c r="E30" s="191">
        <v>4</v>
      </c>
      <c r="F30" s="191">
        <v>0</v>
      </c>
      <c r="G30" s="191">
        <v>22</v>
      </c>
      <c r="H30" s="190">
        <v>215</v>
      </c>
      <c r="I30" s="190">
        <v>0</v>
      </c>
      <c r="J30" s="190">
        <v>365</v>
      </c>
      <c r="K30" s="189">
        <v>0.31819999999999998</v>
      </c>
      <c r="L30" s="188">
        <v>0.57140000000000002</v>
      </c>
      <c r="M30" s="188">
        <v>0</v>
      </c>
      <c r="N30" s="187">
        <v>42.25</v>
      </c>
      <c r="O30" s="186">
        <v>0.79</v>
      </c>
      <c r="P30" s="186">
        <v>0</v>
      </c>
      <c r="Q30" s="185">
        <v>0.43</v>
      </c>
    </row>
    <row r="31" spans="1:17" ht="22.5" customHeight="1" x14ac:dyDescent="0.25">
      <c r="A31" s="184">
        <v>28</v>
      </c>
      <c r="B31" s="193" t="s">
        <v>291</v>
      </c>
      <c r="C31" s="192">
        <v>1.905</v>
      </c>
      <c r="D31" s="191">
        <v>2</v>
      </c>
      <c r="E31" s="191">
        <v>1</v>
      </c>
      <c r="F31" s="191">
        <v>0</v>
      </c>
      <c r="G31" s="191">
        <v>4</v>
      </c>
      <c r="H31" s="190">
        <v>100</v>
      </c>
      <c r="I31" s="190">
        <v>0</v>
      </c>
      <c r="J31" s="190">
        <v>125</v>
      </c>
      <c r="K31" s="189">
        <v>0.5</v>
      </c>
      <c r="L31" s="188">
        <v>0.5</v>
      </c>
      <c r="M31" s="188">
        <v>0</v>
      </c>
      <c r="N31" s="187">
        <v>52.49</v>
      </c>
      <c r="O31" s="186">
        <v>0.52</v>
      </c>
      <c r="P31" s="186">
        <v>0</v>
      </c>
      <c r="Q31" s="185">
        <v>0.42</v>
      </c>
    </row>
    <row r="32" spans="1:17" ht="22.5" customHeight="1" x14ac:dyDescent="0.25">
      <c r="A32" s="184">
        <v>29</v>
      </c>
      <c r="B32" s="193" t="s">
        <v>281</v>
      </c>
      <c r="C32" s="192">
        <v>7.5709999999999997</v>
      </c>
      <c r="D32" s="191">
        <v>5</v>
      </c>
      <c r="E32" s="191">
        <v>1</v>
      </c>
      <c r="F32" s="191">
        <v>1</v>
      </c>
      <c r="G32" s="191">
        <v>25</v>
      </c>
      <c r="H32" s="190">
        <v>50</v>
      </c>
      <c r="I32" s="190">
        <v>120</v>
      </c>
      <c r="J32" s="190">
        <v>370</v>
      </c>
      <c r="K32" s="189">
        <v>0.2</v>
      </c>
      <c r="L32" s="188">
        <v>0.4</v>
      </c>
      <c r="M32" s="188">
        <v>0.25</v>
      </c>
      <c r="N32" s="187">
        <v>22.45</v>
      </c>
      <c r="O32" s="186">
        <v>0.26</v>
      </c>
      <c r="P32" s="186">
        <v>0.13</v>
      </c>
      <c r="Q32" s="185">
        <v>0.4</v>
      </c>
    </row>
    <row r="33" spans="1:17" ht="22.5" customHeight="1" x14ac:dyDescent="0.25">
      <c r="A33" s="184">
        <v>30</v>
      </c>
      <c r="B33" s="193" t="s">
        <v>371</v>
      </c>
      <c r="C33" s="192">
        <v>5.9640000000000004</v>
      </c>
      <c r="D33" s="191">
        <v>2</v>
      </c>
      <c r="E33" s="191">
        <v>2</v>
      </c>
      <c r="F33" s="191">
        <v>0</v>
      </c>
      <c r="G33" s="191">
        <v>12</v>
      </c>
      <c r="H33" s="190">
        <v>560</v>
      </c>
      <c r="I33" s="190">
        <v>0</v>
      </c>
      <c r="J33" s="190">
        <v>560</v>
      </c>
      <c r="K33" s="189">
        <v>0.16669999999999999</v>
      </c>
      <c r="L33" s="188">
        <v>1</v>
      </c>
      <c r="M33" s="188">
        <v>0</v>
      </c>
      <c r="N33" s="187">
        <v>93.9</v>
      </c>
      <c r="O33" s="186">
        <v>0.34</v>
      </c>
      <c r="P33" s="186">
        <v>0</v>
      </c>
      <c r="Q33" s="185">
        <v>0.39</v>
      </c>
    </row>
    <row r="34" spans="1:17" ht="22.5" customHeight="1" x14ac:dyDescent="0.25">
      <c r="A34" s="184">
        <v>31</v>
      </c>
      <c r="B34" s="193" t="s">
        <v>374</v>
      </c>
      <c r="C34" s="192">
        <v>6.9039999999999999</v>
      </c>
      <c r="D34" s="191">
        <v>13</v>
      </c>
      <c r="E34" s="191">
        <v>5</v>
      </c>
      <c r="F34" s="191">
        <v>0</v>
      </c>
      <c r="G34" s="191">
        <v>28</v>
      </c>
      <c r="H34" s="190">
        <v>120.18</v>
      </c>
      <c r="I34" s="190">
        <v>0</v>
      </c>
      <c r="J34" s="190">
        <v>610.17999999999995</v>
      </c>
      <c r="K34" s="189">
        <v>0.46429999999999999</v>
      </c>
      <c r="L34" s="188">
        <v>0.3846</v>
      </c>
      <c r="M34" s="188">
        <v>0</v>
      </c>
      <c r="N34" s="187">
        <v>17.41</v>
      </c>
      <c r="O34" s="186">
        <v>0.72</v>
      </c>
      <c r="P34" s="186">
        <v>0</v>
      </c>
      <c r="Q34" s="185">
        <v>0.39</v>
      </c>
    </row>
    <row r="35" spans="1:17" ht="22.5" customHeight="1" x14ac:dyDescent="0.25">
      <c r="A35" s="184">
        <v>32</v>
      </c>
      <c r="B35" s="193" t="s">
        <v>379</v>
      </c>
      <c r="C35" s="192">
        <v>5.7649999999999997</v>
      </c>
      <c r="D35" s="191">
        <v>3</v>
      </c>
      <c r="E35" s="191">
        <v>2</v>
      </c>
      <c r="F35" s="191">
        <v>0</v>
      </c>
      <c r="G35" s="191">
        <v>5</v>
      </c>
      <c r="H35" s="190">
        <v>30</v>
      </c>
      <c r="I35" s="190">
        <v>0</v>
      </c>
      <c r="J35" s="190">
        <v>150</v>
      </c>
      <c r="K35" s="189">
        <v>0.6</v>
      </c>
      <c r="L35" s="188">
        <v>0.66669999999999996</v>
      </c>
      <c r="M35" s="188">
        <v>0</v>
      </c>
      <c r="N35" s="187">
        <v>5.2</v>
      </c>
      <c r="O35" s="186">
        <v>0.35</v>
      </c>
      <c r="P35" s="186">
        <v>0</v>
      </c>
      <c r="Q35" s="185">
        <v>0.39</v>
      </c>
    </row>
    <row r="36" spans="1:17" ht="22.5" customHeight="1" x14ac:dyDescent="0.25">
      <c r="A36" s="184">
        <v>33</v>
      </c>
      <c r="B36" s="193" t="s">
        <v>378</v>
      </c>
      <c r="C36" s="192">
        <v>6.5750000000000002</v>
      </c>
      <c r="D36" s="191">
        <v>6</v>
      </c>
      <c r="E36" s="191">
        <v>4</v>
      </c>
      <c r="F36" s="191">
        <v>0</v>
      </c>
      <c r="G36" s="191">
        <v>26</v>
      </c>
      <c r="H36" s="190">
        <v>410</v>
      </c>
      <c r="I36" s="190">
        <v>0</v>
      </c>
      <c r="J36" s="190">
        <v>535</v>
      </c>
      <c r="K36" s="189">
        <v>0.23080000000000001</v>
      </c>
      <c r="L36" s="188">
        <v>0.66669999999999996</v>
      </c>
      <c r="M36" s="188">
        <v>0</v>
      </c>
      <c r="N36" s="187">
        <v>62.36</v>
      </c>
      <c r="O36" s="186">
        <v>0.61</v>
      </c>
      <c r="P36" s="186">
        <v>0</v>
      </c>
      <c r="Q36" s="185">
        <v>0.39</v>
      </c>
    </row>
    <row r="37" spans="1:17" ht="22.5" customHeight="1" x14ac:dyDescent="0.25">
      <c r="A37" s="184">
        <v>34</v>
      </c>
      <c r="B37" s="193" t="s">
        <v>336</v>
      </c>
      <c r="C37" s="192">
        <v>7.1970000000000001</v>
      </c>
      <c r="D37" s="191">
        <v>16</v>
      </c>
      <c r="E37" s="191">
        <v>5</v>
      </c>
      <c r="F37" s="191">
        <v>0</v>
      </c>
      <c r="G37" s="191">
        <v>38</v>
      </c>
      <c r="H37" s="190">
        <v>180</v>
      </c>
      <c r="I37" s="190">
        <v>0</v>
      </c>
      <c r="J37" s="190">
        <v>595</v>
      </c>
      <c r="K37" s="189">
        <v>0.42109999999999997</v>
      </c>
      <c r="L37" s="188">
        <v>0.3125</v>
      </c>
      <c r="M37" s="188">
        <v>0</v>
      </c>
      <c r="N37" s="187">
        <v>25.01</v>
      </c>
      <c r="O37" s="186">
        <v>0.69</v>
      </c>
      <c r="P37" s="186">
        <v>0</v>
      </c>
      <c r="Q37" s="185">
        <v>0.38</v>
      </c>
    </row>
    <row r="38" spans="1:17" ht="22.5" customHeight="1" x14ac:dyDescent="0.25">
      <c r="A38" s="184">
        <v>35</v>
      </c>
      <c r="B38" s="193" t="s">
        <v>286</v>
      </c>
      <c r="C38" s="192">
        <v>5.306</v>
      </c>
      <c r="D38" s="191">
        <v>5</v>
      </c>
      <c r="E38" s="191">
        <v>3</v>
      </c>
      <c r="F38" s="191">
        <v>0</v>
      </c>
      <c r="G38" s="191">
        <v>21</v>
      </c>
      <c r="H38" s="190">
        <v>350</v>
      </c>
      <c r="I38" s="190">
        <v>0</v>
      </c>
      <c r="J38" s="190">
        <v>415</v>
      </c>
      <c r="K38" s="189">
        <v>0.23810000000000001</v>
      </c>
      <c r="L38" s="188">
        <v>0.6</v>
      </c>
      <c r="M38" s="188">
        <v>0</v>
      </c>
      <c r="N38" s="187">
        <v>65.959999999999994</v>
      </c>
      <c r="O38" s="186">
        <v>0.56999999999999995</v>
      </c>
      <c r="P38" s="186">
        <v>0</v>
      </c>
      <c r="Q38" s="185">
        <v>0.38</v>
      </c>
    </row>
    <row r="39" spans="1:17" ht="22.5" customHeight="1" x14ac:dyDescent="0.25">
      <c r="A39" s="184">
        <v>36</v>
      </c>
      <c r="B39" s="193" t="s">
        <v>397</v>
      </c>
      <c r="C39" s="192">
        <v>5.1840000000000002</v>
      </c>
      <c r="D39" s="191">
        <v>3</v>
      </c>
      <c r="E39" s="191">
        <v>2</v>
      </c>
      <c r="F39" s="191">
        <v>0</v>
      </c>
      <c r="G39" s="191">
        <v>6</v>
      </c>
      <c r="H39" s="190">
        <v>45</v>
      </c>
      <c r="I39" s="190">
        <v>0</v>
      </c>
      <c r="J39" s="190">
        <v>95</v>
      </c>
      <c r="K39" s="189">
        <v>0.5</v>
      </c>
      <c r="L39" s="188">
        <v>0.66669999999999996</v>
      </c>
      <c r="M39" s="188">
        <v>0</v>
      </c>
      <c r="N39" s="187">
        <v>8.68</v>
      </c>
      <c r="O39" s="186">
        <v>0.39</v>
      </c>
      <c r="P39" s="186">
        <v>0</v>
      </c>
      <c r="Q39" s="185">
        <v>0.38</v>
      </c>
    </row>
    <row r="40" spans="1:17" ht="22.5" customHeight="1" x14ac:dyDescent="0.25">
      <c r="A40" s="184">
        <v>37</v>
      </c>
      <c r="B40" s="193" t="s">
        <v>316</v>
      </c>
      <c r="C40" s="192">
        <v>3.8540000000000001</v>
      </c>
      <c r="D40" s="191">
        <v>2</v>
      </c>
      <c r="E40" s="191">
        <v>1</v>
      </c>
      <c r="F40" s="191">
        <v>0</v>
      </c>
      <c r="G40" s="191">
        <v>5</v>
      </c>
      <c r="H40" s="190">
        <v>250</v>
      </c>
      <c r="I40" s="190">
        <v>0</v>
      </c>
      <c r="J40" s="190">
        <v>300</v>
      </c>
      <c r="K40" s="189">
        <v>0.4</v>
      </c>
      <c r="L40" s="188">
        <v>0.5</v>
      </c>
      <c r="M40" s="188">
        <v>0</v>
      </c>
      <c r="N40" s="187">
        <v>64.87</v>
      </c>
      <c r="O40" s="186">
        <v>0.26</v>
      </c>
      <c r="P40" s="186">
        <v>0</v>
      </c>
      <c r="Q40" s="185">
        <v>0.37</v>
      </c>
    </row>
    <row r="41" spans="1:17" ht="22.5" customHeight="1" x14ac:dyDescent="0.25">
      <c r="A41" s="184">
        <v>38</v>
      </c>
      <c r="B41" s="193" t="s">
        <v>375</v>
      </c>
      <c r="C41" s="192">
        <v>6.85</v>
      </c>
      <c r="D41" s="191">
        <v>3</v>
      </c>
      <c r="E41" s="191">
        <v>3</v>
      </c>
      <c r="F41" s="191">
        <v>0</v>
      </c>
      <c r="G41" s="191">
        <v>12</v>
      </c>
      <c r="H41" s="190">
        <v>175</v>
      </c>
      <c r="I41" s="190">
        <v>0</v>
      </c>
      <c r="J41" s="190">
        <v>175</v>
      </c>
      <c r="K41" s="189">
        <v>0.25</v>
      </c>
      <c r="L41" s="188">
        <v>1</v>
      </c>
      <c r="M41" s="188">
        <v>0</v>
      </c>
      <c r="N41" s="187">
        <v>25.55</v>
      </c>
      <c r="O41" s="186">
        <v>0.44</v>
      </c>
      <c r="P41" s="186">
        <v>0</v>
      </c>
      <c r="Q41" s="185">
        <v>0.37</v>
      </c>
    </row>
    <row r="42" spans="1:17" ht="22.5" customHeight="1" x14ac:dyDescent="0.25">
      <c r="A42" s="184">
        <v>39</v>
      </c>
      <c r="B42" s="193" t="s">
        <v>363</v>
      </c>
      <c r="C42" s="192">
        <v>8.4109999999999996</v>
      </c>
      <c r="D42" s="191">
        <v>6</v>
      </c>
      <c r="E42" s="191">
        <v>4</v>
      </c>
      <c r="F42" s="191">
        <v>0</v>
      </c>
      <c r="G42" s="191">
        <v>23</v>
      </c>
      <c r="H42" s="190">
        <v>430</v>
      </c>
      <c r="I42" s="190">
        <v>0</v>
      </c>
      <c r="J42" s="190">
        <v>495</v>
      </c>
      <c r="K42" s="189">
        <v>0.26090000000000002</v>
      </c>
      <c r="L42" s="188">
        <v>0.66669999999999996</v>
      </c>
      <c r="M42" s="188">
        <v>0</v>
      </c>
      <c r="N42" s="187">
        <v>51.12</v>
      </c>
      <c r="O42" s="186">
        <v>0.48</v>
      </c>
      <c r="P42" s="186">
        <v>0</v>
      </c>
      <c r="Q42" s="185">
        <v>0.37</v>
      </c>
    </row>
    <row r="43" spans="1:17" ht="22.5" customHeight="1" x14ac:dyDescent="0.25">
      <c r="A43" s="184">
        <v>40</v>
      </c>
      <c r="B43" s="193" t="s">
        <v>269</v>
      </c>
      <c r="C43" s="192">
        <v>2.14</v>
      </c>
      <c r="D43" s="191">
        <v>1</v>
      </c>
      <c r="E43" s="191">
        <v>1</v>
      </c>
      <c r="F43" s="191">
        <v>0</v>
      </c>
      <c r="G43" s="191">
        <v>4</v>
      </c>
      <c r="H43" s="190">
        <v>50</v>
      </c>
      <c r="I43" s="190">
        <v>0</v>
      </c>
      <c r="J43" s="190">
        <v>50</v>
      </c>
      <c r="K43" s="189">
        <v>0.25</v>
      </c>
      <c r="L43" s="188">
        <v>1</v>
      </c>
      <c r="M43" s="188">
        <v>0</v>
      </c>
      <c r="N43" s="187">
        <v>23.36</v>
      </c>
      <c r="O43" s="186">
        <v>0.47</v>
      </c>
      <c r="P43" s="186">
        <v>0</v>
      </c>
      <c r="Q43" s="185">
        <v>0.37</v>
      </c>
    </row>
    <row r="44" spans="1:17" ht="22.5" customHeight="1" x14ac:dyDescent="0.25">
      <c r="A44" s="184">
        <v>41</v>
      </c>
      <c r="B44" s="193" t="s">
        <v>369</v>
      </c>
      <c r="C44" s="192">
        <v>4.0759999999999996</v>
      </c>
      <c r="D44" s="191">
        <v>2</v>
      </c>
      <c r="E44" s="191">
        <v>1</v>
      </c>
      <c r="F44" s="191">
        <v>0</v>
      </c>
      <c r="G44" s="191">
        <v>7</v>
      </c>
      <c r="H44" s="190">
        <v>500</v>
      </c>
      <c r="I44" s="190">
        <v>0</v>
      </c>
      <c r="J44" s="190">
        <v>600</v>
      </c>
      <c r="K44" s="189">
        <v>0.28570000000000001</v>
      </c>
      <c r="L44" s="188">
        <v>0.5</v>
      </c>
      <c r="M44" s="188">
        <v>0</v>
      </c>
      <c r="N44" s="187">
        <v>122.67</v>
      </c>
      <c r="O44" s="186">
        <v>0.25</v>
      </c>
      <c r="P44" s="186">
        <v>0</v>
      </c>
      <c r="Q44" s="185">
        <v>0.36</v>
      </c>
    </row>
    <row r="45" spans="1:17" ht="22.5" customHeight="1" x14ac:dyDescent="0.25">
      <c r="A45" s="184">
        <v>42</v>
      </c>
      <c r="B45" s="193" t="s">
        <v>332</v>
      </c>
      <c r="C45" s="192">
        <v>6.0629999999999997</v>
      </c>
      <c r="D45" s="191">
        <v>3</v>
      </c>
      <c r="E45" s="191">
        <v>3</v>
      </c>
      <c r="F45" s="191">
        <v>0</v>
      </c>
      <c r="G45" s="191">
        <v>13</v>
      </c>
      <c r="H45" s="190">
        <v>70</v>
      </c>
      <c r="I45" s="190">
        <v>0</v>
      </c>
      <c r="J45" s="190">
        <v>70</v>
      </c>
      <c r="K45" s="189">
        <v>0.23080000000000001</v>
      </c>
      <c r="L45" s="188">
        <v>1</v>
      </c>
      <c r="M45" s="188">
        <v>0</v>
      </c>
      <c r="N45" s="187">
        <v>11.55</v>
      </c>
      <c r="O45" s="186">
        <v>0.49</v>
      </c>
      <c r="P45" s="186">
        <v>0</v>
      </c>
      <c r="Q45" s="185">
        <v>0.35</v>
      </c>
    </row>
    <row r="46" spans="1:17" ht="22.5" customHeight="1" x14ac:dyDescent="0.25">
      <c r="A46" s="184">
        <v>43</v>
      </c>
      <c r="B46" s="193" t="s">
        <v>352</v>
      </c>
      <c r="C46" s="192">
        <v>5.4889999999999999</v>
      </c>
      <c r="D46" s="191">
        <v>6</v>
      </c>
      <c r="E46" s="191">
        <v>3</v>
      </c>
      <c r="F46" s="191">
        <v>0</v>
      </c>
      <c r="G46" s="191">
        <v>25</v>
      </c>
      <c r="H46" s="190">
        <v>350</v>
      </c>
      <c r="I46" s="190">
        <v>0</v>
      </c>
      <c r="J46" s="190">
        <v>400</v>
      </c>
      <c r="K46" s="189">
        <v>0.24</v>
      </c>
      <c r="L46" s="188">
        <v>0.5</v>
      </c>
      <c r="M46" s="188">
        <v>0</v>
      </c>
      <c r="N46" s="187">
        <v>63.76</v>
      </c>
      <c r="O46" s="186">
        <v>0.55000000000000004</v>
      </c>
      <c r="P46" s="186">
        <v>0</v>
      </c>
      <c r="Q46" s="185">
        <v>0.35</v>
      </c>
    </row>
    <row r="47" spans="1:17" ht="22.5" customHeight="1" x14ac:dyDescent="0.25">
      <c r="A47" s="184">
        <v>44</v>
      </c>
      <c r="B47" s="193" t="s">
        <v>280</v>
      </c>
      <c r="C47" s="192">
        <v>5.4960000000000004</v>
      </c>
      <c r="D47" s="191">
        <v>4</v>
      </c>
      <c r="E47" s="191">
        <v>0</v>
      </c>
      <c r="F47" s="191">
        <v>1</v>
      </c>
      <c r="G47" s="191">
        <v>32</v>
      </c>
      <c r="H47" s="190">
        <v>0</v>
      </c>
      <c r="I47" s="190">
        <v>120</v>
      </c>
      <c r="J47" s="190">
        <v>175</v>
      </c>
      <c r="K47" s="189">
        <v>0.125</v>
      </c>
      <c r="L47" s="188">
        <v>0.25</v>
      </c>
      <c r="M47" s="188">
        <v>0.25</v>
      </c>
      <c r="N47" s="187">
        <v>21.83</v>
      </c>
      <c r="O47" s="186">
        <v>0.18</v>
      </c>
      <c r="P47" s="186">
        <v>0.18</v>
      </c>
      <c r="Q47" s="185">
        <v>0.34</v>
      </c>
    </row>
    <row r="48" spans="1:17" ht="22.5" customHeight="1" x14ac:dyDescent="0.25">
      <c r="A48" s="184">
        <v>45</v>
      </c>
      <c r="B48" s="193" t="s">
        <v>350</v>
      </c>
      <c r="C48" s="192">
        <v>3.516</v>
      </c>
      <c r="D48" s="191">
        <v>4</v>
      </c>
      <c r="E48" s="191">
        <v>2</v>
      </c>
      <c r="F48" s="191">
        <v>0</v>
      </c>
      <c r="G48" s="191">
        <v>15</v>
      </c>
      <c r="H48" s="190">
        <v>125</v>
      </c>
      <c r="I48" s="190">
        <v>0</v>
      </c>
      <c r="J48" s="190">
        <v>230</v>
      </c>
      <c r="K48" s="189">
        <v>0.26669999999999999</v>
      </c>
      <c r="L48" s="188">
        <v>0.5</v>
      </c>
      <c r="M48" s="188">
        <v>0</v>
      </c>
      <c r="N48" s="187">
        <v>35.549999999999997</v>
      </c>
      <c r="O48" s="186">
        <v>0.56999999999999995</v>
      </c>
      <c r="P48" s="186">
        <v>0</v>
      </c>
      <c r="Q48" s="185">
        <v>0.34</v>
      </c>
    </row>
    <row r="49" spans="1:17" ht="22.5" customHeight="1" x14ac:dyDescent="0.25">
      <c r="A49" s="184">
        <v>46</v>
      </c>
      <c r="B49" s="193" t="s">
        <v>389</v>
      </c>
      <c r="C49" s="192">
        <v>5.2480000000000002</v>
      </c>
      <c r="D49" s="191">
        <v>2</v>
      </c>
      <c r="E49" s="191">
        <v>2</v>
      </c>
      <c r="F49" s="191">
        <v>0</v>
      </c>
      <c r="G49" s="191">
        <v>15</v>
      </c>
      <c r="H49" s="190">
        <v>150</v>
      </c>
      <c r="I49" s="190">
        <v>0</v>
      </c>
      <c r="J49" s="190">
        <v>150</v>
      </c>
      <c r="K49" s="189">
        <v>0.1333</v>
      </c>
      <c r="L49" s="188">
        <v>1</v>
      </c>
      <c r="M49" s="188">
        <v>0</v>
      </c>
      <c r="N49" s="187">
        <v>28.58</v>
      </c>
      <c r="O49" s="186">
        <v>0.38</v>
      </c>
      <c r="P49" s="186">
        <v>0</v>
      </c>
      <c r="Q49" s="185">
        <v>0.33</v>
      </c>
    </row>
    <row r="50" spans="1:17" ht="22.5" customHeight="1" x14ac:dyDescent="0.25">
      <c r="A50" s="184">
        <v>47</v>
      </c>
      <c r="B50" s="193" t="s">
        <v>390</v>
      </c>
      <c r="C50" s="192">
        <v>7.468</v>
      </c>
      <c r="D50" s="191">
        <v>5</v>
      </c>
      <c r="E50" s="191">
        <v>3</v>
      </c>
      <c r="F50" s="191">
        <v>0</v>
      </c>
      <c r="G50" s="191">
        <v>23</v>
      </c>
      <c r="H50" s="190">
        <v>305</v>
      </c>
      <c r="I50" s="190">
        <v>0</v>
      </c>
      <c r="J50" s="190">
        <v>410</v>
      </c>
      <c r="K50" s="189">
        <v>0.21740000000000001</v>
      </c>
      <c r="L50" s="188">
        <v>0.6</v>
      </c>
      <c r="M50" s="188">
        <v>0</v>
      </c>
      <c r="N50" s="187">
        <v>40.840000000000003</v>
      </c>
      <c r="O50" s="186">
        <v>0.4</v>
      </c>
      <c r="P50" s="186">
        <v>0</v>
      </c>
      <c r="Q50" s="185">
        <v>0.3</v>
      </c>
    </row>
    <row r="51" spans="1:17" ht="22.5" customHeight="1" x14ac:dyDescent="0.25">
      <c r="A51" s="184">
        <v>48</v>
      </c>
      <c r="B51" s="193" t="s">
        <v>385</v>
      </c>
      <c r="C51" s="192">
        <v>9.9749999999999996</v>
      </c>
      <c r="D51" s="191">
        <v>3</v>
      </c>
      <c r="E51" s="191">
        <v>2</v>
      </c>
      <c r="F51" s="191">
        <v>0</v>
      </c>
      <c r="G51" s="191">
        <v>18</v>
      </c>
      <c r="H51" s="190">
        <v>600</v>
      </c>
      <c r="I51" s="190">
        <v>0</v>
      </c>
      <c r="J51" s="190">
        <v>620</v>
      </c>
      <c r="K51" s="189">
        <v>0.16669999999999999</v>
      </c>
      <c r="L51" s="188">
        <v>0.66669999999999996</v>
      </c>
      <c r="M51" s="188">
        <v>0</v>
      </c>
      <c r="N51" s="187">
        <v>60.15</v>
      </c>
      <c r="O51" s="186">
        <v>0.2</v>
      </c>
      <c r="P51" s="186">
        <v>0</v>
      </c>
      <c r="Q51" s="185">
        <v>0.28999999999999998</v>
      </c>
    </row>
    <row r="52" spans="1:17" ht="22.5" customHeight="1" x14ac:dyDescent="0.25">
      <c r="A52" s="184">
        <v>49</v>
      </c>
      <c r="B52" s="193" t="s">
        <v>321</v>
      </c>
      <c r="C52" s="192">
        <v>4.6070000000000002</v>
      </c>
      <c r="D52" s="191">
        <v>1</v>
      </c>
      <c r="E52" s="191">
        <v>1</v>
      </c>
      <c r="F52" s="191">
        <v>0</v>
      </c>
      <c r="G52" s="191">
        <v>7</v>
      </c>
      <c r="H52" s="190">
        <v>25</v>
      </c>
      <c r="I52" s="190">
        <v>0</v>
      </c>
      <c r="J52" s="190">
        <v>25</v>
      </c>
      <c r="K52" s="189">
        <v>0.1429</v>
      </c>
      <c r="L52" s="188">
        <v>1</v>
      </c>
      <c r="M52" s="188">
        <v>0</v>
      </c>
      <c r="N52" s="187">
        <v>5.43</v>
      </c>
      <c r="O52" s="186">
        <v>0.22</v>
      </c>
      <c r="P52" s="186">
        <v>0</v>
      </c>
      <c r="Q52" s="185">
        <v>0.28000000000000003</v>
      </c>
    </row>
    <row r="53" spans="1:17" ht="22.5" customHeight="1" x14ac:dyDescent="0.25">
      <c r="A53" s="184">
        <v>50</v>
      </c>
      <c r="B53" s="193" t="s">
        <v>406</v>
      </c>
      <c r="C53" s="192">
        <v>5.6310000000000002</v>
      </c>
      <c r="D53" s="191">
        <v>1</v>
      </c>
      <c r="E53" s="191">
        <v>1</v>
      </c>
      <c r="F53" s="191">
        <v>0</v>
      </c>
      <c r="G53" s="191">
        <v>17</v>
      </c>
      <c r="H53" s="190">
        <v>30</v>
      </c>
      <c r="I53" s="190">
        <v>0</v>
      </c>
      <c r="J53" s="190">
        <v>30</v>
      </c>
      <c r="K53" s="189">
        <v>5.8799999999999998E-2</v>
      </c>
      <c r="L53" s="188">
        <v>1</v>
      </c>
      <c r="M53" s="188">
        <v>0</v>
      </c>
      <c r="N53" s="187">
        <v>5.33</v>
      </c>
      <c r="O53" s="186">
        <v>0.18</v>
      </c>
      <c r="P53" s="186">
        <v>0</v>
      </c>
      <c r="Q53" s="185">
        <v>0.25</v>
      </c>
    </row>
    <row r="54" spans="1:17" ht="22.5" customHeight="1" x14ac:dyDescent="0.25">
      <c r="A54" s="184">
        <v>51</v>
      </c>
      <c r="B54" s="193" t="s">
        <v>359</v>
      </c>
      <c r="C54" s="192">
        <v>5.16</v>
      </c>
      <c r="D54" s="191">
        <v>1</v>
      </c>
      <c r="E54" s="191">
        <v>1</v>
      </c>
      <c r="F54" s="191">
        <v>0</v>
      </c>
      <c r="G54" s="191">
        <v>15</v>
      </c>
      <c r="H54" s="190">
        <v>20</v>
      </c>
      <c r="I54" s="190">
        <v>0</v>
      </c>
      <c r="J54" s="190">
        <v>20</v>
      </c>
      <c r="K54" s="189">
        <v>6.6699999999999995E-2</v>
      </c>
      <c r="L54" s="188">
        <v>1</v>
      </c>
      <c r="M54" s="188">
        <v>0</v>
      </c>
      <c r="N54" s="187">
        <v>3.88</v>
      </c>
      <c r="O54" s="186">
        <v>0.19</v>
      </c>
      <c r="P54" s="186">
        <v>0</v>
      </c>
      <c r="Q54" s="185">
        <v>0.25</v>
      </c>
    </row>
    <row r="55" spans="1:17" ht="22.5" customHeight="1" x14ac:dyDescent="0.25">
      <c r="A55" s="184">
        <v>52</v>
      </c>
      <c r="B55" s="193" t="s">
        <v>326</v>
      </c>
      <c r="C55" s="192">
        <v>4.9119999999999999</v>
      </c>
      <c r="D55" s="191">
        <v>4</v>
      </c>
      <c r="E55" s="191">
        <v>1</v>
      </c>
      <c r="F55" s="191">
        <v>0</v>
      </c>
      <c r="G55" s="191">
        <v>14</v>
      </c>
      <c r="H55" s="190">
        <v>100</v>
      </c>
      <c r="I55" s="190">
        <v>0</v>
      </c>
      <c r="J55" s="190">
        <v>130</v>
      </c>
      <c r="K55" s="189">
        <v>0.28570000000000001</v>
      </c>
      <c r="L55" s="188">
        <v>0.25</v>
      </c>
      <c r="M55" s="188">
        <v>0</v>
      </c>
      <c r="N55" s="187">
        <v>20.36</v>
      </c>
      <c r="O55" s="186">
        <v>0.2</v>
      </c>
      <c r="P55" s="186">
        <v>0</v>
      </c>
      <c r="Q55" s="185">
        <v>0.24</v>
      </c>
    </row>
    <row r="56" spans="1:17" ht="22.5" customHeight="1" x14ac:dyDescent="0.25">
      <c r="A56" s="184">
        <v>53</v>
      </c>
      <c r="B56" s="193" t="s">
        <v>370</v>
      </c>
      <c r="C56" s="192">
        <v>0.85699999999999998</v>
      </c>
      <c r="D56" s="191">
        <v>2</v>
      </c>
      <c r="E56" s="191">
        <v>0</v>
      </c>
      <c r="F56" s="191">
        <v>0</v>
      </c>
      <c r="G56" s="191">
        <v>4</v>
      </c>
      <c r="H56" s="190">
        <v>0</v>
      </c>
      <c r="I56" s="190">
        <v>0</v>
      </c>
      <c r="J56" s="190">
        <v>350</v>
      </c>
      <c r="K56" s="189">
        <v>0.5</v>
      </c>
      <c r="L56" s="188">
        <v>0</v>
      </c>
      <c r="M56" s="188">
        <v>0</v>
      </c>
      <c r="N56" s="187">
        <v>0</v>
      </c>
      <c r="O56" s="186">
        <v>0</v>
      </c>
      <c r="P56" s="186">
        <v>0</v>
      </c>
      <c r="Q56" s="185">
        <v>0.17</v>
      </c>
    </row>
    <row r="57" spans="1:17" ht="22.5" customHeight="1" x14ac:dyDescent="0.25">
      <c r="A57" s="184">
        <v>54</v>
      </c>
      <c r="B57" s="193" t="s">
        <v>353</v>
      </c>
      <c r="C57" s="192">
        <v>1.0589999999999999</v>
      </c>
      <c r="D57" s="191">
        <v>1</v>
      </c>
      <c r="E57" s="191">
        <v>0</v>
      </c>
      <c r="F57" s="191">
        <v>0</v>
      </c>
      <c r="G57" s="191">
        <v>2</v>
      </c>
      <c r="H57" s="190">
        <v>0</v>
      </c>
      <c r="I57" s="190">
        <v>0</v>
      </c>
      <c r="J57" s="190">
        <v>100</v>
      </c>
      <c r="K57" s="189">
        <v>0.5</v>
      </c>
      <c r="L57" s="188">
        <v>0</v>
      </c>
      <c r="M57" s="188">
        <v>0</v>
      </c>
      <c r="N57" s="187">
        <v>0</v>
      </c>
      <c r="O57" s="186">
        <v>0</v>
      </c>
      <c r="P57" s="186">
        <v>0</v>
      </c>
      <c r="Q57" s="185">
        <v>0.17</v>
      </c>
    </row>
    <row r="58" spans="1:17" ht="22.5" customHeight="1" x14ac:dyDescent="0.25">
      <c r="A58" s="184">
        <v>55</v>
      </c>
      <c r="B58" s="193" t="s">
        <v>290</v>
      </c>
      <c r="C58" s="192">
        <v>1.552</v>
      </c>
      <c r="D58" s="191">
        <v>1</v>
      </c>
      <c r="E58" s="191">
        <v>0</v>
      </c>
      <c r="F58" s="191">
        <v>0</v>
      </c>
      <c r="G58" s="191">
        <v>5</v>
      </c>
      <c r="H58" s="190">
        <v>0</v>
      </c>
      <c r="I58" s="190">
        <v>0</v>
      </c>
      <c r="J58" s="190">
        <v>25</v>
      </c>
      <c r="K58" s="189">
        <v>0.2</v>
      </c>
      <c r="L58" s="188">
        <v>0</v>
      </c>
      <c r="M58" s="188">
        <v>0</v>
      </c>
      <c r="N58" s="187">
        <v>0</v>
      </c>
      <c r="O58" s="186">
        <v>0</v>
      </c>
      <c r="P58" s="186">
        <v>0</v>
      </c>
      <c r="Q58" s="185">
        <v>0.06</v>
      </c>
    </row>
    <row r="59" spans="1:17" ht="22.5" customHeight="1" x14ac:dyDescent="0.25">
      <c r="A59" s="184">
        <v>56</v>
      </c>
      <c r="B59" s="193" t="s">
        <v>405</v>
      </c>
      <c r="C59" s="192">
        <v>2.1459999999999999</v>
      </c>
      <c r="D59" s="191">
        <v>1</v>
      </c>
      <c r="E59" s="191">
        <v>0</v>
      </c>
      <c r="F59" s="191">
        <v>0</v>
      </c>
      <c r="G59" s="191">
        <v>7</v>
      </c>
      <c r="H59" s="190">
        <v>0</v>
      </c>
      <c r="I59" s="190">
        <v>0</v>
      </c>
      <c r="J59" s="190">
        <v>100</v>
      </c>
      <c r="K59" s="189">
        <v>0.1429</v>
      </c>
      <c r="L59" s="188">
        <v>0</v>
      </c>
      <c r="M59" s="188">
        <v>0</v>
      </c>
      <c r="N59" s="187">
        <v>0</v>
      </c>
      <c r="O59" s="186">
        <v>0</v>
      </c>
      <c r="P59" s="186">
        <v>0</v>
      </c>
      <c r="Q59" s="185">
        <v>0.05</v>
      </c>
    </row>
    <row r="60" spans="1:17" ht="22.5" customHeight="1" x14ac:dyDescent="0.25">
      <c r="A60" s="184">
        <v>57</v>
      </c>
      <c r="B60" s="193" t="s">
        <v>356</v>
      </c>
      <c r="C60" s="192">
        <v>7.7069999999999999</v>
      </c>
      <c r="D60" s="191">
        <v>1</v>
      </c>
      <c r="E60" s="191">
        <v>0</v>
      </c>
      <c r="F60" s="191">
        <v>0</v>
      </c>
      <c r="G60" s="191">
        <v>25</v>
      </c>
      <c r="H60" s="190">
        <v>0</v>
      </c>
      <c r="I60" s="190">
        <v>0</v>
      </c>
      <c r="J60" s="190">
        <v>500</v>
      </c>
      <c r="K60" s="189">
        <v>0.04</v>
      </c>
      <c r="L60" s="188">
        <v>0</v>
      </c>
      <c r="M60" s="188">
        <v>0</v>
      </c>
      <c r="N60" s="187">
        <v>0</v>
      </c>
      <c r="O60" s="186">
        <v>0</v>
      </c>
      <c r="P60" s="186">
        <v>0</v>
      </c>
      <c r="Q60" s="185">
        <v>0.03</v>
      </c>
    </row>
    <row r="61" spans="1:17" ht="22.5" customHeight="1" x14ac:dyDescent="0.25">
      <c r="A61" s="184">
        <v>58</v>
      </c>
      <c r="B61" s="193" t="s">
        <v>295</v>
      </c>
      <c r="C61" s="192">
        <v>0.35499999999999998</v>
      </c>
      <c r="D61" s="191">
        <v>0</v>
      </c>
      <c r="E61" s="191">
        <v>0</v>
      </c>
      <c r="F61" s="191">
        <v>0</v>
      </c>
      <c r="G61" s="191">
        <v>1</v>
      </c>
      <c r="H61" s="190">
        <v>0</v>
      </c>
      <c r="I61" s="190">
        <v>0</v>
      </c>
      <c r="J61" s="190">
        <v>0</v>
      </c>
      <c r="K61" s="189">
        <v>0</v>
      </c>
      <c r="L61" s="188">
        <v>0</v>
      </c>
      <c r="M61" s="188">
        <v>0</v>
      </c>
      <c r="N61" s="187">
        <v>0</v>
      </c>
      <c r="O61" s="186">
        <v>0</v>
      </c>
      <c r="P61" s="186">
        <v>0</v>
      </c>
      <c r="Q61" s="185">
        <v>0.02</v>
      </c>
    </row>
    <row r="62" spans="1:17" ht="22.5" customHeight="1" x14ac:dyDescent="0.25">
      <c r="A62" s="184">
        <v>59</v>
      </c>
      <c r="B62" s="193" t="s">
        <v>355</v>
      </c>
      <c r="C62" s="192">
        <v>0.52900000000000003</v>
      </c>
      <c r="D62" s="191">
        <v>0</v>
      </c>
      <c r="E62" s="191">
        <v>0</v>
      </c>
      <c r="F62" s="191">
        <v>0</v>
      </c>
      <c r="G62" s="191">
        <v>1</v>
      </c>
      <c r="H62" s="190">
        <v>0</v>
      </c>
      <c r="I62" s="190">
        <v>0</v>
      </c>
      <c r="J62" s="190">
        <v>0</v>
      </c>
      <c r="K62" s="189">
        <v>0</v>
      </c>
      <c r="L62" s="188">
        <v>0</v>
      </c>
      <c r="M62" s="188">
        <v>0</v>
      </c>
      <c r="N62" s="187">
        <v>0</v>
      </c>
      <c r="O62" s="186">
        <v>0</v>
      </c>
      <c r="P62" s="186">
        <v>0</v>
      </c>
      <c r="Q62" s="185">
        <v>0.02</v>
      </c>
    </row>
    <row r="63" spans="1:17" ht="22.5" customHeight="1" x14ac:dyDescent="0.25">
      <c r="A63" s="184">
        <v>60</v>
      </c>
      <c r="B63" s="193" t="s">
        <v>274</v>
      </c>
      <c r="C63" s="192">
        <v>0.85099999999999998</v>
      </c>
      <c r="D63" s="191">
        <v>0</v>
      </c>
      <c r="E63" s="191">
        <v>0</v>
      </c>
      <c r="F63" s="191">
        <v>0</v>
      </c>
      <c r="G63" s="191">
        <v>3</v>
      </c>
      <c r="H63" s="190">
        <v>0</v>
      </c>
      <c r="I63" s="190">
        <v>0</v>
      </c>
      <c r="J63" s="190">
        <v>0</v>
      </c>
      <c r="K63" s="189">
        <v>0</v>
      </c>
      <c r="L63" s="188">
        <v>0</v>
      </c>
      <c r="M63" s="188">
        <v>0</v>
      </c>
      <c r="N63" s="187">
        <v>0</v>
      </c>
      <c r="O63" s="186">
        <v>0</v>
      </c>
      <c r="P63" s="186">
        <v>0</v>
      </c>
      <c r="Q63" s="185">
        <v>0.02</v>
      </c>
    </row>
    <row r="64" spans="1:17" ht="22.5" customHeight="1" x14ac:dyDescent="0.25">
      <c r="A64" s="184">
        <v>61</v>
      </c>
      <c r="B64" s="193" t="s">
        <v>275</v>
      </c>
      <c r="C64" s="192">
        <v>7.0000000000000001E-3</v>
      </c>
      <c r="D64" s="191">
        <v>0</v>
      </c>
      <c r="E64" s="191">
        <v>0</v>
      </c>
      <c r="F64" s="191">
        <v>0</v>
      </c>
      <c r="G64" s="191">
        <v>0</v>
      </c>
      <c r="H64" s="190">
        <v>0</v>
      </c>
      <c r="I64" s="190">
        <v>0</v>
      </c>
      <c r="J64" s="190">
        <v>0</v>
      </c>
      <c r="K64" s="189">
        <v>0</v>
      </c>
      <c r="L64" s="188">
        <v>0</v>
      </c>
      <c r="M64" s="188">
        <v>0</v>
      </c>
      <c r="N64" s="187">
        <v>0</v>
      </c>
      <c r="O64" s="186">
        <v>0</v>
      </c>
      <c r="P64" s="186">
        <v>0</v>
      </c>
      <c r="Q64" s="185">
        <v>0.02</v>
      </c>
    </row>
    <row r="65" spans="1:17" ht="22.5" customHeight="1" x14ac:dyDescent="0.25">
      <c r="A65" s="184">
        <v>62</v>
      </c>
      <c r="B65" s="193" t="s">
        <v>322</v>
      </c>
      <c r="C65" s="192">
        <v>0.501</v>
      </c>
      <c r="D65" s="191">
        <v>0</v>
      </c>
      <c r="E65" s="191">
        <v>0</v>
      </c>
      <c r="F65" s="191">
        <v>0</v>
      </c>
      <c r="G65" s="191">
        <v>0</v>
      </c>
      <c r="H65" s="190">
        <v>0</v>
      </c>
      <c r="I65" s="190">
        <v>0</v>
      </c>
      <c r="J65" s="190">
        <v>0</v>
      </c>
      <c r="K65" s="189">
        <v>0</v>
      </c>
      <c r="L65" s="188">
        <v>0</v>
      </c>
      <c r="M65" s="188">
        <v>0</v>
      </c>
      <c r="N65" s="187">
        <v>0</v>
      </c>
      <c r="O65" s="186">
        <v>0</v>
      </c>
      <c r="P65" s="186">
        <v>0</v>
      </c>
      <c r="Q65" s="185">
        <v>0.02</v>
      </c>
    </row>
    <row r="66" spans="1:17" ht="22.5" customHeight="1" x14ac:dyDescent="0.25">
      <c r="A66" s="184" t="s">
        <v>171</v>
      </c>
      <c r="B66" s="183" t="s">
        <v>3</v>
      </c>
      <c r="C66" s="182">
        <v>290.541</v>
      </c>
      <c r="D66" s="181">
        <v>280</v>
      </c>
      <c r="E66" s="181">
        <v>150</v>
      </c>
      <c r="F66" s="181">
        <v>24</v>
      </c>
      <c r="G66" s="181">
        <v>908</v>
      </c>
      <c r="H66" s="180">
        <v>17080.18</v>
      </c>
      <c r="I66" s="180">
        <v>2470</v>
      </c>
      <c r="J66" s="180">
        <v>27300.18</v>
      </c>
      <c r="K66" s="179">
        <v>0.30840000000000001</v>
      </c>
      <c r="L66" s="178">
        <v>0.62139999999999995</v>
      </c>
      <c r="M66" s="178">
        <v>0.18459999999999999</v>
      </c>
      <c r="N66" s="177">
        <v>67.290000000000006</v>
      </c>
      <c r="O66" s="176">
        <v>0.6</v>
      </c>
      <c r="P66" s="176">
        <v>0.08</v>
      </c>
      <c r="Q66" s="175" t="s">
        <v>171</v>
      </c>
    </row>
  </sheetData>
  <sortState ref="B3:R64">
    <sortCondition descending="1" ref="Q3"/>
  </sortState>
  <mergeCells count="3">
    <mergeCell ref="F1:L1"/>
    <mergeCell ref="A2:A3"/>
    <mergeCell ref="B2:B3"/>
  </mergeCells>
  <pageMargins left="0.25" right="0.25" top="0.25" bottom="0.5" header="0.25" footer="0.25"/>
  <pageSetup orientation="portrait" cellComments="atEnd"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rgb="FFFF0000"/>
  </sheetPr>
  <dimension ref="A1:Q64"/>
  <sheetViews>
    <sheetView workbookViewId="0">
      <selection sqref="A1:Q22"/>
    </sheetView>
  </sheetViews>
  <sheetFormatPr defaultRowHeight="22.5" customHeight="1" x14ac:dyDescent="0.25"/>
  <cols>
    <col min="1" max="1" width="6" style="93" bestFit="1" customWidth="1"/>
    <col min="2" max="2" width="22.42578125" style="94" bestFit="1" customWidth="1"/>
    <col min="3" max="3" width="8.28515625" style="93" bestFit="1" customWidth="1"/>
    <col min="4" max="4" width="6" style="93" bestFit="1" customWidth="1"/>
    <col min="5" max="5" width="10.28515625" style="93" bestFit="1" customWidth="1"/>
    <col min="6" max="6" width="10.42578125" style="93" bestFit="1" customWidth="1"/>
    <col min="7" max="7" width="8.42578125" style="93" bestFit="1" customWidth="1"/>
    <col min="8" max="8" width="13.42578125" style="93" bestFit="1" customWidth="1"/>
    <col min="9" max="9" width="12" style="93" bestFit="1" customWidth="1"/>
    <col min="10" max="11" width="13.42578125" style="93" bestFit="1" customWidth="1"/>
    <col min="12" max="12" width="11.42578125" style="93" bestFit="1" customWidth="1"/>
    <col min="13" max="13" width="10.42578125" style="93" bestFit="1" customWidth="1"/>
    <col min="14" max="14" width="11.85546875" style="93" bestFit="1" customWidth="1"/>
    <col min="15" max="15" width="11.42578125" style="93" bestFit="1" customWidth="1"/>
    <col min="16" max="16" width="10.42578125" style="93" bestFit="1" customWidth="1"/>
    <col min="17" max="17" width="12.28515625" style="93" bestFit="1" customWidth="1"/>
    <col min="18" max="16384" width="9.140625" style="93"/>
  </cols>
  <sheetData>
    <row r="1" spans="1:17" ht="22.5" customHeight="1" x14ac:dyDescent="0.25">
      <c r="F1" s="610"/>
      <c r="G1" s="610"/>
      <c r="H1" s="610"/>
      <c r="I1" s="610"/>
      <c r="J1" s="610"/>
      <c r="K1" s="610"/>
      <c r="L1" s="610"/>
    </row>
    <row r="2" spans="1:17" ht="22.5" customHeight="1" x14ac:dyDescent="0.25">
      <c r="A2" s="606" t="s">
        <v>172</v>
      </c>
      <c r="B2" s="608" t="s">
        <v>7</v>
      </c>
      <c r="C2" s="199" t="s">
        <v>173</v>
      </c>
      <c r="D2" s="198" t="s">
        <v>3</v>
      </c>
      <c r="E2" s="198" t="s">
        <v>176</v>
      </c>
      <c r="F2" s="198" t="s">
        <v>166</v>
      </c>
      <c r="G2" s="198" t="s">
        <v>8</v>
      </c>
      <c r="H2" s="198" t="s">
        <v>176</v>
      </c>
      <c r="I2" s="198" t="s">
        <v>166</v>
      </c>
      <c r="J2" s="198" t="s">
        <v>3</v>
      </c>
      <c r="K2" s="198" t="s">
        <v>21</v>
      </c>
      <c r="L2" s="198" t="s">
        <v>164</v>
      </c>
      <c r="M2" s="198" t="s">
        <v>166</v>
      </c>
      <c r="N2" s="198" t="s">
        <v>164</v>
      </c>
      <c r="O2" s="198" t="s">
        <v>164</v>
      </c>
      <c r="P2" s="198" t="s">
        <v>166</v>
      </c>
      <c r="Q2" s="197" t="s">
        <v>169</v>
      </c>
    </row>
    <row r="3" spans="1:17" ht="22.5" customHeight="1" x14ac:dyDescent="0.25">
      <c r="A3" s="607"/>
      <c r="B3" s="609"/>
      <c r="C3" s="196" t="s">
        <v>174</v>
      </c>
      <c r="D3" s="195" t="s">
        <v>175</v>
      </c>
      <c r="E3" s="195" t="s">
        <v>175</v>
      </c>
      <c r="F3" s="195" t="s">
        <v>175</v>
      </c>
      <c r="G3" s="195" t="s">
        <v>12</v>
      </c>
      <c r="H3" s="195" t="s">
        <v>9</v>
      </c>
      <c r="I3" s="195" t="s">
        <v>9</v>
      </c>
      <c r="J3" s="195" t="s">
        <v>9</v>
      </c>
      <c r="K3" s="195" t="s">
        <v>13</v>
      </c>
      <c r="L3" s="195" t="s">
        <v>165</v>
      </c>
      <c r="M3" s="195" t="s">
        <v>165</v>
      </c>
      <c r="N3" s="195" t="s">
        <v>167</v>
      </c>
      <c r="O3" s="195" t="s">
        <v>168</v>
      </c>
      <c r="P3" s="195" t="s">
        <v>168</v>
      </c>
      <c r="Q3" s="194" t="s">
        <v>170</v>
      </c>
    </row>
    <row r="4" spans="1:17" ht="22.5" customHeight="1" x14ac:dyDescent="0.25">
      <c r="A4" s="184">
        <v>1</v>
      </c>
      <c r="B4" s="193" t="s">
        <v>355</v>
      </c>
      <c r="C4" s="192">
        <v>1.575</v>
      </c>
      <c r="D4" s="191">
        <v>3</v>
      </c>
      <c r="E4" s="191">
        <v>2</v>
      </c>
      <c r="F4" s="191">
        <v>1</v>
      </c>
      <c r="G4" s="191">
        <v>5</v>
      </c>
      <c r="H4" s="190">
        <v>105</v>
      </c>
      <c r="I4" s="190">
        <v>100</v>
      </c>
      <c r="J4" s="190">
        <v>205</v>
      </c>
      <c r="K4" s="189">
        <v>0.6</v>
      </c>
      <c r="L4" s="188">
        <v>1</v>
      </c>
      <c r="M4" s="188">
        <v>1</v>
      </c>
      <c r="N4" s="187">
        <v>130.16</v>
      </c>
      <c r="O4" s="186">
        <v>1.9</v>
      </c>
      <c r="P4" s="186">
        <v>0.63</v>
      </c>
      <c r="Q4" s="185">
        <v>0.91</v>
      </c>
    </row>
    <row r="5" spans="1:17" ht="22.5" customHeight="1" x14ac:dyDescent="0.25">
      <c r="A5" s="184">
        <v>2</v>
      </c>
      <c r="B5" s="193" t="s">
        <v>403</v>
      </c>
      <c r="C5" s="192">
        <v>2.64</v>
      </c>
      <c r="D5" s="191">
        <v>7</v>
      </c>
      <c r="E5" s="191">
        <v>3</v>
      </c>
      <c r="F5" s="191">
        <v>2</v>
      </c>
      <c r="G5" s="191">
        <v>9</v>
      </c>
      <c r="H5" s="190">
        <v>100</v>
      </c>
      <c r="I5" s="190">
        <v>180</v>
      </c>
      <c r="J5" s="190">
        <v>335</v>
      </c>
      <c r="K5" s="189">
        <v>0.77780000000000005</v>
      </c>
      <c r="L5" s="188">
        <v>0.71430000000000005</v>
      </c>
      <c r="M5" s="188">
        <v>0.5</v>
      </c>
      <c r="N5" s="187">
        <v>106.06</v>
      </c>
      <c r="O5" s="186">
        <v>1.89</v>
      </c>
      <c r="P5" s="186">
        <v>0.76</v>
      </c>
      <c r="Q5" s="185">
        <v>0.86</v>
      </c>
    </row>
    <row r="6" spans="1:17" ht="22.5" customHeight="1" x14ac:dyDescent="0.25">
      <c r="A6" s="184">
        <v>3</v>
      </c>
      <c r="B6" s="193" t="s">
        <v>330</v>
      </c>
      <c r="C6" s="192">
        <v>6.0679999999999996</v>
      </c>
      <c r="D6" s="191">
        <v>15</v>
      </c>
      <c r="E6" s="191">
        <v>9</v>
      </c>
      <c r="F6" s="191">
        <v>2</v>
      </c>
      <c r="G6" s="191">
        <v>21</v>
      </c>
      <c r="H6" s="190">
        <v>445</v>
      </c>
      <c r="I6" s="190">
        <v>250</v>
      </c>
      <c r="J6" s="190">
        <v>935</v>
      </c>
      <c r="K6" s="189">
        <v>0.71430000000000005</v>
      </c>
      <c r="L6" s="188">
        <v>0.73329999999999995</v>
      </c>
      <c r="M6" s="188">
        <v>0.33329999999999999</v>
      </c>
      <c r="N6" s="187">
        <v>114.54</v>
      </c>
      <c r="O6" s="186">
        <v>1.81</v>
      </c>
      <c r="P6" s="186">
        <v>0.33</v>
      </c>
      <c r="Q6" s="185">
        <v>0.85</v>
      </c>
    </row>
    <row r="7" spans="1:17" ht="22.5" customHeight="1" x14ac:dyDescent="0.25">
      <c r="A7" s="184">
        <v>4</v>
      </c>
      <c r="B7" s="193" t="s">
        <v>360</v>
      </c>
      <c r="C7" s="192">
        <v>6.6890000000000001</v>
      </c>
      <c r="D7" s="191">
        <v>12</v>
      </c>
      <c r="E7" s="191">
        <v>7</v>
      </c>
      <c r="F7" s="191">
        <v>3</v>
      </c>
      <c r="G7" s="191">
        <v>20</v>
      </c>
      <c r="H7" s="190">
        <v>375</v>
      </c>
      <c r="I7" s="190">
        <v>240</v>
      </c>
      <c r="J7" s="190">
        <v>675</v>
      </c>
      <c r="K7" s="189">
        <v>0.6</v>
      </c>
      <c r="L7" s="188">
        <v>0.83330000000000004</v>
      </c>
      <c r="M7" s="188">
        <v>0.6</v>
      </c>
      <c r="N7" s="187">
        <v>91.94</v>
      </c>
      <c r="O7" s="186">
        <v>1.49</v>
      </c>
      <c r="P7" s="186">
        <v>0.45</v>
      </c>
      <c r="Q7" s="185">
        <v>0.85</v>
      </c>
    </row>
    <row r="8" spans="1:17" ht="22.5" customHeight="1" x14ac:dyDescent="0.25">
      <c r="A8" s="184">
        <v>5</v>
      </c>
      <c r="B8" s="193" t="s">
        <v>274</v>
      </c>
      <c r="C8" s="192">
        <v>2.1779999999999999</v>
      </c>
      <c r="D8" s="191">
        <v>4</v>
      </c>
      <c r="E8" s="191">
        <v>2</v>
      </c>
      <c r="F8" s="191">
        <v>1</v>
      </c>
      <c r="G8" s="191">
        <v>9</v>
      </c>
      <c r="H8" s="190">
        <v>430</v>
      </c>
      <c r="I8" s="190">
        <v>20</v>
      </c>
      <c r="J8" s="190">
        <v>460</v>
      </c>
      <c r="K8" s="189">
        <v>0.44440000000000002</v>
      </c>
      <c r="L8" s="188">
        <v>0.75</v>
      </c>
      <c r="M8" s="188">
        <v>0.5</v>
      </c>
      <c r="N8" s="187">
        <v>206.61</v>
      </c>
      <c r="O8" s="186">
        <v>1.38</v>
      </c>
      <c r="P8" s="186">
        <v>0.46</v>
      </c>
      <c r="Q8" s="185">
        <v>0.81</v>
      </c>
    </row>
    <row r="9" spans="1:17" ht="22.5" customHeight="1" x14ac:dyDescent="0.25">
      <c r="A9" s="184">
        <v>6</v>
      </c>
      <c r="B9" s="193" t="s">
        <v>430</v>
      </c>
      <c r="C9" s="192">
        <v>7.4720000000000004</v>
      </c>
      <c r="D9" s="191">
        <v>14</v>
      </c>
      <c r="E9" s="191">
        <v>10</v>
      </c>
      <c r="F9" s="191">
        <v>1</v>
      </c>
      <c r="G9" s="191">
        <v>32</v>
      </c>
      <c r="H9" s="190">
        <v>740</v>
      </c>
      <c r="I9" s="190">
        <v>120</v>
      </c>
      <c r="J9" s="190">
        <v>1005</v>
      </c>
      <c r="K9" s="189">
        <v>0.4375</v>
      </c>
      <c r="L9" s="188">
        <v>0.78569999999999995</v>
      </c>
      <c r="M9" s="188">
        <v>0.25</v>
      </c>
      <c r="N9" s="187">
        <v>115.1</v>
      </c>
      <c r="O9" s="186">
        <v>1.47</v>
      </c>
      <c r="P9" s="186">
        <v>0.13</v>
      </c>
      <c r="Q9" s="185">
        <v>0.75</v>
      </c>
    </row>
    <row r="10" spans="1:17" ht="22.5" customHeight="1" x14ac:dyDescent="0.25">
      <c r="A10" s="184">
        <v>7</v>
      </c>
      <c r="B10" s="193" t="s">
        <v>357</v>
      </c>
      <c r="C10" s="192">
        <v>6.6079999999999997</v>
      </c>
      <c r="D10" s="191">
        <v>11</v>
      </c>
      <c r="E10" s="191">
        <v>6</v>
      </c>
      <c r="F10" s="191">
        <v>2</v>
      </c>
      <c r="G10" s="191">
        <v>25</v>
      </c>
      <c r="H10" s="190">
        <v>810</v>
      </c>
      <c r="I10" s="190">
        <v>145</v>
      </c>
      <c r="J10" s="190">
        <v>1080</v>
      </c>
      <c r="K10" s="189">
        <v>0.44</v>
      </c>
      <c r="L10" s="188">
        <v>0.72729999999999995</v>
      </c>
      <c r="M10" s="188">
        <v>0.4</v>
      </c>
      <c r="N10" s="187">
        <v>144.52000000000001</v>
      </c>
      <c r="O10" s="186">
        <v>1.21</v>
      </c>
      <c r="P10" s="186">
        <v>0.3</v>
      </c>
      <c r="Q10" s="185">
        <v>0.75</v>
      </c>
    </row>
    <row r="11" spans="1:17" ht="22.5" customHeight="1" x14ac:dyDescent="0.25">
      <c r="A11" s="184">
        <v>8</v>
      </c>
      <c r="B11" s="193" t="s">
        <v>341</v>
      </c>
      <c r="C11" s="192">
        <v>6.1870000000000003</v>
      </c>
      <c r="D11" s="191">
        <v>10</v>
      </c>
      <c r="E11" s="191">
        <v>6</v>
      </c>
      <c r="F11" s="191">
        <v>2</v>
      </c>
      <c r="G11" s="191">
        <v>24</v>
      </c>
      <c r="H11" s="190">
        <v>265</v>
      </c>
      <c r="I11" s="190">
        <v>300</v>
      </c>
      <c r="J11" s="190">
        <v>630</v>
      </c>
      <c r="K11" s="189">
        <v>0.41670000000000001</v>
      </c>
      <c r="L11" s="188">
        <v>0.8</v>
      </c>
      <c r="M11" s="188">
        <v>0.5</v>
      </c>
      <c r="N11" s="187">
        <v>91.32</v>
      </c>
      <c r="O11" s="186">
        <v>1.29</v>
      </c>
      <c r="P11" s="186">
        <v>0.32</v>
      </c>
      <c r="Q11" s="185">
        <v>0.75</v>
      </c>
    </row>
    <row r="12" spans="1:17" ht="22.5" customHeight="1" x14ac:dyDescent="0.25">
      <c r="A12" s="184">
        <v>9</v>
      </c>
      <c r="B12" s="193" t="s">
        <v>272</v>
      </c>
      <c r="C12" s="192">
        <v>10.922000000000001</v>
      </c>
      <c r="D12" s="191">
        <v>23</v>
      </c>
      <c r="E12" s="191">
        <v>11</v>
      </c>
      <c r="F12" s="191">
        <v>3</v>
      </c>
      <c r="G12" s="191">
        <v>46</v>
      </c>
      <c r="H12" s="190">
        <v>885</v>
      </c>
      <c r="I12" s="190">
        <v>360</v>
      </c>
      <c r="J12" s="190">
        <v>2310</v>
      </c>
      <c r="K12" s="189">
        <v>0.5</v>
      </c>
      <c r="L12" s="188">
        <v>0.60870000000000002</v>
      </c>
      <c r="M12" s="188">
        <v>0.25</v>
      </c>
      <c r="N12" s="187">
        <v>113.99</v>
      </c>
      <c r="O12" s="186">
        <v>1.28</v>
      </c>
      <c r="P12" s="186">
        <v>0.27</v>
      </c>
      <c r="Q12" s="185">
        <v>0.73</v>
      </c>
    </row>
    <row r="13" spans="1:17" ht="22.5" customHeight="1" x14ac:dyDescent="0.25">
      <c r="A13" s="184">
        <v>10</v>
      </c>
      <c r="B13" s="193" t="s">
        <v>389</v>
      </c>
      <c r="C13" s="192">
        <v>6.2050000000000001</v>
      </c>
      <c r="D13" s="191">
        <v>13</v>
      </c>
      <c r="E13" s="191">
        <v>8</v>
      </c>
      <c r="F13" s="191">
        <v>1</v>
      </c>
      <c r="G13" s="191">
        <v>33</v>
      </c>
      <c r="H13" s="190">
        <v>550</v>
      </c>
      <c r="I13" s="190">
        <v>120</v>
      </c>
      <c r="J13" s="190">
        <v>785</v>
      </c>
      <c r="K13" s="189">
        <v>0.39389999999999997</v>
      </c>
      <c r="L13" s="188">
        <v>0.69230000000000003</v>
      </c>
      <c r="M13" s="188">
        <v>0.2</v>
      </c>
      <c r="N13" s="187">
        <v>107.98</v>
      </c>
      <c r="O13" s="186">
        <v>1.45</v>
      </c>
      <c r="P13" s="186">
        <v>0.16</v>
      </c>
      <c r="Q13" s="185">
        <v>0.69</v>
      </c>
    </row>
    <row r="14" spans="1:17" ht="22.5" customHeight="1" x14ac:dyDescent="0.25">
      <c r="A14" s="184">
        <v>11</v>
      </c>
      <c r="B14" s="193" t="s">
        <v>326</v>
      </c>
      <c r="C14" s="192">
        <v>6.2569999999999997</v>
      </c>
      <c r="D14" s="191">
        <v>3</v>
      </c>
      <c r="E14" s="191">
        <v>2</v>
      </c>
      <c r="F14" s="191">
        <v>1</v>
      </c>
      <c r="G14" s="191">
        <v>4</v>
      </c>
      <c r="H14" s="190">
        <v>150</v>
      </c>
      <c r="I14" s="190">
        <v>120</v>
      </c>
      <c r="J14" s="190">
        <v>270</v>
      </c>
      <c r="K14" s="189">
        <v>0.75</v>
      </c>
      <c r="L14" s="188">
        <v>1</v>
      </c>
      <c r="M14" s="188">
        <v>1</v>
      </c>
      <c r="N14" s="187">
        <v>43.15</v>
      </c>
      <c r="O14" s="186">
        <v>0.48</v>
      </c>
      <c r="P14" s="186">
        <v>0.16</v>
      </c>
      <c r="Q14" s="185">
        <v>0.68</v>
      </c>
    </row>
    <row r="15" spans="1:17" ht="22.5" customHeight="1" x14ac:dyDescent="0.25">
      <c r="A15" s="184">
        <v>12</v>
      </c>
      <c r="B15" s="193" t="s">
        <v>370</v>
      </c>
      <c r="C15" s="192">
        <v>1.268</v>
      </c>
      <c r="D15" s="191">
        <v>3</v>
      </c>
      <c r="E15" s="191">
        <v>3</v>
      </c>
      <c r="F15" s="191">
        <v>0</v>
      </c>
      <c r="G15" s="191">
        <v>6</v>
      </c>
      <c r="H15" s="190">
        <v>195</v>
      </c>
      <c r="I15" s="190">
        <v>0</v>
      </c>
      <c r="J15" s="190">
        <v>195</v>
      </c>
      <c r="K15" s="189">
        <v>0.5</v>
      </c>
      <c r="L15" s="188">
        <v>1</v>
      </c>
      <c r="M15" s="188">
        <v>0</v>
      </c>
      <c r="N15" s="187">
        <v>153.79</v>
      </c>
      <c r="O15" s="186">
        <v>2.37</v>
      </c>
      <c r="P15" s="186">
        <v>0</v>
      </c>
      <c r="Q15" s="185">
        <v>0.67</v>
      </c>
    </row>
    <row r="16" spans="1:17" ht="22.5" customHeight="1" x14ac:dyDescent="0.25">
      <c r="A16" s="184">
        <v>13</v>
      </c>
      <c r="B16" s="193" t="s">
        <v>269</v>
      </c>
      <c r="C16" s="192">
        <v>5.31</v>
      </c>
      <c r="D16" s="191">
        <v>9</v>
      </c>
      <c r="E16" s="191">
        <v>8</v>
      </c>
      <c r="F16" s="191">
        <v>0</v>
      </c>
      <c r="G16" s="191">
        <v>17</v>
      </c>
      <c r="H16" s="190">
        <v>880</v>
      </c>
      <c r="I16" s="190">
        <v>0</v>
      </c>
      <c r="J16" s="190">
        <v>930</v>
      </c>
      <c r="K16" s="189">
        <v>0.52939999999999998</v>
      </c>
      <c r="L16" s="188">
        <v>0.88890000000000002</v>
      </c>
      <c r="M16" s="188">
        <v>0</v>
      </c>
      <c r="N16" s="187">
        <v>165.73</v>
      </c>
      <c r="O16" s="186">
        <v>1.51</v>
      </c>
      <c r="P16" s="186">
        <v>0</v>
      </c>
      <c r="Q16" s="185">
        <v>0.67</v>
      </c>
    </row>
    <row r="17" spans="1:17" ht="22.5" customHeight="1" x14ac:dyDescent="0.25">
      <c r="A17" s="184">
        <v>14</v>
      </c>
      <c r="B17" s="193" t="s">
        <v>271</v>
      </c>
      <c r="C17" s="192">
        <v>7.641</v>
      </c>
      <c r="D17" s="191">
        <v>17</v>
      </c>
      <c r="E17" s="191">
        <v>7</v>
      </c>
      <c r="F17" s="191">
        <v>2</v>
      </c>
      <c r="G17" s="191">
        <v>34</v>
      </c>
      <c r="H17" s="190">
        <v>195</v>
      </c>
      <c r="I17" s="190">
        <v>490</v>
      </c>
      <c r="J17" s="190">
        <v>1175</v>
      </c>
      <c r="K17" s="189">
        <v>0.5</v>
      </c>
      <c r="L17" s="188">
        <v>0.52939999999999998</v>
      </c>
      <c r="M17" s="188">
        <v>0.2</v>
      </c>
      <c r="N17" s="187">
        <v>89.65</v>
      </c>
      <c r="O17" s="186">
        <v>1.18</v>
      </c>
      <c r="P17" s="186">
        <v>0.26</v>
      </c>
      <c r="Q17" s="185">
        <v>0.66</v>
      </c>
    </row>
    <row r="18" spans="1:17" ht="22.5" customHeight="1" x14ac:dyDescent="0.25">
      <c r="A18" s="184">
        <v>15</v>
      </c>
      <c r="B18" s="193" t="s">
        <v>409</v>
      </c>
      <c r="C18" s="192">
        <v>5.9720000000000004</v>
      </c>
      <c r="D18" s="191">
        <v>6</v>
      </c>
      <c r="E18" s="191">
        <v>5</v>
      </c>
      <c r="F18" s="191">
        <v>1</v>
      </c>
      <c r="G18" s="191">
        <v>22</v>
      </c>
      <c r="H18" s="190">
        <v>350</v>
      </c>
      <c r="I18" s="190">
        <v>120</v>
      </c>
      <c r="J18" s="190">
        <v>470</v>
      </c>
      <c r="K18" s="189">
        <v>0.2727</v>
      </c>
      <c r="L18" s="188">
        <v>1</v>
      </c>
      <c r="M18" s="188">
        <v>1</v>
      </c>
      <c r="N18" s="187">
        <v>78.7</v>
      </c>
      <c r="O18" s="186">
        <v>1</v>
      </c>
      <c r="P18" s="186">
        <v>0.17</v>
      </c>
      <c r="Q18" s="185">
        <v>0.66</v>
      </c>
    </row>
    <row r="19" spans="1:17" ht="22.5" customHeight="1" x14ac:dyDescent="0.25">
      <c r="A19" s="184">
        <v>16</v>
      </c>
      <c r="B19" s="193" t="s">
        <v>295</v>
      </c>
      <c r="C19" s="192">
        <v>1.03</v>
      </c>
      <c r="D19" s="191">
        <v>4</v>
      </c>
      <c r="E19" s="191">
        <v>3</v>
      </c>
      <c r="F19" s="191">
        <v>0</v>
      </c>
      <c r="G19" s="191">
        <v>6</v>
      </c>
      <c r="H19" s="190">
        <v>70</v>
      </c>
      <c r="I19" s="190">
        <v>0</v>
      </c>
      <c r="J19" s="190">
        <v>170</v>
      </c>
      <c r="K19" s="189">
        <v>0.66669999999999996</v>
      </c>
      <c r="L19" s="188">
        <v>0.75</v>
      </c>
      <c r="M19" s="188">
        <v>0</v>
      </c>
      <c r="N19" s="187">
        <v>67.959999999999994</v>
      </c>
      <c r="O19" s="186">
        <v>2.91</v>
      </c>
      <c r="P19" s="186">
        <v>0</v>
      </c>
      <c r="Q19" s="185">
        <v>0.61</v>
      </c>
    </row>
    <row r="20" spans="1:17" ht="22.5" customHeight="1" x14ac:dyDescent="0.25">
      <c r="A20" s="184">
        <v>17</v>
      </c>
      <c r="B20" s="193" t="s">
        <v>299</v>
      </c>
      <c r="C20" s="192">
        <v>6.0839999999999996</v>
      </c>
      <c r="D20" s="191">
        <v>8</v>
      </c>
      <c r="E20" s="191">
        <v>4</v>
      </c>
      <c r="F20" s="191">
        <v>1</v>
      </c>
      <c r="G20" s="191">
        <v>18</v>
      </c>
      <c r="H20" s="190">
        <v>90</v>
      </c>
      <c r="I20" s="190">
        <v>120</v>
      </c>
      <c r="J20" s="190">
        <v>660</v>
      </c>
      <c r="K20" s="189">
        <v>0.44440000000000002</v>
      </c>
      <c r="L20" s="188">
        <v>0.625</v>
      </c>
      <c r="M20" s="188">
        <v>0.25</v>
      </c>
      <c r="N20" s="187">
        <v>34.520000000000003</v>
      </c>
      <c r="O20" s="186">
        <v>0.82</v>
      </c>
      <c r="P20" s="186">
        <v>0.16</v>
      </c>
      <c r="Q20" s="185">
        <v>0.56999999999999995</v>
      </c>
    </row>
    <row r="21" spans="1:17" ht="22.5" customHeight="1" x14ac:dyDescent="0.25">
      <c r="A21" s="184">
        <v>18</v>
      </c>
      <c r="B21" s="193" t="s">
        <v>356</v>
      </c>
      <c r="C21" s="192">
        <v>6.6710000000000003</v>
      </c>
      <c r="D21" s="191">
        <v>6</v>
      </c>
      <c r="E21" s="191">
        <v>4</v>
      </c>
      <c r="F21" s="191">
        <v>1</v>
      </c>
      <c r="G21" s="191">
        <v>23</v>
      </c>
      <c r="H21" s="190">
        <v>180</v>
      </c>
      <c r="I21" s="190">
        <v>120</v>
      </c>
      <c r="J21" s="190">
        <v>350</v>
      </c>
      <c r="K21" s="189">
        <v>0.26090000000000002</v>
      </c>
      <c r="L21" s="188">
        <v>0.83330000000000004</v>
      </c>
      <c r="M21" s="188">
        <v>0.5</v>
      </c>
      <c r="N21" s="187">
        <v>44.97</v>
      </c>
      <c r="O21" s="186">
        <v>0.75</v>
      </c>
      <c r="P21" s="186">
        <v>0.15</v>
      </c>
      <c r="Q21" s="185">
        <v>0.56999999999999995</v>
      </c>
    </row>
    <row r="22" spans="1:17" ht="22.5" customHeight="1" x14ac:dyDescent="0.25">
      <c r="A22" s="184">
        <v>19</v>
      </c>
      <c r="B22" s="193" t="s">
        <v>359</v>
      </c>
      <c r="C22" s="192">
        <v>6.2640000000000002</v>
      </c>
      <c r="D22" s="191">
        <v>8</v>
      </c>
      <c r="E22" s="191">
        <v>4</v>
      </c>
      <c r="F22" s="191">
        <v>1</v>
      </c>
      <c r="G22" s="191">
        <v>20</v>
      </c>
      <c r="H22" s="190">
        <v>170</v>
      </c>
      <c r="I22" s="190">
        <v>120</v>
      </c>
      <c r="J22" s="190">
        <v>465</v>
      </c>
      <c r="K22" s="189">
        <v>0.4</v>
      </c>
      <c r="L22" s="188">
        <v>0.625</v>
      </c>
      <c r="M22" s="188">
        <v>0.25</v>
      </c>
      <c r="N22" s="187">
        <v>46.3</v>
      </c>
      <c r="O22" s="186">
        <v>0.8</v>
      </c>
      <c r="P22" s="186">
        <v>0.16</v>
      </c>
      <c r="Q22" s="185">
        <v>0.56000000000000005</v>
      </c>
    </row>
    <row r="23" spans="1:17" ht="22.5" customHeight="1" x14ac:dyDescent="0.25">
      <c r="A23" s="184">
        <v>20</v>
      </c>
      <c r="B23" s="193" t="s">
        <v>363</v>
      </c>
      <c r="C23" s="192">
        <v>6.649</v>
      </c>
      <c r="D23" s="191">
        <v>8</v>
      </c>
      <c r="E23" s="191">
        <v>4</v>
      </c>
      <c r="F23" s="191">
        <v>1</v>
      </c>
      <c r="G23" s="191">
        <v>29</v>
      </c>
      <c r="H23" s="190">
        <v>235</v>
      </c>
      <c r="I23" s="190">
        <v>420</v>
      </c>
      <c r="J23" s="190">
        <v>765</v>
      </c>
      <c r="K23" s="189">
        <v>0.27589999999999998</v>
      </c>
      <c r="L23" s="188">
        <v>0.625</v>
      </c>
      <c r="M23" s="188">
        <v>0.25</v>
      </c>
      <c r="N23" s="187">
        <v>98.51</v>
      </c>
      <c r="O23" s="186">
        <v>0.75</v>
      </c>
      <c r="P23" s="186">
        <v>0.15</v>
      </c>
      <c r="Q23" s="185">
        <v>0.55000000000000004</v>
      </c>
    </row>
    <row r="24" spans="1:17" ht="22.5" customHeight="1" x14ac:dyDescent="0.25">
      <c r="A24" s="184">
        <v>21</v>
      </c>
      <c r="B24" s="193" t="s">
        <v>435</v>
      </c>
      <c r="C24" s="192">
        <v>4.8869999999999996</v>
      </c>
      <c r="D24" s="191">
        <v>12</v>
      </c>
      <c r="E24" s="191">
        <v>6</v>
      </c>
      <c r="F24" s="191">
        <v>0</v>
      </c>
      <c r="G24" s="191">
        <v>19</v>
      </c>
      <c r="H24" s="190">
        <v>530</v>
      </c>
      <c r="I24" s="190">
        <v>0</v>
      </c>
      <c r="J24" s="190">
        <v>895</v>
      </c>
      <c r="K24" s="189">
        <v>0.63160000000000005</v>
      </c>
      <c r="L24" s="188">
        <v>0.5</v>
      </c>
      <c r="M24" s="188">
        <v>0</v>
      </c>
      <c r="N24" s="187">
        <v>108.45</v>
      </c>
      <c r="O24" s="186">
        <v>1.23</v>
      </c>
      <c r="P24" s="186">
        <v>0</v>
      </c>
      <c r="Q24" s="185">
        <v>0.53</v>
      </c>
    </row>
    <row r="25" spans="1:17" ht="22.5" customHeight="1" x14ac:dyDescent="0.25">
      <c r="A25" s="184">
        <v>22</v>
      </c>
      <c r="B25" s="193" t="s">
        <v>371</v>
      </c>
      <c r="C25" s="192">
        <v>7.4119999999999999</v>
      </c>
      <c r="D25" s="191">
        <v>15</v>
      </c>
      <c r="E25" s="191">
        <v>11</v>
      </c>
      <c r="F25" s="191">
        <v>0</v>
      </c>
      <c r="G25" s="191">
        <v>39</v>
      </c>
      <c r="H25" s="190">
        <v>680</v>
      </c>
      <c r="I25" s="190">
        <v>0</v>
      </c>
      <c r="J25" s="190">
        <v>865</v>
      </c>
      <c r="K25" s="189">
        <v>0.3846</v>
      </c>
      <c r="L25" s="188">
        <v>0.73329999999999995</v>
      </c>
      <c r="M25" s="188">
        <v>0</v>
      </c>
      <c r="N25" s="187">
        <v>91.74</v>
      </c>
      <c r="O25" s="186">
        <v>1.48</v>
      </c>
      <c r="P25" s="186">
        <v>0</v>
      </c>
      <c r="Q25" s="185">
        <v>0.52</v>
      </c>
    </row>
    <row r="26" spans="1:17" ht="22.5" customHeight="1" x14ac:dyDescent="0.25">
      <c r="A26" s="184">
        <v>23</v>
      </c>
      <c r="B26" s="193" t="s">
        <v>401</v>
      </c>
      <c r="C26" s="192">
        <v>7.0190000000000001</v>
      </c>
      <c r="D26" s="191">
        <v>16</v>
      </c>
      <c r="E26" s="191">
        <v>4</v>
      </c>
      <c r="F26" s="191">
        <v>1</v>
      </c>
      <c r="G26" s="191">
        <v>32</v>
      </c>
      <c r="H26" s="190">
        <v>370</v>
      </c>
      <c r="I26" s="190">
        <v>60</v>
      </c>
      <c r="J26" s="190">
        <v>1135</v>
      </c>
      <c r="K26" s="189">
        <v>0.5</v>
      </c>
      <c r="L26" s="188">
        <v>0.3125</v>
      </c>
      <c r="M26" s="188">
        <v>8.3299999999999999E-2</v>
      </c>
      <c r="N26" s="187">
        <v>61.26</v>
      </c>
      <c r="O26" s="186">
        <v>0.71</v>
      </c>
      <c r="P26" s="186">
        <v>0.14000000000000001</v>
      </c>
      <c r="Q26" s="185">
        <v>0.52</v>
      </c>
    </row>
    <row r="27" spans="1:17" ht="22.5" customHeight="1" x14ac:dyDescent="0.25">
      <c r="A27" s="184">
        <v>24</v>
      </c>
      <c r="B27" s="193" t="s">
        <v>288</v>
      </c>
      <c r="C27" s="192">
        <v>1.8380000000000001</v>
      </c>
      <c r="D27" s="191">
        <v>4</v>
      </c>
      <c r="E27" s="191">
        <v>3</v>
      </c>
      <c r="F27" s="191">
        <v>0</v>
      </c>
      <c r="G27" s="191">
        <v>9</v>
      </c>
      <c r="H27" s="190">
        <v>35</v>
      </c>
      <c r="I27" s="190">
        <v>0</v>
      </c>
      <c r="J27" s="190">
        <v>85</v>
      </c>
      <c r="K27" s="189">
        <v>0.44440000000000002</v>
      </c>
      <c r="L27" s="188">
        <v>0.75</v>
      </c>
      <c r="M27" s="188">
        <v>0</v>
      </c>
      <c r="N27" s="187">
        <v>19.04</v>
      </c>
      <c r="O27" s="186">
        <v>1.63</v>
      </c>
      <c r="P27" s="186">
        <v>0</v>
      </c>
      <c r="Q27" s="185">
        <v>0.49</v>
      </c>
    </row>
    <row r="28" spans="1:17" ht="22.5" customHeight="1" x14ac:dyDescent="0.25">
      <c r="A28" s="184">
        <v>25</v>
      </c>
      <c r="B28" s="193" t="s">
        <v>354</v>
      </c>
      <c r="C28" s="192">
        <v>5.8140000000000001</v>
      </c>
      <c r="D28" s="191">
        <v>11</v>
      </c>
      <c r="E28" s="191">
        <v>2</v>
      </c>
      <c r="F28" s="191">
        <v>1</v>
      </c>
      <c r="G28" s="191">
        <v>20</v>
      </c>
      <c r="H28" s="190">
        <v>150</v>
      </c>
      <c r="I28" s="190">
        <v>25</v>
      </c>
      <c r="J28" s="190">
        <v>770</v>
      </c>
      <c r="K28" s="189">
        <v>0.55000000000000004</v>
      </c>
      <c r="L28" s="188">
        <v>0.2727</v>
      </c>
      <c r="M28" s="188">
        <v>0.1111</v>
      </c>
      <c r="N28" s="187">
        <v>30.1</v>
      </c>
      <c r="O28" s="186">
        <v>0.52</v>
      </c>
      <c r="P28" s="186">
        <v>0.17</v>
      </c>
      <c r="Q28" s="185">
        <v>0.48</v>
      </c>
    </row>
    <row r="29" spans="1:17" ht="22.5" customHeight="1" x14ac:dyDescent="0.25">
      <c r="A29" s="184">
        <v>26</v>
      </c>
      <c r="B29" s="193" t="s">
        <v>366</v>
      </c>
      <c r="C29" s="192">
        <v>6.3319999999999999</v>
      </c>
      <c r="D29" s="191">
        <v>16</v>
      </c>
      <c r="E29" s="191">
        <v>7</v>
      </c>
      <c r="F29" s="191">
        <v>0</v>
      </c>
      <c r="G29" s="191">
        <v>35</v>
      </c>
      <c r="H29" s="190">
        <v>705</v>
      </c>
      <c r="I29" s="190">
        <v>0</v>
      </c>
      <c r="J29" s="190">
        <v>975</v>
      </c>
      <c r="K29" s="189">
        <v>0.45710000000000001</v>
      </c>
      <c r="L29" s="188">
        <v>0.4375</v>
      </c>
      <c r="M29" s="188">
        <v>0</v>
      </c>
      <c r="N29" s="187">
        <v>111.34</v>
      </c>
      <c r="O29" s="186">
        <v>1.1100000000000001</v>
      </c>
      <c r="P29" s="186">
        <v>0</v>
      </c>
      <c r="Q29" s="185">
        <v>0.47</v>
      </c>
    </row>
    <row r="30" spans="1:17" ht="22.5" customHeight="1" x14ac:dyDescent="0.25">
      <c r="A30" s="184">
        <v>27</v>
      </c>
      <c r="B30" s="193" t="s">
        <v>315</v>
      </c>
      <c r="C30" s="192">
        <v>6.1070000000000002</v>
      </c>
      <c r="D30" s="191">
        <v>12</v>
      </c>
      <c r="E30" s="191">
        <v>7</v>
      </c>
      <c r="F30" s="191">
        <v>0</v>
      </c>
      <c r="G30" s="191">
        <v>26</v>
      </c>
      <c r="H30" s="190">
        <v>425</v>
      </c>
      <c r="I30" s="190">
        <v>0</v>
      </c>
      <c r="J30" s="190">
        <v>605</v>
      </c>
      <c r="K30" s="189">
        <v>0.46150000000000002</v>
      </c>
      <c r="L30" s="188">
        <v>0.58330000000000004</v>
      </c>
      <c r="M30" s="188">
        <v>0</v>
      </c>
      <c r="N30" s="187">
        <v>69.59</v>
      </c>
      <c r="O30" s="186">
        <v>1.1499999999999999</v>
      </c>
      <c r="P30" s="186">
        <v>0</v>
      </c>
      <c r="Q30" s="185">
        <v>0.47</v>
      </c>
    </row>
    <row r="31" spans="1:17" ht="22.5" customHeight="1" x14ac:dyDescent="0.25">
      <c r="A31" s="184">
        <v>28</v>
      </c>
      <c r="B31" s="193" t="s">
        <v>365</v>
      </c>
      <c r="C31" s="192">
        <v>6.8970000000000002</v>
      </c>
      <c r="D31" s="191">
        <v>14</v>
      </c>
      <c r="E31" s="191">
        <v>9</v>
      </c>
      <c r="F31" s="191">
        <v>0</v>
      </c>
      <c r="G31" s="191">
        <v>32</v>
      </c>
      <c r="H31" s="190">
        <v>385</v>
      </c>
      <c r="I31" s="190">
        <v>0</v>
      </c>
      <c r="J31" s="190">
        <v>575</v>
      </c>
      <c r="K31" s="189">
        <v>0.4375</v>
      </c>
      <c r="L31" s="188">
        <v>0.64290000000000003</v>
      </c>
      <c r="M31" s="188">
        <v>0</v>
      </c>
      <c r="N31" s="187">
        <v>55.82</v>
      </c>
      <c r="O31" s="186">
        <v>1.3</v>
      </c>
      <c r="P31" s="186">
        <v>0</v>
      </c>
      <c r="Q31" s="185">
        <v>0.47</v>
      </c>
    </row>
    <row r="32" spans="1:17" ht="22.5" customHeight="1" x14ac:dyDescent="0.25">
      <c r="A32" s="184">
        <v>29</v>
      </c>
      <c r="B32" s="193" t="s">
        <v>379</v>
      </c>
      <c r="C32" s="192">
        <v>7.0529999999999999</v>
      </c>
      <c r="D32" s="191">
        <v>6</v>
      </c>
      <c r="E32" s="191">
        <v>3</v>
      </c>
      <c r="F32" s="191">
        <v>1</v>
      </c>
      <c r="G32" s="191">
        <v>22</v>
      </c>
      <c r="H32" s="190">
        <v>110</v>
      </c>
      <c r="I32" s="190">
        <v>120</v>
      </c>
      <c r="J32" s="190">
        <v>265</v>
      </c>
      <c r="K32" s="189">
        <v>0.2727</v>
      </c>
      <c r="L32" s="188">
        <v>0.66669999999999996</v>
      </c>
      <c r="M32" s="188">
        <v>0.33329999999999999</v>
      </c>
      <c r="N32" s="187">
        <v>32.61</v>
      </c>
      <c r="O32" s="186">
        <v>0.56999999999999995</v>
      </c>
      <c r="P32" s="186">
        <v>0.14000000000000001</v>
      </c>
      <c r="Q32" s="185">
        <v>0.46</v>
      </c>
    </row>
    <row r="33" spans="1:17" ht="22.5" customHeight="1" x14ac:dyDescent="0.25">
      <c r="A33" s="184">
        <v>30</v>
      </c>
      <c r="B33" s="193" t="s">
        <v>378</v>
      </c>
      <c r="C33" s="192">
        <v>7.08</v>
      </c>
      <c r="D33" s="191">
        <v>10</v>
      </c>
      <c r="E33" s="191">
        <v>3</v>
      </c>
      <c r="F33" s="191">
        <v>1</v>
      </c>
      <c r="G33" s="191">
        <v>25</v>
      </c>
      <c r="H33" s="190">
        <v>300</v>
      </c>
      <c r="I33" s="190">
        <v>120</v>
      </c>
      <c r="J33" s="190">
        <v>765</v>
      </c>
      <c r="K33" s="189">
        <v>0.4</v>
      </c>
      <c r="L33" s="188">
        <v>0.4</v>
      </c>
      <c r="M33" s="188">
        <v>0.1429</v>
      </c>
      <c r="N33" s="187">
        <v>59.32</v>
      </c>
      <c r="O33" s="186">
        <v>0.56000000000000005</v>
      </c>
      <c r="P33" s="186">
        <v>0.14000000000000001</v>
      </c>
      <c r="Q33" s="185">
        <v>0.46</v>
      </c>
    </row>
    <row r="34" spans="1:17" ht="22.5" customHeight="1" x14ac:dyDescent="0.25">
      <c r="A34" s="184">
        <v>31</v>
      </c>
      <c r="B34" s="193" t="s">
        <v>375</v>
      </c>
      <c r="C34" s="192">
        <v>8.7919999999999998</v>
      </c>
      <c r="D34" s="191">
        <v>13</v>
      </c>
      <c r="E34" s="191">
        <v>7</v>
      </c>
      <c r="F34" s="191">
        <v>0</v>
      </c>
      <c r="G34" s="191">
        <v>19</v>
      </c>
      <c r="H34" s="190">
        <v>485</v>
      </c>
      <c r="I34" s="190">
        <v>0</v>
      </c>
      <c r="J34" s="190">
        <v>720</v>
      </c>
      <c r="K34" s="189">
        <v>0.68420000000000003</v>
      </c>
      <c r="L34" s="188">
        <v>0.53849999999999998</v>
      </c>
      <c r="M34" s="188">
        <v>0</v>
      </c>
      <c r="N34" s="187">
        <v>55.16</v>
      </c>
      <c r="O34" s="186">
        <v>0.8</v>
      </c>
      <c r="P34" s="186">
        <v>0</v>
      </c>
      <c r="Q34" s="185">
        <v>0.45</v>
      </c>
    </row>
    <row r="35" spans="1:17" ht="22.5" customHeight="1" x14ac:dyDescent="0.25">
      <c r="A35" s="184">
        <v>32</v>
      </c>
      <c r="B35" s="193" t="s">
        <v>324</v>
      </c>
      <c r="C35" s="192">
        <v>4.0389999999999997</v>
      </c>
      <c r="D35" s="191">
        <v>7</v>
      </c>
      <c r="E35" s="191">
        <v>4</v>
      </c>
      <c r="F35" s="191">
        <v>0</v>
      </c>
      <c r="G35" s="191">
        <v>20</v>
      </c>
      <c r="H35" s="190">
        <v>1075</v>
      </c>
      <c r="I35" s="190">
        <v>0</v>
      </c>
      <c r="J35" s="190">
        <v>1150</v>
      </c>
      <c r="K35" s="189">
        <v>0.35</v>
      </c>
      <c r="L35" s="188">
        <v>0.57140000000000002</v>
      </c>
      <c r="M35" s="188">
        <v>0</v>
      </c>
      <c r="N35" s="187">
        <v>266.14999999999998</v>
      </c>
      <c r="O35" s="186">
        <v>0.99</v>
      </c>
      <c r="P35" s="186">
        <v>0</v>
      </c>
      <c r="Q35" s="185">
        <v>0.45</v>
      </c>
    </row>
    <row r="36" spans="1:17" ht="22.5" customHeight="1" x14ac:dyDescent="0.25">
      <c r="A36" s="184">
        <v>33</v>
      </c>
      <c r="B36" s="193" t="s">
        <v>420</v>
      </c>
      <c r="C36" s="192">
        <v>6.9779999999999998</v>
      </c>
      <c r="D36" s="191">
        <v>7</v>
      </c>
      <c r="E36" s="191">
        <v>7</v>
      </c>
      <c r="F36" s="191">
        <v>0</v>
      </c>
      <c r="G36" s="191">
        <v>28</v>
      </c>
      <c r="H36" s="190">
        <v>530</v>
      </c>
      <c r="I36" s="190">
        <v>0</v>
      </c>
      <c r="J36" s="190">
        <v>530</v>
      </c>
      <c r="K36" s="189">
        <v>0.25</v>
      </c>
      <c r="L36" s="188">
        <v>1</v>
      </c>
      <c r="M36" s="188">
        <v>0</v>
      </c>
      <c r="N36" s="187">
        <v>75.95</v>
      </c>
      <c r="O36" s="186">
        <v>1</v>
      </c>
      <c r="P36" s="186">
        <v>0</v>
      </c>
      <c r="Q36" s="185">
        <v>0.45</v>
      </c>
    </row>
    <row r="37" spans="1:17" ht="22.5" customHeight="1" x14ac:dyDescent="0.25">
      <c r="A37" s="184">
        <v>34</v>
      </c>
      <c r="B37" s="193" t="s">
        <v>391</v>
      </c>
      <c r="C37" s="192">
        <v>5.6269999999999998</v>
      </c>
      <c r="D37" s="191">
        <v>8</v>
      </c>
      <c r="E37" s="191">
        <v>6</v>
      </c>
      <c r="F37" s="191">
        <v>0</v>
      </c>
      <c r="G37" s="191">
        <v>27</v>
      </c>
      <c r="H37" s="190">
        <v>460</v>
      </c>
      <c r="I37" s="190">
        <v>0</v>
      </c>
      <c r="J37" s="190">
        <v>780</v>
      </c>
      <c r="K37" s="189">
        <v>0.29630000000000001</v>
      </c>
      <c r="L37" s="188">
        <v>0.75</v>
      </c>
      <c r="M37" s="188">
        <v>0</v>
      </c>
      <c r="N37" s="187">
        <v>81.75</v>
      </c>
      <c r="O37" s="186">
        <v>1.07</v>
      </c>
      <c r="P37" s="186">
        <v>0</v>
      </c>
      <c r="Q37" s="185">
        <v>0.44</v>
      </c>
    </row>
    <row r="38" spans="1:17" ht="22.5" customHeight="1" x14ac:dyDescent="0.25">
      <c r="A38" s="184">
        <v>35</v>
      </c>
      <c r="B38" s="193" t="s">
        <v>411</v>
      </c>
      <c r="C38" s="192">
        <v>5.9829999999999997</v>
      </c>
      <c r="D38" s="191">
        <v>5</v>
      </c>
      <c r="E38" s="191">
        <v>2</v>
      </c>
      <c r="F38" s="191">
        <v>1</v>
      </c>
      <c r="G38" s="191">
        <v>21</v>
      </c>
      <c r="H38" s="190">
        <v>50</v>
      </c>
      <c r="I38" s="190">
        <v>120</v>
      </c>
      <c r="J38" s="190">
        <v>295</v>
      </c>
      <c r="K38" s="189">
        <v>0.23810000000000001</v>
      </c>
      <c r="L38" s="188">
        <v>0.6</v>
      </c>
      <c r="M38" s="188">
        <v>0.33329999999999999</v>
      </c>
      <c r="N38" s="187">
        <v>28.41</v>
      </c>
      <c r="O38" s="186">
        <v>0.5</v>
      </c>
      <c r="P38" s="186">
        <v>0.17</v>
      </c>
      <c r="Q38" s="185">
        <v>0.43</v>
      </c>
    </row>
    <row r="39" spans="1:17" ht="22.5" customHeight="1" x14ac:dyDescent="0.25">
      <c r="A39" s="184">
        <v>36</v>
      </c>
      <c r="B39" s="193" t="s">
        <v>352</v>
      </c>
      <c r="C39" s="192">
        <v>6.2359999999999998</v>
      </c>
      <c r="D39" s="191">
        <v>11</v>
      </c>
      <c r="E39" s="191">
        <v>6</v>
      </c>
      <c r="F39" s="191">
        <v>0</v>
      </c>
      <c r="G39" s="191">
        <v>25</v>
      </c>
      <c r="H39" s="190">
        <v>475</v>
      </c>
      <c r="I39" s="190">
        <v>0</v>
      </c>
      <c r="J39" s="190">
        <v>690</v>
      </c>
      <c r="K39" s="189">
        <v>0.44</v>
      </c>
      <c r="L39" s="188">
        <v>0.54549999999999998</v>
      </c>
      <c r="M39" s="188">
        <v>0</v>
      </c>
      <c r="N39" s="187">
        <v>76.17</v>
      </c>
      <c r="O39" s="186">
        <v>0.96</v>
      </c>
      <c r="P39" s="186">
        <v>0</v>
      </c>
      <c r="Q39" s="185">
        <v>0.42</v>
      </c>
    </row>
    <row r="40" spans="1:17" ht="22.5" customHeight="1" x14ac:dyDescent="0.25">
      <c r="A40" s="184">
        <v>37</v>
      </c>
      <c r="B40" s="193" t="s">
        <v>405</v>
      </c>
      <c r="C40" s="192">
        <v>2.7189999999999999</v>
      </c>
      <c r="D40" s="191">
        <v>2</v>
      </c>
      <c r="E40" s="191">
        <v>2</v>
      </c>
      <c r="F40" s="191">
        <v>0</v>
      </c>
      <c r="G40" s="191">
        <v>6</v>
      </c>
      <c r="H40" s="190">
        <v>120</v>
      </c>
      <c r="I40" s="190">
        <v>0</v>
      </c>
      <c r="J40" s="190">
        <v>120</v>
      </c>
      <c r="K40" s="189">
        <v>0.33329999999999999</v>
      </c>
      <c r="L40" s="188">
        <v>1</v>
      </c>
      <c r="M40" s="188">
        <v>0</v>
      </c>
      <c r="N40" s="187">
        <v>44.13</v>
      </c>
      <c r="O40" s="186">
        <v>0.74</v>
      </c>
      <c r="P40" s="186">
        <v>0</v>
      </c>
      <c r="Q40" s="185">
        <v>0.41</v>
      </c>
    </row>
    <row r="41" spans="1:17" ht="22.5" customHeight="1" x14ac:dyDescent="0.25">
      <c r="A41" s="184">
        <v>38</v>
      </c>
      <c r="B41" s="193" t="s">
        <v>321</v>
      </c>
      <c r="C41" s="192">
        <v>4.47</v>
      </c>
      <c r="D41" s="191">
        <v>3</v>
      </c>
      <c r="E41" s="191">
        <v>3</v>
      </c>
      <c r="F41" s="191">
        <v>0</v>
      </c>
      <c r="G41" s="191">
        <v>14</v>
      </c>
      <c r="H41" s="190">
        <v>400</v>
      </c>
      <c r="I41" s="190">
        <v>0</v>
      </c>
      <c r="J41" s="190">
        <v>400</v>
      </c>
      <c r="K41" s="189">
        <v>0.21429999999999999</v>
      </c>
      <c r="L41" s="188">
        <v>1</v>
      </c>
      <c r="M41" s="188">
        <v>0</v>
      </c>
      <c r="N41" s="187">
        <v>89.49</v>
      </c>
      <c r="O41" s="186">
        <v>0.67</v>
      </c>
      <c r="P41" s="186">
        <v>0</v>
      </c>
      <c r="Q41" s="185">
        <v>0.4</v>
      </c>
    </row>
    <row r="42" spans="1:17" ht="22.5" customHeight="1" x14ac:dyDescent="0.25">
      <c r="A42" s="184">
        <v>39</v>
      </c>
      <c r="B42" s="193" t="s">
        <v>314</v>
      </c>
      <c r="C42" s="192">
        <v>6.84</v>
      </c>
      <c r="D42" s="191">
        <v>9</v>
      </c>
      <c r="E42" s="191">
        <v>6</v>
      </c>
      <c r="F42" s="191">
        <v>0</v>
      </c>
      <c r="G42" s="191">
        <v>27</v>
      </c>
      <c r="H42" s="190">
        <v>255</v>
      </c>
      <c r="I42" s="190">
        <v>0</v>
      </c>
      <c r="J42" s="190">
        <v>330</v>
      </c>
      <c r="K42" s="189">
        <v>0.33329999999999999</v>
      </c>
      <c r="L42" s="188">
        <v>0.66669999999999996</v>
      </c>
      <c r="M42" s="188">
        <v>0</v>
      </c>
      <c r="N42" s="187">
        <v>37.28</v>
      </c>
      <c r="O42" s="186">
        <v>0.88</v>
      </c>
      <c r="P42" s="186">
        <v>0</v>
      </c>
      <c r="Q42" s="185">
        <v>0.36</v>
      </c>
    </row>
    <row r="43" spans="1:17" ht="22.5" customHeight="1" x14ac:dyDescent="0.25">
      <c r="A43" s="184">
        <v>40</v>
      </c>
      <c r="B43" s="193" t="s">
        <v>286</v>
      </c>
      <c r="C43" s="192">
        <v>6.6349999999999998</v>
      </c>
      <c r="D43" s="191">
        <v>11</v>
      </c>
      <c r="E43" s="191">
        <v>5</v>
      </c>
      <c r="F43" s="191">
        <v>0</v>
      </c>
      <c r="G43" s="191">
        <v>28</v>
      </c>
      <c r="H43" s="190">
        <v>570</v>
      </c>
      <c r="I43" s="190">
        <v>0</v>
      </c>
      <c r="J43" s="190">
        <v>945</v>
      </c>
      <c r="K43" s="189">
        <v>0.39290000000000003</v>
      </c>
      <c r="L43" s="188">
        <v>0.45450000000000002</v>
      </c>
      <c r="M43" s="188">
        <v>0</v>
      </c>
      <c r="N43" s="187">
        <v>85.91</v>
      </c>
      <c r="O43" s="186">
        <v>0.75</v>
      </c>
      <c r="P43" s="186">
        <v>0</v>
      </c>
      <c r="Q43" s="185">
        <v>0.36</v>
      </c>
    </row>
    <row r="44" spans="1:17" ht="22.5" customHeight="1" x14ac:dyDescent="0.25">
      <c r="A44" s="184">
        <v>41</v>
      </c>
      <c r="B44" s="193" t="s">
        <v>374</v>
      </c>
      <c r="C44" s="192">
        <v>8.766</v>
      </c>
      <c r="D44" s="191">
        <v>16</v>
      </c>
      <c r="E44" s="191">
        <v>4</v>
      </c>
      <c r="F44" s="191">
        <v>0</v>
      </c>
      <c r="G44" s="191">
        <v>38</v>
      </c>
      <c r="H44" s="190">
        <v>925</v>
      </c>
      <c r="I44" s="190">
        <v>0</v>
      </c>
      <c r="J44" s="190">
        <v>2330</v>
      </c>
      <c r="K44" s="189">
        <v>0.42109999999999997</v>
      </c>
      <c r="L44" s="188">
        <v>0.25</v>
      </c>
      <c r="M44" s="188">
        <v>0</v>
      </c>
      <c r="N44" s="187">
        <v>105.52</v>
      </c>
      <c r="O44" s="186">
        <v>0.46</v>
      </c>
      <c r="P44" s="186">
        <v>0</v>
      </c>
      <c r="Q44" s="185">
        <v>0.32</v>
      </c>
    </row>
    <row r="45" spans="1:17" ht="22.5" customHeight="1" x14ac:dyDescent="0.25">
      <c r="A45" s="184">
        <v>42</v>
      </c>
      <c r="B45" s="193" t="s">
        <v>336</v>
      </c>
      <c r="C45" s="192">
        <v>6.9429999999999996</v>
      </c>
      <c r="D45" s="191">
        <v>15</v>
      </c>
      <c r="E45" s="191">
        <v>4</v>
      </c>
      <c r="F45" s="191">
        <v>0</v>
      </c>
      <c r="G45" s="191">
        <v>32</v>
      </c>
      <c r="H45" s="190">
        <v>305</v>
      </c>
      <c r="I45" s="190">
        <v>0</v>
      </c>
      <c r="J45" s="190">
        <v>1220</v>
      </c>
      <c r="K45" s="189">
        <v>0.46879999999999999</v>
      </c>
      <c r="L45" s="188">
        <v>0.26669999999999999</v>
      </c>
      <c r="M45" s="188">
        <v>0</v>
      </c>
      <c r="N45" s="187">
        <v>43.93</v>
      </c>
      <c r="O45" s="186">
        <v>0.57999999999999996</v>
      </c>
      <c r="P45" s="186">
        <v>0</v>
      </c>
      <c r="Q45" s="185">
        <v>0.32</v>
      </c>
    </row>
    <row r="46" spans="1:17" ht="22.5" customHeight="1" x14ac:dyDescent="0.25">
      <c r="A46" s="184">
        <v>43</v>
      </c>
      <c r="B46" s="193" t="s">
        <v>369</v>
      </c>
      <c r="C46" s="192">
        <v>4.3049999999999997</v>
      </c>
      <c r="D46" s="191">
        <v>9</v>
      </c>
      <c r="E46" s="191">
        <v>3</v>
      </c>
      <c r="F46" s="191">
        <v>0</v>
      </c>
      <c r="G46" s="191">
        <v>18</v>
      </c>
      <c r="H46" s="190">
        <v>120</v>
      </c>
      <c r="I46" s="190">
        <v>0</v>
      </c>
      <c r="J46" s="190">
        <v>770</v>
      </c>
      <c r="K46" s="189">
        <v>0.5</v>
      </c>
      <c r="L46" s="188">
        <v>0.33329999999999999</v>
      </c>
      <c r="M46" s="188">
        <v>0</v>
      </c>
      <c r="N46" s="187">
        <v>27.87</v>
      </c>
      <c r="O46" s="186">
        <v>0.7</v>
      </c>
      <c r="P46" s="186">
        <v>0</v>
      </c>
      <c r="Q46" s="185">
        <v>0.32</v>
      </c>
    </row>
    <row r="47" spans="1:17" ht="22.5" customHeight="1" x14ac:dyDescent="0.25">
      <c r="A47" s="184">
        <v>44</v>
      </c>
      <c r="B47" s="193" t="s">
        <v>351</v>
      </c>
      <c r="C47" s="192">
        <v>5.3470000000000004</v>
      </c>
      <c r="D47" s="191">
        <v>7</v>
      </c>
      <c r="E47" s="191">
        <v>4</v>
      </c>
      <c r="F47" s="191">
        <v>0</v>
      </c>
      <c r="G47" s="191">
        <v>21</v>
      </c>
      <c r="H47" s="190">
        <v>205</v>
      </c>
      <c r="I47" s="190">
        <v>0</v>
      </c>
      <c r="J47" s="190">
        <v>555</v>
      </c>
      <c r="K47" s="189">
        <v>0.33329999999999999</v>
      </c>
      <c r="L47" s="188">
        <v>0.57140000000000002</v>
      </c>
      <c r="M47" s="188">
        <v>0</v>
      </c>
      <c r="N47" s="187">
        <v>38.340000000000003</v>
      </c>
      <c r="O47" s="186">
        <v>0.75</v>
      </c>
      <c r="P47" s="186">
        <v>0</v>
      </c>
      <c r="Q47" s="185">
        <v>0.31</v>
      </c>
    </row>
    <row r="48" spans="1:17" ht="22.5" customHeight="1" x14ac:dyDescent="0.25">
      <c r="A48" s="184">
        <v>45</v>
      </c>
      <c r="B48" s="193" t="s">
        <v>392</v>
      </c>
      <c r="C48" s="192">
        <v>2.7989999999999999</v>
      </c>
      <c r="D48" s="191">
        <v>1</v>
      </c>
      <c r="E48" s="191">
        <v>1</v>
      </c>
      <c r="F48" s="191">
        <v>0</v>
      </c>
      <c r="G48" s="191">
        <v>9</v>
      </c>
      <c r="H48" s="190">
        <v>100</v>
      </c>
      <c r="I48" s="190">
        <v>0</v>
      </c>
      <c r="J48" s="190">
        <v>100</v>
      </c>
      <c r="K48" s="189">
        <v>0.1111</v>
      </c>
      <c r="L48" s="188">
        <v>1</v>
      </c>
      <c r="M48" s="188">
        <v>0</v>
      </c>
      <c r="N48" s="187">
        <v>35.729999999999997</v>
      </c>
      <c r="O48" s="186">
        <v>0.36</v>
      </c>
      <c r="P48" s="186">
        <v>0</v>
      </c>
      <c r="Q48" s="185">
        <v>0.28999999999999998</v>
      </c>
    </row>
    <row r="49" spans="1:17" ht="22.5" customHeight="1" x14ac:dyDescent="0.25">
      <c r="A49" s="184">
        <v>46</v>
      </c>
      <c r="B49" s="193" t="s">
        <v>332</v>
      </c>
      <c r="C49" s="192">
        <v>6.2770000000000001</v>
      </c>
      <c r="D49" s="191">
        <v>6</v>
      </c>
      <c r="E49" s="191">
        <v>4</v>
      </c>
      <c r="F49" s="191">
        <v>0</v>
      </c>
      <c r="G49" s="191">
        <v>18</v>
      </c>
      <c r="H49" s="190">
        <v>130</v>
      </c>
      <c r="I49" s="190">
        <v>0</v>
      </c>
      <c r="J49" s="190">
        <v>240</v>
      </c>
      <c r="K49" s="189">
        <v>0.33329999999999999</v>
      </c>
      <c r="L49" s="188">
        <v>0.66669999999999996</v>
      </c>
      <c r="M49" s="188">
        <v>0</v>
      </c>
      <c r="N49" s="187">
        <v>20.71</v>
      </c>
      <c r="O49" s="186">
        <v>0.64</v>
      </c>
      <c r="P49" s="186">
        <v>0</v>
      </c>
      <c r="Q49" s="185">
        <v>0.28999999999999998</v>
      </c>
    </row>
    <row r="50" spans="1:17" ht="22.5" customHeight="1" x14ac:dyDescent="0.25">
      <c r="A50" s="184">
        <v>47</v>
      </c>
      <c r="B50" s="193" t="s">
        <v>390</v>
      </c>
      <c r="C50" s="192">
        <v>10.584</v>
      </c>
      <c r="D50" s="191">
        <v>16</v>
      </c>
      <c r="E50" s="191">
        <v>7</v>
      </c>
      <c r="F50" s="191">
        <v>0</v>
      </c>
      <c r="G50" s="191">
        <v>42</v>
      </c>
      <c r="H50" s="190">
        <v>370</v>
      </c>
      <c r="I50" s="190">
        <v>0</v>
      </c>
      <c r="J50" s="190">
        <v>800</v>
      </c>
      <c r="K50" s="189">
        <v>0.38100000000000001</v>
      </c>
      <c r="L50" s="188">
        <v>0.4375</v>
      </c>
      <c r="M50" s="188">
        <v>0</v>
      </c>
      <c r="N50" s="187">
        <v>34.96</v>
      </c>
      <c r="O50" s="186">
        <v>0.66</v>
      </c>
      <c r="P50" s="186">
        <v>0</v>
      </c>
      <c r="Q50" s="185">
        <v>0.28000000000000003</v>
      </c>
    </row>
    <row r="51" spans="1:17" ht="22.5" customHeight="1" x14ac:dyDescent="0.25">
      <c r="A51" s="184">
        <v>48</v>
      </c>
      <c r="B51" s="193" t="s">
        <v>385</v>
      </c>
      <c r="C51" s="192">
        <v>7.1360000000000001</v>
      </c>
      <c r="D51" s="191">
        <v>4</v>
      </c>
      <c r="E51" s="191">
        <v>3</v>
      </c>
      <c r="F51" s="191">
        <v>0</v>
      </c>
      <c r="G51" s="191">
        <v>22</v>
      </c>
      <c r="H51" s="190">
        <v>120</v>
      </c>
      <c r="I51" s="190">
        <v>0</v>
      </c>
      <c r="J51" s="190">
        <v>145</v>
      </c>
      <c r="K51" s="189">
        <v>0.18179999999999999</v>
      </c>
      <c r="L51" s="188">
        <v>0.75</v>
      </c>
      <c r="M51" s="188">
        <v>0</v>
      </c>
      <c r="N51" s="187">
        <v>16.82</v>
      </c>
      <c r="O51" s="186">
        <v>0.42</v>
      </c>
      <c r="P51" s="186">
        <v>0</v>
      </c>
      <c r="Q51" s="185">
        <v>0.24</v>
      </c>
    </row>
    <row r="52" spans="1:17" ht="22.5" customHeight="1" x14ac:dyDescent="0.25">
      <c r="A52" s="184">
        <v>49</v>
      </c>
      <c r="B52" s="193" t="s">
        <v>316</v>
      </c>
      <c r="C52" s="192">
        <v>6.8070000000000004</v>
      </c>
      <c r="D52" s="191">
        <v>2</v>
      </c>
      <c r="E52" s="191">
        <v>1</v>
      </c>
      <c r="F52" s="191">
        <v>0</v>
      </c>
      <c r="G52" s="191">
        <v>5</v>
      </c>
      <c r="H52" s="190">
        <v>100</v>
      </c>
      <c r="I52" s="190">
        <v>0</v>
      </c>
      <c r="J52" s="190">
        <v>125</v>
      </c>
      <c r="K52" s="189">
        <v>0.4</v>
      </c>
      <c r="L52" s="188">
        <v>0.5</v>
      </c>
      <c r="M52" s="188">
        <v>0</v>
      </c>
      <c r="N52" s="187">
        <v>14.69</v>
      </c>
      <c r="O52" s="186">
        <v>0.15</v>
      </c>
      <c r="P52" s="186">
        <v>0</v>
      </c>
      <c r="Q52" s="185">
        <v>0.22</v>
      </c>
    </row>
    <row r="53" spans="1:17" ht="22.5" customHeight="1" x14ac:dyDescent="0.25">
      <c r="A53" s="184">
        <v>50</v>
      </c>
      <c r="B53" s="193" t="s">
        <v>291</v>
      </c>
      <c r="C53" s="192">
        <v>1.8640000000000001</v>
      </c>
      <c r="D53" s="191">
        <v>3</v>
      </c>
      <c r="E53" s="191">
        <v>1</v>
      </c>
      <c r="F53" s="191">
        <v>0</v>
      </c>
      <c r="G53" s="191">
        <v>8</v>
      </c>
      <c r="H53" s="190">
        <v>25</v>
      </c>
      <c r="I53" s="190">
        <v>0</v>
      </c>
      <c r="J53" s="190">
        <v>100</v>
      </c>
      <c r="K53" s="189">
        <v>0.375</v>
      </c>
      <c r="L53" s="188">
        <v>0.33329999999999999</v>
      </c>
      <c r="M53" s="188">
        <v>0</v>
      </c>
      <c r="N53" s="187">
        <v>13.41</v>
      </c>
      <c r="O53" s="186">
        <v>0.54</v>
      </c>
      <c r="P53" s="186">
        <v>0</v>
      </c>
      <c r="Q53" s="185">
        <v>0.21</v>
      </c>
    </row>
    <row r="54" spans="1:17" ht="22.5" customHeight="1" x14ac:dyDescent="0.25">
      <c r="A54" s="184">
        <v>51</v>
      </c>
      <c r="B54" s="193" t="s">
        <v>281</v>
      </c>
      <c r="C54" s="192">
        <v>6.6449999999999996</v>
      </c>
      <c r="D54" s="191">
        <v>6</v>
      </c>
      <c r="E54" s="191">
        <v>3</v>
      </c>
      <c r="F54" s="191">
        <v>0</v>
      </c>
      <c r="G54" s="191">
        <v>25</v>
      </c>
      <c r="H54" s="190">
        <v>185</v>
      </c>
      <c r="I54" s="190">
        <v>0</v>
      </c>
      <c r="J54" s="190">
        <v>355</v>
      </c>
      <c r="K54" s="189">
        <v>0.24</v>
      </c>
      <c r="L54" s="188">
        <v>0.5</v>
      </c>
      <c r="M54" s="188">
        <v>0</v>
      </c>
      <c r="N54" s="187">
        <v>27.84</v>
      </c>
      <c r="O54" s="186">
        <v>0.45</v>
      </c>
      <c r="P54" s="186">
        <v>0</v>
      </c>
      <c r="Q54" s="185">
        <v>0.2</v>
      </c>
    </row>
    <row r="55" spans="1:17" ht="22.5" customHeight="1" x14ac:dyDescent="0.25">
      <c r="A55" s="184">
        <v>52</v>
      </c>
      <c r="B55" s="193" t="s">
        <v>280</v>
      </c>
      <c r="C55" s="192">
        <v>5.9820000000000002</v>
      </c>
      <c r="D55" s="191">
        <v>5</v>
      </c>
      <c r="E55" s="191">
        <v>2</v>
      </c>
      <c r="F55" s="191">
        <v>0</v>
      </c>
      <c r="G55" s="191">
        <v>24</v>
      </c>
      <c r="H55" s="190">
        <v>150</v>
      </c>
      <c r="I55" s="190">
        <v>0</v>
      </c>
      <c r="J55" s="190">
        <v>345</v>
      </c>
      <c r="K55" s="189">
        <v>0.20830000000000001</v>
      </c>
      <c r="L55" s="188">
        <v>0.4</v>
      </c>
      <c r="M55" s="188">
        <v>0</v>
      </c>
      <c r="N55" s="187">
        <v>25.08</v>
      </c>
      <c r="O55" s="186">
        <v>0.33</v>
      </c>
      <c r="P55" s="186">
        <v>0</v>
      </c>
      <c r="Q55" s="185">
        <v>0.15</v>
      </c>
    </row>
    <row r="56" spans="1:17" ht="22.5" customHeight="1" x14ac:dyDescent="0.25">
      <c r="A56" s="184">
        <v>53</v>
      </c>
      <c r="B56" s="193" t="s">
        <v>398</v>
      </c>
      <c r="C56" s="192">
        <v>5.6180000000000003</v>
      </c>
      <c r="D56" s="191">
        <v>6</v>
      </c>
      <c r="E56" s="191">
        <v>1</v>
      </c>
      <c r="F56" s="191">
        <v>0</v>
      </c>
      <c r="G56" s="191">
        <v>28</v>
      </c>
      <c r="H56" s="190">
        <v>100</v>
      </c>
      <c r="I56" s="190">
        <v>0</v>
      </c>
      <c r="J56" s="190">
        <v>375</v>
      </c>
      <c r="K56" s="189">
        <v>0.21429999999999999</v>
      </c>
      <c r="L56" s="188">
        <v>0.16669999999999999</v>
      </c>
      <c r="M56" s="188">
        <v>0</v>
      </c>
      <c r="N56" s="187">
        <v>17.8</v>
      </c>
      <c r="O56" s="186">
        <v>0.18</v>
      </c>
      <c r="P56" s="186">
        <v>0</v>
      </c>
      <c r="Q56" s="185">
        <v>0.12</v>
      </c>
    </row>
    <row r="57" spans="1:17" ht="22.5" customHeight="1" x14ac:dyDescent="0.25">
      <c r="A57" s="184">
        <v>54</v>
      </c>
      <c r="B57" s="193" t="s">
        <v>397</v>
      </c>
      <c r="C57" s="192">
        <v>5.9909999999999997</v>
      </c>
      <c r="D57" s="191">
        <v>1</v>
      </c>
      <c r="E57" s="191">
        <v>0</v>
      </c>
      <c r="F57" s="191">
        <v>0</v>
      </c>
      <c r="G57" s="191">
        <v>7</v>
      </c>
      <c r="H57" s="190">
        <v>0</v>
      </c>
      <c r="I57" s="190">
        <v>0</v>
      </c>
      <c r="J57" s="190">
        <v>50</v>
      </c>
      <c r="K57" s="189">
        <v>0.1429</v>
      </c>
      <c r="L57" s="188">
        <v>0</v>
      </c>
      <c r="M57" s="188">
        <v>0</v>
      </c>
      <c r="N57" s="187">
        <v>0</v>
      </c>
      <c r="O57" s="186">
        <v>0</v>
      </c>
      <c r="P57" s="186">
        <v>0</v>
      </c>
      <c r="Q57" s="185">
        <v>0.04</v>
      </c>
    </row>
    <row r="58" spans="1:17" ht="22.5" customHeight="1" x14ac:dyDescent="0.25">
      <c r="A58" s="184">
        <v>55</v>
      </c>
      <c r="B58" s="193" t="s">
        <v>434</v>
      </c>
      <c r="C58" s="192">
        <v>2.3290000000000002</v>
      </c>
      <c r="D58" s="191">
        <v>1</v>
      </c>
      <c r="E58" s="191">
        <v>0</v>
      </c>
      <c r="F58" s="191">
        <v>0</v>
      </c>
      <c r="G58" s="191">
        <v>10</v>
      </c>
      <c r="H58" s="190">
        <v>0</v>
      </c>
      <c r="I58" s="190">
        <v>0</v>
      </c>
      <c r="J58" s="190">
        <v>50</v>
      </c>
      <c r="K58" s="189">
        <v>0.1</v>
      </c>
      <c r="L58" s="188">
        <v>0</v>
      </c>
      <c r="M58" s="188">
        <v>0</v>
      </c>
      <c r="N58" s="187">
        <v>0</v>
      </c>
      <c r="O58" s="186">
        <v>0</v>
      </c>
      <c r="P58" s="186">
        <v>0</v>
      </c>
      <c r="Q58" s="185">
        <v>0.03</v>
      </c>
    </row>
    <row r="59" spans="1:17" ht="22.5" customHeight="1" x14ac:dyDescent="0.25">
      <c r="A59" s="184">
        <v>56</v>
      </c>
      <c r="B59" s="193" t="s">
        <v>353</v>
      </c>
      <c r="C59" s="192">
        <v>0.57699999999999996</v>
      </c>
      <c r="D59" s="191">
        <v>0</v>
      </c>
      <c r="E59" s="191">
        <v>0</v>
      </c>
      <c r="F59" s="191">
        <v>0</v>
      </c>
      <c r="G59" s="191">
        <v>1</v>
      </c>
      <c r="H59" s="190">
        <v>0</v>
      </c>
      <c r="I59" s="190">
        <v>0</v>
      </c>
      <c r="J59" s="190">
        <v>0</v>
      </c>
      <c r="K59" s="189">
        <v>0</v>
      </c>
      <c r="L59" s="188">
        <v>0</v>
      </c>
      <c r="M59" s="188">
        <v>0</v>
      </c>
      <c r="N59" s="187">
        <v>0</v>
      </c>
      <c r="O59" s="186">
        <v>0</v>
      </c>
      <c r="P59" s="186">
        <v>0</v>
      </c>
      <c r="Q59" s="185">
        <v>0.02</v>
      </c>
    </row>
    <row r="60" spans="1:17" ht="22.5" customHeight="1" x14ac:dyDescent="0.25">
      <c r="A60" s="184">
        <v>57</v>
      </c>
      <c r="B60" s="193" t="s">
        <v>290</v>
      </c>
      <c r="C60" s="192">
        <v>0.61599999999999999</v>
      </c>
      <c r="D60" s="191">
        <v>0</v>
      </c>
      <c r="E60" s="191">
        <v>0</v>
      </c>
      <c r="F60" s="191">
        <v>0</v>
      </c>
      <c r="G60" s="191">
        <v>1</v>
      </c>
      <c r="H60" s="190">
        <v>0</v>
      </c>
      <c r="I60" s="190">
        <v>0</v>
      </c>
      <c r="J60" s="190">
        <v>0</v>
      </c>
      <c r="K60" s="189">
        <v>0</v>
      </c>
      <c r="L60" s="188">
        <v>0</v>
      </c>
      <c r="M60" s="188">
        <v>0</v>
      </c>
      <c r="N60" s="187">
        <v>0</v>
      </c>
      <c r="O60" s="186">
        <v>0</v>
      </c>
      <c r="P60" s="186">
        <v>0</v>
      </c>
      <c r="Q60" s="185">
        <v>0.02</v>
      </c>
    </row>
    <row r="61" spans="1:17" ht="22.5" customHeight="1" x14ac:dyDescent="0.25">
      <c r="A61" s="184">
        <v>58</v>
      </c>
      <c r="B61" s="193" t="s">
        <v>282</v>
      </c>
      <c r="C61" s="192">
        <v>2.004</v>
      </c>
      <c r="D61" s="191">
        <v>0</v>
      </c>
      <c r="E61" s="191">
        <v>0</v>
      </c>
      <c r="F61" s="191">
        <v>0</v>
      </c>
      <c r="G61" s="191">
        <v>4</v>
      </c>
      <c r="H61" s="190">
        <v>0</v>
      </c>
      <c r="I61" s="190">
        <v>0</v>
      </c>
      <c r="J61" s="190">
        <v>0</v>
      </c>
      <c r="K61" s="189">
        <v>0</v>
      </c>
      <c r="L61" s="188">
        <v>0</v>
      </c>
      <c r="M61" s="188">
        <v>0</v>
      </c>
      <c r="N61" s="187">
        <v>0</v>
      </c>
      <c r="O61" s="186">
        <v>0</v>
      </c>
      <c r="P61" s="186">
        <v>0</v>
      </c>
      <c r="Q61" s="185">
        <v>0.02</v>
      </c>
    </row>
    <row r="62" spans="1:17" ht="22.5" customHeight="1" x14ac:dyDescent="0.25">
      <c r="A62" s="184">
        <v>59</v>
      </c>
      <c r="B62" s="193" t="s">
        <v>322</v>
      </c>
      <c r="C62" s="192">
        <v>2.2509999999999999</v>
      </c>
      <c r="D62" s="191">
        <v>0</v>
      </c>
      <c r="E62" s="191">
        <v>0</v>
      </c>
      <c r="F62" s="191">
        <v>0</v>
      </c>
      <c r="G62" s="191">
        <v>3</v>
      </c>
      <c r="H62" s="190">
        <v>0</v>
      </c>
      <c r="I62" s="190">
        <v>0</v>
      </c>
      <c r="J62" s="190">
        <v>0</v>
      </c>
      <c r="K62" s="189">
        <v>0</v>
      </c>
      <c r="L62" s="188">
        <v>0</v>
      </c>
      <c r="M62" s="188">
        <v>0</v>
      </c>
      <c r="N62" s="187">
        <v>0</v>
      </c>
      <c r="O62" s="186">
        <v>0</v>
      </c>
      <c r="P62" s="186">
        <v>0</v>
      </c>
      <c r="Q62" s="185">
        <v>0.02</v>
      </c>
    </row>
    <row r="63" spans="1:17" ht="22.5" customHeight="1" x14ac:dyDescent="0.25">
      <c r="A63" s="184">
        <v>60</v>
      </c>
      <c r="B63" s="193" t="s">
        <v>408</v>
      </c>
      <c r="C63" s="192">
        <v>2.0960000000000001</v>
      </c>
      <c r="D63" s="191">
        <v>0</v>
      </c>
      <c r="E63" s="191">
        <v>0</v>
      </c>
      <c r="F63" s="191">
        <v>0</v>
      </c>
      <c r="G63" s="191">
        <v>9</v>
      </c>
      <c r="H63" s="190">
        <v>0</v>
      </c>
      <c r="I63" s="190">
        <v>0</v>
      </c>
      <c r="J63" s="190">
        <v>0</v>
      </c>
      <c r="K63" s="189">
        <v>0</v>
      </c>
      <c r="L63" s="188">
        <v>0</v>
      </c>
      <c r="M63" s="188">
        <v>0</v>
      </c>
      <c r="N63" s="187">
        <v>0</v>
      </c>
      <c r="O63" s="186">
        <v>0</v>
      </c>
      <c r="P63" s="186">
        <v>0</v>
      </c>
      <c r="Q63" s="185">
        <v>0.02</v>
      </c>
    </row>
    <row r="64" spans="1:17" ht="22.5" customHeight="1" x14ac:dyDescent="0.25">
      <c r="A64" s="184" t="s">
        <v>171</v>
      </c>
      <c r="B64" s="183" t="s">
        <v>3</v>
      </c>
      <c r="C64" s="182">
        <v>323.38600000000002</v>
      </c>
      <c r="D64" s="181">
        <v>474</v>
      </c>
      <c r="E64" s="181">
        <v>249</v>
      </c>
      <c r="F64" s="181">
        <v>31</v>
      </c>
      <c r="G64" s="200">
        <v>1202</v>
      </c>
      <c r="H64" s="180">
        <v>18165</v>
      </c>
      <c r="I64" s="180">
        <v>3790</v>
      </c>
      <c r="J64" s="180">
        <v>34325</v>
      </c>
      <c r="K64" s="179">
        <v>0.39429999999999998</v>
      </c>
      <c r="L64" s="178">
        <v>0.5907</v>
      </c>
      <c r="M64" s="178">
        <v>0.13780000000000001</v>
      </c>
      <c r="N64" s="177">
        <v>67.89</v>
      </c>
      <c r="O64" s="176">
        <v>0.87</v>
      </c>
      <c r="P64" s="176">
        <v>0.1</v>
      </c>
      <c r="Q64" s="175" t="s">
        <v>171</v>
      </c>
    </row>
  </sheetData>
  <sortState ref="B3:R62">
    <sortCondition descending="1" ref="Q3"/>
  </sortState>
  <mergeCells count="3">
    <mergeCell ref="F1:L1"/>
    <mergeCell ref="A2:A3"/>
    <mergeCell ref="B2:B3"/>
  </mergeCells>
  <pageMargins left="0.25" right="0.25" top="0.25" bottom="0.5" header="0.25" footer="0.25"/>
  <pageSetup orientation="portrait" cellComments="atEnd"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rgb="FFFF0000"/>
  </sheetPr>
  <dimension ref="A1:Q62"/>
  <sheetViews>
    <sheetView workbookViewId="0">
      <selection sqref="A1:Q22"/>
    </sheetView>
  </sheetViews>
  <sheetFormatPr defaultRowHeight="22.5" customHeight="1" x14ac:dyDescent="0.25"/>
  <cols>
    <col min="1" max="1" width="6" style="93" bestFit="1" customWidth="1"/>
    <col min="2" max="2" width="22.42578125" style="94" bestFit="1" customWidth="1"/>
    <col min="3" max="3" width="8.28515625" style="93" bestFit="1" customWidth="1"/>
    <col min="4" max="4" width="6" style="93" bestFit="1" customWidth="1"/>
    <col min="5" max="5" width="10.28515625" style="93" bestFit="1" customWidth="1"/>
    <col min="6" max="6" width="10.42578125" style="93" bestFit="1" customWidth="1"/>
    <col min="7" max="7" width="8.42578125" style="93" bestFit="1" customWidth="1"/>
    <col min="8" max="10" width="12" style="93" bestFit="1" customWidth="1"/>
    <col min="11" max="11" width="13.42578125" style="93" bestFit="1" customWidth="1"/>
    <col min="12" max="12" width="11.42578125" style="93" bestFit="1" customWidth="1"/>
    <col min="13" max="13" width="10.42578125" style="93" bestFit="1" customWidth="1"/>
    <col min="14" max="14" width="11.85546875" style="93" bestFit="1" customWidth="1"/>
    <col min="15" max="15" width="11.42578125" style="93" bestFit="1" customWidth="1"/>
    <col min="16" max="16" width="10.42578125" style="93" bestFit="1" customWidth="1"/>
    <col min="17" max="17" width="12.28515625" style="93" bestFit="1" customWidth="1"/>
    <col min="18" max="16384" width="9.140625" style="93"/>
  </cols>
  <sheetData>
    <row r="1" spans="1:17" ht="22.5" customHeight="1" x14ac:dyDescent="0.25">
      <c r="F1" s="610"/>
      <c r="G1" s="610"/>
      <c r="H1" s="610"/>
      <c r="I1" s="610"/>
      <c r="J1" s="610"/>
      <c r="K1" s="610"/>
      <c r="L1" s="610"/>
    </row>
    <row r="2" spans="1:17" ht="22.5" customHeight="1" x14ac:dyDescent="0.25">
      <c r="A2" s="606" t="s">
        <v>172</v>
      </c>
      <c r="B2" s="608" t="s">
        <v>7</v>
      </c>
      <c r="C2" s="199" t="s">
        <v>173</v>
      </c>
      <c r="D2" s="198" t="s">
        <v>3</v>
      </c>
      <c r="E2" s="198" t="s">
        <v>176</v>
      </c>
      <c r="F2" s="198" t="s">
        <v>166</v>
      </c>
      <c r="G2" s="198" t="s">
        <v>8</v>
      </c>
      <c r="H2" s="198" t="s">
        <v>176</v>
      </c>
      <c r="I2" s="198" t="s">
        <v>166</v>
      </c>
      <c r="J2" s="198" t="s">
        <v>3</v>
      </c>
      <c r="K2" s="198" t="s">
        <v>21</v>
      </c>
      <c r="L2" s="198" t="s">
        <v>164</v>
      </c>
      <c r="M2" s="198" t="s">
        <v>166</v>
      </c>
      <c r="N2" s="198" t="s">
        <v>164</v>
      </c>
      <c r="O2" s="198" t="s">
        <v>164</v>
      </c>
      <c r="P2" s="198" t="s">
        <v>166</v>
      </c>
      <c r="Q2" s="197" t="s">
        <v>169</v>
      </c>
    </row>
    <row r="3" spans="1:17" ht="22.5" customHeight="1" x14ac:dyDescent="0.25">
      <c r="A3" s="607"/>
      <c r="B3" s="609"/>
      <c r="C3" s="196" t="s">
        <v>174</v>
      </c>
      <c r="D3" s="195" t="s">
        <v>175</v>
      </c>
      <c r="E3" s="195" t="s">
        <v>175</v>
      </c>
      <c r="F3" s="195" t="s">
        <v>175</v>
      </c>
      <c r="G3" s="195" t="s">
        <v>12</v>
      </c>
      <c r="H3" s="195" t="s">
        <v>9</v>
      </c>
      <c r="I3" s="195" t="s">
        <v>9</v>
      </c>
      <c r="J3" s="195" t="s">
        <v>9</v>
      </c>
      <c r="K3" s="195" t="s">
        <v>13</v>
      </c>
      <c r="L3" s="195" t="s">
        <v>165</v>
      </c>
      <c r="M3" s="195" t="s">
        <v>165</v>
      </c>
      <c r="N3" s="195" t="s">
        <v>167</v>
      </c>
      <c r="O3" s="195" t="s">
        <v>168</v>
      </c>
      <c r="P3" s="195" t="s">
        <v>168</v>
      </c>
      <c r="Q3" s="194" t="s">
        <v>170</v>
      </c>
    </row>
    <row r="4" spans="1:17" ht="22.5" customHeight="1" x14ac:dyDescent="0.25">
      <c r="A4" s="184">
        <v>1</v>
      </c>
      <c r="B4" s="193" t="s">
        <v>290</v>
      </c>
      <c r="C4" s="192">
        <v>0.622</v>
      </c>
      <c r="D4" s="191">
        <v>2</v>
      </c>
      <c r="E4" s="191">
        <v>1</v>
      </c>
      <c r="F4" s="191">
        <v>1</v>
      </c>
      <c r="G4" s="191">
        <v>3</v>
      </c>
      <c r="H4" s="190">
        <v>50</v>
      </c>
      <c r="I4" s="190">
        <v>60</v>
      </c>
      <c r="J4" s="190">
        <v>110</v>
      </c>
      <c r="K4" s="189">
        <v>0.66669999999999996</v>
      </c>
      <c r="L4" s="188">
        <v>1</v>
      </c>
      <c r="M4" s="188">
        <v>1</v>
      </c>
      <c r="N4" s="187">
        <v>176.85</v>
      </c>
      <c r="O4" s="186">
        <v>3.22</v>
      </c>
      <c r="P4" s="186">
        <v>1.61</v>
      </c>
      <c r="Q4" s="185">
        <v>0.9</v>
      </c>
    </row>
    <row r="5" spans="1:17" ht="22.5" customHeight="1" x14ac:dyDescent="0.25">
      <c r="A5" s="184">
        <v>2</v>
      </c>
      <c r="B5" s="193" t="s">
        <v>357</v>
      </c>
      <c r="C5" s="192">
        <v>5.7560000000000002</v>
      </c>
      <c r="D5" s="191">
        <v>6</v>
      </c>
      <c r="E5" s="191">
        <v>3</v>
      </c>
      <c r="F5" s="191">
        <v>2</v>
      </c>
      <c r="G5" s="191">
        <v>18</v>
      </c>
      <c r="H5" s="190">
        <v>25</v>
      </c>
      <c r="I5" s="190">
        <v>220</v>
      </c>
      <c r="J5" s="190">
        <v>270</v>
      </c>
      <c r="K5" s="189">
        <v>0.33329999999999999</v>
      </c>
      <c r="L5" s="188">
        <v>0.83330000000000004</v>
      </c>
      <c r="M5" s="188">
        <v>0.66669999999999996</v>
      </c>
      <c r="N5" s="187">
        <v>42.56</v>
      </c>
      <c r="O5" s="186">
        <v>0.87</v>
      </c>
      <c r="P5" s="186">
        <v>0.35</v>
      </c>
      <c r="Q5" s="185">
        <v>0.86</v>
      </c>
    </row>
    <row r="6" spans="1:17" ht="22.5" customHeight="1" x14ac:dyDescent="0.25">
      <c r="A6" s="184">
        <v>3</v>
      </c>
      <c r="B6" s="193" t="s">
        <v>403</v>
      </c>
      <c r="C6" s="192">
        <v>5.0229999999999997</v>
      </c>
      <c r="D6" s="191">
        <v>4</v>
      </c>
      <c r="E6" s="191">
        <v>2</v>
      </c>
      <c r="F6" s="191">
        <v>1</v>
      </c>
      <c r="G6" s="191">
        <v>13</v>
      </c>
      <c r="H6" s="190">
        <v>60</v>
      </c>
      <c r="I6" s="190">
        <v>120</v>
      </c>
      <c r="J6" s="190">
        <v>210</v>
      </c>
      <c r="K6" s="189">
        <v>0.30769999999999997</v>
      </c>
      <c r="L6" s="188">
        <v>0.75</v>
      </c>
      <c r="M6" s="188">
        <v>0.5</v>
      </c>
      <c r="N6" s="187">
        <v>35.840000000000003</v>
      </c>
      <c r="O6" s="186">
        <v>0.6</v>
      </c>
      <c r="P6" s="186">
        <v>0.2</v>
      </c>
      <c r="Q6" s="185">
        <v>0.8</v>
      </c>
    </row>
    <row r="7" spans="1:17" ht="22.5" customHeight="1" x14ac:dyDescent="0.25">
      <c r="A7" s="184">
        <v>4</v>
      </c>
      <c r="B7" s="193" t="s">
        <v>341</v>
      </c>
      <c r="C7" s="192">
        <v>6.5140000000000002</v>
      </c>
      <c r="D7" s="191">
        <v>5</v>
      </c>
      <c r="E7" s="191">
        <v>4</v>
      </c>
      <c r="F7" s="191">
        <v>1</v>
      </c>
      <c r="G7" s="191">
        <v>28</v>
      </c>
      <c r="H7" s="190">
        <v>100</v>
      </c>
      <c r="I7" s="190">
        <v>120</v>
      </c>
      <c r="J7" s="190">
        <v>220</v>
      </c>
      <c r="K7" s="189">
        <v>0.17860000000000001</v>
      </c>
      <c r="L7" s="188">
        <v>1</v>
      </c>
      <c r="M7" s="188">
        <v>1</v>
      </c>
      <c r="N7" s="187">
        <v>33.770000000000003</v>
      </c>
      <c r="O7" s="186">
        <v>0.77</v>
      </c>
      <c r="P7" s="186">
        <v>0.15</v>
      </c>
      <c r="Q7" s="185">
        <v>0.78</v>
      </c>
    </row>
    <row r="8" spans="1:17" ht="22.5" customHeight="1" x14ac:dyDescent="0.25">
      <c r="A8" s="184">
        <v>5</v>
      </c>
      <c r="B8" s="193" t="s">
        <v>411</v>
      </c>
      <c r="C8" s="192">
        <v>5.2770000000000001</v>
      </c>
      <c r="D8" s="191">
        <v>5</v>
      </c>
      <c r="E8" s="191">
        <v>2</v>
      </c>
      <c r="F8" s="191">
        <v>1</v>
      </c>
      <c r="G8" s="191">
        <v>18</v>
      </c>
      <c r="H8" s="190">
        <v>70</v>
      </c>
      <c r="I8" s="190">
        <v>120</v>
      </c>
      <c r="J8" s="190">
        <v>310</v>
      </c>
      <c r="K8" s="189">
        <v>0.27779999999999999</v>
      </c>
      <c r="L8" s="188">
        <v>0.6</v>
      </c>
      <c r="M8" s="188">
        <v>0.33329999999999999</v>
      </c>
      <c r="N8" s="187">
        <v>36.01</v>
      </c>
      <c r="O8" s="186">
        <v>0.56999999999999995</v>
      </c>
      <c r="P8" s="186">
        <v>0.19</v>
      </c>
      <c r="Q8" s="185">
        <v>0.75</v>
      </c>
    </row>
    <row r="9" spans="1:17" ht="22.5" customHeight="1" x14ac:dyDescent="0.25">
      <c r="A9" s="184">
        <v>6</v>
      </c>
      <c r="B9" s="193" t="s">
        <v>324</v>
      </c>
      <c r="C9" s="192">
        <v>5.2220000000000004</v>
      </c>
      <c r="D9" s="191">
        <v>3</v>
      </c>
      <c r="E9" s="191">
        <v>2</v>
      </c>
      <c r="F9" s="191">
        <v>1</v>
      </c>
      <c r="G9" s="191">
        <v>24</v>
      </c>
      <c r="H9" s="190">
        <v>30</v>
      </c>
      <c r="I9" s="190">
        <v>120</v>
      </c>
      <c r="J9" s="190">
        <v>150</v>
      </c>
      <c r="K9" s="189">
        <v>0.125</v>
      </c>
      <c r="L9" s="188">
        <v>1</v>
      </c>
      <c r="M9" s="188">
        <v>1</v>
      </c>
      <c r="N9" s="187">
        <v>28.72</v>
      </c>
      <c r="O9" s="186">
        <v>0.56999999999999995</v>
      </c>
      <c r="P9" s="186">
        <v>0.19</v>
      </c>
      <c r="Q9" s="185">
        <v>0.73</v>
      </c>
    </row>
    <row r="10" spans="1:17" ht="22.5" customHeight="1" x14ac:dyDescent="0.25">
      <c r="A10" s="184">
        <v>7</v>
      </c>
      <c r="B10" s="193" t="s">
        <v>272</v>
      </c>
      <c r="C10" s="192">
        <v>12.343999999999999</v>
      </c>
      <c r="D10" s="191">
        <v>9</v>
      </c>
      <c r="E10" s="191">
        <v>6</v>
      </c>
      <c r="F10" s="191">
        <v>1</v>
      </c>
      <c r="G10" s="191">
        <v>53</v>
      </c>
      <c r="H10" s="190">
        <v>310</v>
      </c>
      <c r="I10" s="190">
        <v>120</v>
      </c>
      <c r="J10" s="190">
        <v>505</v>
      </c>
      <c r="K10" s="189">
        <v>0.16980000000000001</v>
      </c>
      <c r="L10" s="188">
        <v>0.77780000000000005</v>
      </c>
      <c r="M10" s="188">
        <v>0.33329999999999999</v>
      </c>
      <c r="N10" s="187">
        <v>34.83</v>
      </c>
      <c r="O10" s="186">
        <v>0.56999999999999995</v>
      </c>
      <c r="P10" s="186">
        <v>0.08</v>
      </c>
      <c r="Q10" s="185">
        <v>0.72</v>
      </c>
    </row>
    <row r="11" spans="1:17" ht="22.5" customHeight="1" x14ac:dyDescent="0.25">
      <c r="A11" s="184">
        <v>8</v>
      </c>
      <c r="B11" s="193" t="s">
        <v>271</v>
      </c>
      <c r="C11" s="192">
        <v>6.4930000000000003</v>
      </c>
      <c r="D11" s="191">
        <v>4</v>
      </c>
      <c r="E11" s="191">
        <v>2</v>
      </c>
      <c r="F11" s="191">
        <v>1</v>
      </c>
      <c r="G11" s="191">
        <v>19</v>
      </c>
      <c r="H11" s="190">
        <v>10</v>
      </c>
      <c r="I11" s="190">
        <v>120</v>
      </c>
      <c r="J11" s="190">
        <v>135</v>
      </c>
      <c r="K11" s="189">
        <v>0.21049999999999999</v>
      </c>
      <c r="L11" s="188">
        <v>0.75</v>
      </c>
      <c r="M11" s="188">
        <v>0.5</v>
      </c>
      <c r="N11" s="187">
        <v>20.02</v>
      </c>
      <c r="O11" s="186">
        <v>0.46</v>
      </c>
      <c r="P11" s="186">
        <v>0.15</v>
      </c>
      <c r="Q11" s="185">
        <v>0.71</v>
      </c>
    </row>
    <row r="12" spans="1:17" ht="22.5" customHeight="1" x14ac:dyDescent="0.25">
      <c r="A12" s="184">
        <v>9</v>
      </c>
      <c r="B12" s="193" t="s">
        <v>321</v>
      </c>
      <c r="C12" s="192">
        <v>0.60799999999999998</v>
      </c>
      <c r="D12" s="191">
        <v>1</v>
      </c>
      <c r="E12" s="191">
        <v>1</v>
      </c>
      <c r="F12" s="191">
        <v>0</v>
      </c>
      <c r="G12" s="191">
        <v>2</v>
      </c>
      <c r="H12" s="190">
        <v>30</v>
      </c>
      <c r="I12" s="190">
        <v>0</v>
      </c>
      <c r="J12" s="190">
        <v>30</v>
      </c>
      <c r="K12" s="189">
        <v>0.5</v>
      </c>
      <c r="L12" s="188">
        <v>1</v>
      </c>
      <c r="M12" s="188">
        <v>0</v>
      </c>
      <c r="N12" s="187">
        <v>49.34</v>
      </c>
      <c r="O12" s="186">
        <v>1.64</v>
      </c>
      <c r="P12" s="186">
        <v>0</v>
      </c>
      <c r="Q12" s="185">
        <v>0.66</v>
      </c>
    </row>
    <row r="13" spans="1:17" ht="22.5" customHeight="1" x14ac:dyDescent="0.25">
      <c r="A13" s="184">
        <v>10</v>
      </c>
      <c r="B13" s="193" t="s">
        <v>286</v>
      </c>
      <c r="C13" s="192">
        <v>7.27</v>
      </c>
      <c r="D13" s="191">
        <v>5</v>
      </c>
      <c r="E13" s="191">
        <v>2</v>
      </c>
      <c r="F13" s="191">
        <v>1</v>
      </c>
      <c r="G13" s="191">
        <v>29</v>
      </c>
      <c r="H13" s="190">
        <v>75</v>
      </c>
      <c r="I13" s="190">
        <v>60</v>
      </c>
      <c r="J13" s="190">
        <v>285</v>
      </c>
      <c r="K13" s="189">
        <v>0.1724</v>
      </c>
      <c r="L13" s="188">
        <v>0.6</v>
      </c>
      <c r="M13" s="188">
        <v>0.33329999999999999</v>
      </c>
      <c r="N13" s="187">
        <v>18.57</v>
      </c>
      <c r="O13" s="186">
        <v>0.41</v>
      </c>
      <c r="P13" s="186">
        <v>0.14000000000000001</v>
      </c>
      <c r="Q13" s="185">
        <v>0.64</v>
      </c>
    </row>
    <row r="14" spans="1:17" ht="22.5" customHeight="1" x14ac:dyDescent="0.25">
      <c r="A14" s="184">
        <v>11</v>
      </c>
      <c r="B14" s="193" t="s">
        <v>360</v>
      </c>
      <c r="C14" s="192">
        <v>5.1879999999999997</v>
      </c>
      <c r="D14" s="191">
        <v>2</v>
      </c>
      <c r="E14" s="191">
        <v>1</v>
      </c>
      <c r="F14" s="191">
        <v>1</v>
      </c>
      <c r="G14" s="191">
        <v>18</v>
      </c>
      <c r="H14" s="190">
        <v>10</v>
      </c>
      <c r="I14" s="190">
        <v>60</v>
      </c>
      <c r="J14" s="190">
        <v>70</v>
      </c>
      <c r="K14" s="189">
        <v>0.1111</v>
      </c>
      <c r="L14" s="188">
        <v>1</v>
      </c>
      <c r="M14" s="188">
        <v>1</v>
      </c>
      <c r="N14" s="187">
        <v>13.49</v>
      </c>
      <c r="O14" s="186">
        <v>0.39</v>
      </c>
      <c r="P14" s="186">
        <v>0.19</v>
      </c>
      <c r="Q14" s="185">
        <v>0.63</v>
      </c>
    </row>
    <row r="15" spans="1:17" ht="22.5" customHeight="1" x14ac:dyDescent="0.25">
      <c r="A15" s="184">
        <v>12</v>
      </c>
      <c r="B15" s="193" t="s">
        <v>434</v>
      </c>
      <c r="C15" s="192">
        <v>6.5469999999999997</v>
      </c>
      <c r="D15" s="191">
        <v>4</v>
      </c>
      <c r="E15" s="191">
        <v>1</v>
      </c>
      <c r="F15" s="191">
        <v>1</v>
      </c>
      <c r="G15" s="191">
        <v>23</v>
      </c>
      <c r="H15" s="190">
        <v>5</v>
      </c>
      <c r="I15" s="190">
        <v>120</v>
      </c>
      <c r="J15" s="190">
        <v>270</v>
      </c>
      <c r="K15" s="189">
        <v>0.1739</v>
      </c>
      <c r="L15" s="188">
        <v>0.5</v>
      </c>
      <c r="M15" s="188">
        <v>0.33329999999999999</v>
      </c>
      <c r="N15" s="187">
        <v>19.09</v>
      </c>
      <c r="O15" s="186">
        <v>0.31</v>
      </c>
      <c r="P15" s="186">
        <v>0.15</v>
      </c>
      <c r="Q15" s="185">
        <v>0.6</v>
      </c>
    </row>
    <row r="16" spans="1:17" ht="22.5" customHeight="1" x14ac:dyDescent="0.25">
      <c r="A16" s="184">
        <v>13</v>
      </c>
      <c r="B16" s="193" t="s">
        <v>392</v>
      </c>
      <c r="C16" s="192">
        <v>2.4670000000000001</v>
      </c>
      <c r="D16" s="191">
        <v>3</v>
      </c>
      <c r="E16" s="191">
        <v>2</v>
      </c>
      <c r="F16" s="191">
        <v>0</v>
      </c>
      <c r="G16" s="191">
        <v>9</v>
      </c>
      <c r="H16" s="190">
        <v>55</v>
      </c>
      <c r="I16" s="190">
        <v>0</v>
      </c>
      <c r="J16" s="190">
        <v>75</v>
      </c>
      <c r="K16" s="189">
        <v>0.33329999999999999</v>
      </c>
      <c r="L16" s="188">
        <v>0.66669999999999996</v>
      </c>
      <c r="M16" s="188">
        <v>0</v>
      </c>
      <c r="N16" s="187">
        <v>22.29</v>
      </c>
      <c r="O16" s="186">
        <v>0.81</v>
      </c>
      <c r="P16" s="186">
        <v>0</v>
      </c>
      <c r="Q16" s="185">
        <v>0.59</v>
      </c>
    </row>
    <row r="17" spans="1:17" ht="22.5" customHeight="1" x14ac:dyDescent="0.25">
      <c r="A17" s="184">
        <v>14</v>
      </c>
      <c r="B17" s="193" t="s">
        <v>353</v>
      </c>
      <c r="C17" s="192">
        <v>5.2949999999999999</v>
      </c>
      <c r="D17" s="191">
        <v>4</v>
      </c>
      <c r="E17" s="191">
        <v>3</v>
      </c>
      <c r="F17" s="191">
        <v>0</v>
      </c>
      <c r="G17" s="191">
        <v>5</v>
      </c>
      <c r="H17" s="190">
        <v>90</v>
      </c>
      <c r="I17" s="190">
        <v>0</v>
      </c>
      <c r="J17" s="190">
        <v>110</v>
      </c>
      <c r="K17" s="189">
        <v>0.8</v>
      </c>
      <c r="L17" s="188">
        <v>0.75</v>
      </c>
      <c r="M17" s="188">
        <v>0</v>
      </c>
      <c r="N17" s="187">
        <v>17</v>
      </c>
      <c r="O17" s="186">
        <v>0.56999999999999995</v>
      </c>
      <c r="P17" s="186">
        <v>0</v>
      </c>
      <c r="Q17" s="185">
        <v>0.56999999999999995</v>
      </c>
    </row>
    <row r="18" spans="1:17" ht="22.5" customHeight="1" x14ac:dyDescent="0.25">
      <c r="A18" s="184">
        <v>15</v>
      </c>
      <c r="B18" s="193" t="s">
        <v>365</v>
      </c>
      <c r="C18" s="192">
        <v>6.9889999999999999</v>
      </c>
      <c r="D18" s="191">
        <v>6</v>
      </c>
      <c r="E18" s="191">
        <v>6</v>
      </c>
      <c r="F18" s="191">
        <v>0</v>
      </c>
      <c r="G18" s="191">
        <v>27</v>
      </c>
      <c r="H18" s="190">
        <v>115</v>
      </c>
      <c r="I18" s="190">
        <v>0</v>
      </c>
      <c r="J18" s="190">
        <v>115</v>
      </c>
      <c r="K18" s="189">
        <v>0.22220000000000001</v>
      </c>
      <c r="L18" s="188">
        <v>1</v>
      </c>
      <c r="M18" s="188">
        <v>0</v>
      </c>
      <c r="N18" s="187">
        <v>16.45</v>
      </c>
      <c r="O18" s="186">
        <v>0.86</v>
      </c>
      <c r="P18" s="186">
        <v>0</v>
      </c>
      <c r="Q18" s="185">
        <v>0.56999999999999995</v>
      </c>
    </row>
    <row r="19" spans="1:17" ht="22.5" customHeight="1" x14ac:dyDescent="0.25">
      <c r="A19" s="184">
        <v>16</v>
      </c>
      <c r="B19" s="193" t="s">
        <v>430</v>
      </c>
      <c r="C19" s="192">
        <v>6.51</v>
      </c>
      <c r="D19" s="191">
        <v>8</v>
      </c>
      <c r="E19" s="191">
        <v>5</v>
      </c>
      <c r="F19" s="191">
        <v>0</v>
      </c>
      <c r="G19" s="191">
        <v>23</v>
      </c>
      <c r="H19" s="190">
        <v>105</v>
      </c>
      <c r="I19" s="190">
        <v>0</v>
      </c>
      <c r="J19" s="190">
        <v>185</v>
      </c>
      <c r="K19" s="189">
        <v>0.3478</v>
      </c>
      <c r="L19" s="188">
        <v>0.625</v>
      </c>
      <c r="M19" s="188">
        <v>0</v>
      </c>
      <c r="N19" s="187">
        <v>16.13</v>
      </c>
      <c r="O19" s="186">
        <v>0.77</v>
      </c>
      <c r="P19" s="186">
        <v>0</v>
      </c>
      <c r="Q19" s="185">
        <v>0.56000000000000005</v>
      </c>
    </row>
    <row r="20" spans="1:17" ht="22.5" customHeight="1" x14ac:dyDescent="0.25">
      <c r="A20" s="184">
        <v>17</v>
      </c>
      <c r="B20" s="193" t="s">
        <v>315</v>
      </c>
      <c r="C20" s="192">
        <v>7.7539999999999996</v>
      </c>
      <c r="D20" s="191">
        <v>7</v>
      </c>
      <c r="E20" s="191">
        <v>4</v>
      </c>
      <c r="F20" s="191">
        <v>0</v>
      </c>
      <c r="G20" s="191">
        <v>24</v>
      </c>
      <c r="H20" s="190">
        <v>555</v>
      </c>
      <c r="I20" s="190">
        <v>0</v>
      </c>
      <c r="J20" s="190">
        <v>685</v>
      </c>
      <c r="K20" s="189">
        <v>0.29170000000000001</v>
      </c>
      <c r="L20" s="188">
        <v>0.57140000000000002</v>
      </c>
      <c r="M20" s="188">
        <v>0</v>
      </c>
      <c r="N20" s="187">
        <v>71.58</v>
      </c>
      <c r="O20" s="186">
        <v>0.52</v>
      </c>
      <c r="P20" s="186">
        <v>0</v>
      </c>
      <c r="Q20" s="185">
        <v>0.55000000000000004</v>
      </c>
    </row>
    <row r="21" spans="1:17" ht="22.5" customHeight="1" x14ac:dyDescent="0.25">
      <c r="A21" s="184">
        <v>18</v>
      </c>
      <c r="B21" s="193" t="s">
        <v>274</v>
      </c>
      <c r="C21" s="192">
        <v>2.2879999999999998</v>
      </c>
      <c r="D21" s="191">
        <v>1</v>
      </c>
      <c r="E21" s="191">
        <v>1</v>
      </c>
      <c r="F21" s="191">
        <v>0</v>
      </c>
      <c r="G21" s="191">
        <v>5</v>
      </c>
      <c r="H21" s="190">
        <v>50</v>
      </c>
      <c r="I21" s="190">
        <v>0</v>
      </c>
      <c r="J21" s="190">
        <v>50</v>
      </c>
      <c r="K21" s="189">
        <v>0.2</v>
      </c>
      <c r="L21" s="188">
        <v>1</v>
      </c>
      <c r="M21" s="188">
        <v>0</v>
      </c>
      <c r="N21" s="187">
        <v>21.85</v>
      </c>
      <c r="O21" s="186">
        <v>0.44</v>
      </c>
      <c r="P21" s="186">
        <v>0</v>
      </c>
      <c r="Q21" s="185">
        <v>0.52</v>
      </c>
    </row>
    <row r="22" spans="1:17" ht="22.5" customHeight="1" x14ac:dyDescent="0.25">
      <c r="A22" s="184">
        <v>19</v>
      </c>
      <c r="B22" s="193" t="s">
        <v>390</v>
      </c>
      <c r="C22" s="192">
        <v>12.948</v>
      </c>
      <c r="D22" s="191">
        <v>8</v>
      </c>
      <c r="E22" s="191">
        <v>8</v>
      </c>
      <c r="F22" s="191">
        <v>0</v>
      </c>
      <c r="G22" s="191">
        <v>59</v>
      </c>
      <c r="H22" s="190">
        <v>215</v>
      </c>
      <c r="I22" s="190">
        <v>0</v>
      </c>
      <c r="J22" s="190">
        <v>215</v>
      </c>
      <c r="K22" s="189">
        <v>0.1356</v>
      </c>
      <c r="L22" s="188">
        <v>1</v>
      </c>
      <c r="M22" s="188">
        <v>0</v>
      </c>
      <c r="N22" s="187">
        <v>16.600000000000001</v>
      </c>
      <c r="O22" s="186">
        <v>0.62</v>
      </c>
      <c r="P22" s="186">
        <v>0</v>
      </c>
      <c r="Q22" s="185">
        <v>0.51</v>
      </c>
    </row>
    <row r="23" spans="1:17" ht="22.5" customHeight="1" x14ac:dyDescent="0.25">
      <c r="A23" s="184">
        <v>20</v>
      </c>
      <c r="B23" s="193" t="s">
        <v>316</v>
      </c>
      <c r="C23" s="192">
        <v>5.6139999999999999</v>
      </c>
      <c r="D23" s="191">
        <v>1</v>
      </c>
      <c r="E23" s="191">
        <v>1</v>
      </c>
      <c r="F23" s="191">
        <v>0</v>
      </c>
      <c r="G23" s="191">
        <v>4</v>
      </c>
      <c r="H23" s="190">
        <v>150</v>
      </c>
      <c r="I23" s="190">
        <v>0</v>
      </c>
      <c r="J23" s="190">
        <v>150</v>
      </c>
      <c r="K23" s="189">
        <v>0.25</v>
      </c>
      <c r="L23" s="188">
        <v>1</v>
      </c>
      <c r="M23" s="188">
        <v>0</v>
      </c>
      <c r="N23" s="187">
        <v>26.72</v>
      </c>
      <c r="O23" s="186">
        <v>0.18</v>
      </c>
      <c r="P23" s="186">
        <v>0</v>
      </c>
      <c r="Q23" s="185">
        <v>0.49</v>
      </c>
    </row>
    <row r="24" spans="1:17" ht="22.5" customHeight="1" x14ac:dyDescent="0.25">
      <c r="A24" s="184">
        <v>21</v>
      </c>
      <c r="B24" s="193" t="s">
        <v>332</v>
      </c>
      <c r="C24" s="192">
        <v>7.1639999999999997</v>
      </c>
      <c r="D24" s="191">
        <v>4</v>
      </c>
      <c r="E24" s="191">
        <v>4</v>
      </c>
      <c r="F24" s="191">
        <v>0</v>
      </c>
      <c r="G24" s="191">
        <v>25</v>
      </c>
      <c r="H24" s="190">
        <v>110</v>
      </c>
      <c r="I24" s="190">
        <v>0</v>
      </c>
      <c r="J24" s="190">
        <v>110</v>
      </c>
      <c r="K24" s="189">
        <v>0.16</v>
      </c>
      <c r="L24" s="188">
        <v>1</v>
      </c>
      <c r="M24" s="188">
        <v>0</v>
      </c>
      <c r="N24" s="187">
        <v>15.35</v>
      </c>
      <c r="O24" s="186">
        <v>0.56000000000000005</v>
      </c>
      <c r="P24" s="186">
        <v>0</v>
      </c>
      <c r="Q24" s="185">
        <v>0.49</v>
      </c>
    </row>
    <row r="25" spans="1:17" ht="22.5" customHeight="1" x14ac:dyDescent="0.25">
      <c r="A25" s="184">
        <v>22</v>
      </c>
      <c r="B25" s="193" t="s">
        <v>291</v>
      </c>
      <c r="C25" s="192">
        <v>2.4550000000000001</v>
      </c>
      <c r="D25" s="191">
        <v>2</v>
      </c>
      <c r="E25" s="191">
        <v>1</v>
      </c>
      <c r="F25" s="191">
        <v>0</v>
      </c>
      <c r="G25" s="191">
        <v>8</v>
      </c>
      <c r="H25" s="190">
        <v>100</v>
      </c>
      <c r="I25" s="190">
        <v>0</v>
      </c>
      <c r="J25" s="190">
        <v>125</v>
      </c>
      <c r="K25" s="189">
        <v>0.25</v>
      </c>
      <c r="L25" s="188">
        <v>0.5</v>
      </c>
      <c r="M25" s="188">
        <v>0</v>
      </c>
      <c r="N25" s="187">
        <v>40.729999999999997</v>
      </c>
      <c r="O25" s="186">
        <v>0.41</v>
      </c>
      <c r="P25" s="186">
        <v>0</v>
      </c>
      <c r="Q25" s="185">
        <v>0.49</v>
      </c>
    </row>
    <row r="26" spans="1:17" ht="22.5" customHeight="1" x14ac:dyDescent="0.25">
      <c r="A26" s="184">
        <v>23</v>
      </c>
      <c r="B26" s="193" t="s">
        <v>401</v>
      </c>
      <c r="C26" s="192">
        <v>6.9269999999999996</v>
      </c>
      <c r="D26" s="191">
        <v>2</v>
      </c>
      <c r="E26" s="191">
        <v>0</v>
      </c>
      <c r="F26" s="191">
        <v>1</v>
      </c>
      <c r="G26" s="191">
        <v>28</v>
      </c>
      <c r="H26" s="190">
        <v>0</v>
      </c>
      <c r="I26" s="190">
        <v>120</v>
      </c>
      <c r="J26" s="190">
        <v>420</v>
      </c>
      <c r="K26" s="189">
        <v>7.1400000000000005E-2</v>
      </c>
      <c r="L26" s="188">
        <v>0.5</v>
      </c>
      <c r="M26" s="188">
        <v>0.5</v>
      </c>
      <c r="N26" s="187">
        <v>17.32</v>
      </c>
      <c r="O26" s="186">
        <v>0.14000000000000001</v>
      </c>
      <c r="P26" s="186">
        <v>0.14000000000000001</v>
      </c>
      <c r="Q26" s="185">
        <v>0.48</v>
      </c>
    </row>
    <row r="27" spans="1:17" ht="22.5" customHeight="1" x14ac:dyDescent="0.25">
      <c r="A27" s="184">
        <v>24</v>
      </c>
      <c r="B27" s="193" t="s">
        <v>379</v>
      </c>
      <c r="C27" s="192">
        <v>4.1619999999999999</v>
      </c>
      <c r="D27" s="191">
        <v>2</v>
      </c>
      <c r="E27" s="191">
        <v>2</v>
      </c>
      <c r="F27" s="191">
        <v>0</v>
      </c>
      <c r="G27" s="191">
        <v>12</v>
      </c>
      <c r="H27" s="190">
        <v>60</v>
      </c>
      <c r="I27" s="190">
        <v>0</v>
      </c>
      <c r="J27" s="190">
        <v>60</v>
      </c>
      <c r="K27" s="189">
        <v>0.16669999999999999</v>
      </c>
      <c r="L27" s="188">
        <v>1</v>
      </c>
      <c r="M27" s="188">
        <v>0</v>
      </c>
      <c r="N27" s="187">
        <v>14.42</v>
      </c>
      <c r="O27" s="186">
        <v>0.48</v>
      </c>
      <c r="P27" s="186">
        <v>0</v>
      </c>
      <c r="Q27" s="185">
        <v>0.48</v>
      </c>
    </row>
    <row r="28" spans="1:17" ht="22.5" customHeight="1" x14ac:dyDescent="0.25">
      <c r="A28" s="184">
        <v>25</v>
      </c>
      <c r="B28" s="193" t="s">
        <v>363</v>
      </c>
      <c r="C28" s="192">
        <v>4.806</v>
      </c>
      <c r="D28" s="191">
        <v>4</v>
      </c>
      <c r="E28" s="191">
        <v>3</v>
      </c>
      <c r="F28" s="191">
        <v>0</v>
      </c>
      <c r="G28" s="191">
        <v>28</v>
      </c>
      <c r="H28" s="190">
        <v>15</v>
      </c>
      <c r="I28" s="190">
        <v>0</v>
      </c>
      <c r="J28" s="190">
        <v>45</v>
      </c>
      <c r="K28" s="189">
        <v>0.1429</v>
      </c>
      <c r="L28" s="188">
        <v>0.75</v>
      </c>
      <c r="M28" s="188">
        <v>0</v>
      </c>
      <c r="N28" s="187">
        <v>3.12</v>
      </c>
      <c r="O28" s="186">
        <v>0.62</v>
      </c>
      <c r="P28" s="186">
        <v>0</v>
      </c>
      <c r="Q28" s="185">
        <v>0.44</v>
      </c>
    </row>
    <row r="29" spans="1:17" ht="22.5" customHeight="1" x14ac:dyDescent="0.25">
      <c r="A29" s="184">
        <v>26</v>
      </c>
      <c r="B29" s="193" t="s">
        <v>378</v>
      </c>
      <c r="C29" s="192">
        <v>6.65</v>
      </c>
      <c r="D29" s="191">
        <v>5</v>
      </c>
      <c r="E29" s="191">
        <v>3</v>
      </c>
      <c r="F29" s="191">
        <v>0</v>
      </c>
      <c r="G29" s="191">
        <v>28</v>
      </c>
      <c r="H29" s="190">
        <v>90</v>
      </c>
      <c r="I29" s="190">
        <v>0</v>
      </c>
      <c r="J29" s="190">
        <v>290</v>
      </c>
      <c r="K29" s="189">
        <v>0.17860000000000001</v>
      </c>
      <c r="L29" s="188">
        <v>0.6</v>
      </c>
      <c r="M29" s="188">
        <v>0</v>
      </c>
      <c r="N29" s="187">
        <v>13.53</v>
      </c>
      <c r="O29" s="186">
        <v>0.45</v>
      </c>
      <c r="P29" s="186">
        <v>0</v>
      </c>
      <c r="Q29" s="185">
        <v>0.44</v>
      </c>
    </row>
    <row r="30" spans="1:17" ht="22.5" customHeight="1" x14ac:dyDescent="0.25">
      <c r="A30" s="184">
        <v>27</v>
      </c>
      <c r="B30" s="193" t="s">
        <v>398</v>
      </c>
      <c r="C30" s="192">
        <v>7.6109999999999998</v>
      </c>
      <c r="D30" s="191">
        <v>4</v>
      </c>
      <c r="E30" s="191">
        <v>4</v>
      </c>
      <c r="F30" s="191">
        <v>0</v>
      </c>
      <c r="G30" s="191">
        <v>48</v>
      </c>
      <c r="H30" s="190">
        <v>85</v>
      </c>
      <c r="I30" s="190">
        <v>0</v>
      </c>
      <c r="J30" s="190">
        <v>85</v>
      </c>
      <c r="K30" s="189">
        <v>8.3299999999999999E-2</v>
      </c>
      <c r="L30" s="188">
        <v>1</v>
      </c>
      <c r="M30" s="188">
        <v>0</v>
      </c>
      <c r="N30" s="187">
        <v>11.17</v>
      </c>
      <c r="O30" s="186">
        <v>0.53</v>
      </c>
      <c r="P30" s="186">
        <v>0</v>
      </c>
      <c r="Q30" s="185">
        <v>0.43</v>
      </c>
    </row>
    <row r="31" spans="1:17" ht="22.5" customHeight="1" x14ac:dyDescent="0.25">
      <c r="A31" s="184">
        <v>28</v>
      </c>
      <c r="B31" s="193" t="s">
        <v>269</v>
      </c>
      <c r="C31" s="192">
        <v>5.032</v>
      </c>
      <c r="D31" s="191">
        <v>3</v>
      </c>
      <c r="E31" s="191">
        <v>2</v>
      </c>
      <c r="F31" s="191">
        <v>0</v>
      </c>
      <c r="G31" s="191">
        <v>14</v>
      </c>
      <c r="H31" s="190">
        <v>25</v>
      </c>
      <c r="I31" s="190">
        <v>0</v>
      </c>
      <c r="J31" s="190">
        <v>50</v>
      </c>
      <c r="K31" s="189">
        <v>0.21429999999999999</v>
      </c>
      <c r="L31" s="188">
        <v>0.66669999999999996</v>
      </c>
      <c r="M31" s="188">
        <v>0</v>
      </c>
      <c r="N31" s="187">
        <v>4.97</v>
      </c>
      <c r="O31" s="186">
        <v>0.4</v>
      </c>
      <c r="P31" s="186">
        <v>0</v>
      </c>
      <c r="Q31" s="185">
        <v>0.43</v>
      </c>
    </row>
    <row r="32" spans="1:17" ht="22.5" customHeight="1" x14ac:dyDescent="0.25">
      <c r="A32" s="184">
        <v>29</v>
      </c>
      <c r="B32" s="193" t="s">
        <v>299</v>
      </c>
      <c r="C32" s="192">
        <v>5.0469999999999997</v>
      </c>
      <c r="D32" s="191">
        <v>2</v>
      </c>
      <c r="E32" s="191">
        <v>2</v>
      </c>
      <c r="F32" s="191">
        <v>0</v>
      </c>
      <c r="G32" s="191">
        <v>19</v>
      </c>
      <c r="H32" s="190">
        <v>30</v>
      </c>
      <c r="I32" s="190">
        <v>0</v>
      </c>
      <c r="J32" s="190">
        <v>30</v>
      </c>
      <c r="K32" s="189">
        <v>0.1053</v>
      </c>
      <c r="L32" s="188">
        <v>1</v>
      </c>
      <c r="M32" s="188">
        <v>0</v>
      </c>
      <c r="N32" s="187">
        <v>5.94</v>
      </c>
      <c r="O32" s="186">
        <v>0.4</v>
      </c>
      <c r="P32" s="186">
        <v>0</v>
      </c>
      <c r="Q32" s="185">
        <v>0.39</v>
      </c>
    </row>
    <row r="33" spans="1:17" ht="22.5" customHeight="1" x14ac:dyDescent="0.25">
      <c r="A33" s="184">
        <v>30</v>
      </c>
      <c r="B33" s="193" t="s">
        <v>420</v>
      </c>
      <c r="C33" s="192">
        <v>7.5529999999999999</v>
      </c>
      <c r="D33" s="191">
        <v>3</v>
      </c>
      <c r="E33" s="191">
        <v>3</v>
      </c>
      <c r="F33" s="191">
        <v>0</v>
      </c>
      <c r="G33" s="191">
        <v>30</v>
      </c>
      <c r="H33" s="190">
        <v>70</v>
      </c>
      <c r="I33" s="190">
        <v>0</v>
      </c>
      <c r="J33" s="190">
        <v>70</v>
      </c>
      <c r="K33" s="189">
        <v>0.1</v>
      </c>
      <c r="L33" s="188">
        <v>1</v>
      </c>
      <c r="M33" s="188">
        <v>0</v>
      </c>
      <c r="N33" s="187">
        <v>9.27</v>
      </c>
      <c r="O33" s="186">
        <v>0.4</v>
      </c>
      <c r="P33" s="186">
        <v>0</v>
      </c>
      <c r="Q33" s="185">
        <v>0.39</v>
      </c>
    </row>
    <row r="34" spans="1:17" ht="22.5" customHeight="1" x14ac:dyDescent="0.25">
      <c r="A34" s="184">
        <v>31</v>
      </c>
      <c r="B34" s="193" t="s">
        <v>371</v>
      </c>
      <c r="C34" s="192">
        <v>7.8360000000000003</v>
      </c>
      <c r="D34" s="191">
        <v>3</v>
      </c>
      <c r="E34" s="191">
        <v>3</v>
      </c>
      <c r="F34" s="191">
        <v>0</v>
      </c>
      <c r="G34" s="191">
        <v>41</v>
      </c>
      <c r="H34" s="190">
        <v>85</v>
      </c>
      <c r="I34" s="190">
        <v>0</v>
      </c>
      <c r="J34" s="190">
        <v>85</v>
      </c>
      <c r="K34" s="189">
        <v>7.3200000000000001E-2</v>
      </c>
      <c r="L34" s="188">
        <v>1</v>
      </c>
      <c r="M34" s="188">
        <v>0</v>
      </c>
      <c r="N34" s="187">
        <v>10.85</v>
      </c>
      <c r="O34" s="186">
        <v>0.38</v>
      </c>
      <c r="P34" s="186">
        <v>0</v>
      </c>
      <c r="Q34" s="185">
        <v>0.38</v>
      </c>
    </row>
    <row r="35" spans="1:17" ht="22.5" customHeight="1" x14ac:dyDescent="0.25">
      <c r="A35" s="184">
        <v>32</v>
      </c>
      <c r="B35" s="193" t="s">
        <v>405</v>
      </c>
      <c r="C35" s="192">
        <v>6.7610000000000001</v>
      </c>
      <c r="D35" s="191">
        <v>2</v>
      </c>
      <c r="E35" s="191">
        <v>2</v>
      </c>
      <c r="F35" s="191">
        <v>0</v>
      </c>
      <c r="G35" s="191">
        <v>21</v>
      </c>
      <c r="H35" s="190">
        <v>80</v>
      </c>
      <c r="I35" s="190">
        <v>0</v>
      </c>
      <c r="J35" s="190">
        <v>80</v>
      </c>
      <c r="K35" s="189">
        <v>9.5200000000000007E-2</v>
      </c>
      <c r="L35" s="188">
        <v>1</v>
      </c>
      <c r="M35" s="188">
        <v>0</v>
      </c>
      <c r="N35" s="187">
        <v>11.83</v>
      </c>
      <c r="O35" s="186">
        <v>0.3</v>
      </c>
      <c r="P35" s="186">
        <v>0</v>
      </c>
      <c r="Q35" s="185">
        <v>0.38</v>
      </c>
    </row>
    <row r="36" spans="1:17" ht="22.5" customHeight="1" x14ac:dyDescent="0.25">
      <c r="A36" s="184">
        <v>33</v>
      </c>
      <c r="B36" s="193" t="s">
        <v>366</v>
      </c>
      <c r="C36" s="192">
        <v>7.13</v>
      </c>
      <c r="D36" s="191">
        <v>5</v>
      </c>
      <c r="E36" s="191">
        <v>2</v>
      </c>
      <c r="F36" s="191">
        <v>0</v>
      </c>
      <c r="G36" s="191">
        <v>32</v>
      </c>
      <c r="H36" s="190">
        <v>125</v>
      </c>
      <c r="I36" s="190">
        <v>0</v>
      </c>
      <c r="J36" s="190">
        <v>225</v>
      </c>
      <c r="K36" s="189">
        <v>0.15620000000000001</v>
      </c>
      <c r="L36" s="188">
        <v>0.4</v>
      </c>
      <c r="M36" s="188">
        <v>0</v>
      </c>
      <c r="N36" s="187">
        <v>17.53</v>
      </c>
      <c r="O36" s="186">
        <v>0.28000000000000003</v>
      </c>
      <c r="P36" s="186">
        <v>0</v>
      </c>
      <c r="Q36" s="185">
        <v>0.37</v>
      </c>
    </row>
    <row r="37" spans="1:17" ht="22.5" customHeight="1" x14ac:dyDescent="0.25">
      <c r="A37" s="184">
        <v>34</v>
      </c>
      <c r="B37" s="193" t="s">
        <v>281</v>
      </c>
      <c r="C37" s="192">
        <v>9.9410000000000007</v>
      </c>
      <c r="D37" s="191">
        <v>7</v>
      </c>
      <c r="E37" s="191">
        <v>3</v>
      </c>
      <c r="F37" s="191">
        <v>0</v>
      </c>
      <c r="G37" s="191">
        <v>34</v>
      </c>
      <c r="H37" s="190">
        <v>80</v>
      </c>
      <c r="I37" s="190">
        <v>0</v>
      </c>
      <c r="J37" s="190">
        <v>525</v>
      </c>
      <c r="K37" s="189">
        <v>0.2059</v>
      </c>
      <c r="L37" s="188">
        <v>0.42859999999999998</v>
      </c>
      <c r="M37" s="188">
        <v>0</v>
      </c>
      <c r="N37" s="187">
        <v>8.0500000000000007</v>
      </c>
      <c r="O37" s="186">
        <v>0.3</v>
      </c>
      <c r="P37" s="186">
        <v>0</v>
      </c>
      <c r="Q37" s="185">
        <v>0.37</v>
      </c>
    </row>
    <row r="38" spans="1:17" ht="22.5" customHeight="1" x14ac:dyDescent="0.25">
      <c r="A38" s="184">
        <v>35</v>
      </c>
      <c r="B38" s="193" t="s">
        <v>389</v>
      </c>
      <c r="C38" s="192">
        <v>6.7930000000000001</v>
      </c>
      <c r="D38" s="191">
        <v>1</v>
      </c>
      <c r="E38" s="191">
        <v>1</v>
      </c>
      <c r="F38" s="191">
        <v>0</v>
      </c>
      <c r="G38" s="191">
        <v>27</v>
      </c>
      <c r="H38" s="190">
        <v>100</v>
      </c>
      <c r="I38" s="190">
        <v>0</v>
      </c>
      <c r="J38" s="190">
        <v>100</v>
      </c>
      <c r="K38" s="189">
        <v>3.6999999999999998E-2</v>
      </c>
      <c r="L38" s="188">
        <v>1</v>
      </c>
      <c r="M38" s="188">
        <v>0</v>
      </c>
      <c r="N38" s="187">
        <v>14.72</v>
      </c>
      <c r="O38" s="186">
        <v>0.15</v>
      </c>
      <c r="P38" s="186">
        <v>0</v>
      </c>
      <c r="Q38" s="185">
        <v>0.33</v>
      </c>
    </row>
    <row r="39" spans="1:17" ht="22.5" customHeight="1" x14ac:dyDescent="0.25">
      <c r="A39" s="184">
        <v>36</v>
      </c>
      <c r="B39" s="193" t="s">
        <v>356</v>
      </c>
      <c r="C39" s="192">
        <v>6.3159999999999998</v>
      </c>
      <c r="D39" s="191">
        <v>4</v>
      </c>
      <c r="E39" s="191">
        <v>2</v>
      </c>
      <c r="F39" s="191">
        <v>0</v>
      </c>
      <c r="G39" s="191">
        <v>29</v>
      </c>
      <c r="H39" s="190">
        <v>30</v>
      </c>
      <c r="I39" s="190">
        <v>0</v>
      </c>
      <c r="J39" s="190">
        <v>250</v>
      </c>
      <c r="K39" s="189">
        <v>0.13789999999999999</v>
      </c>
      <c r="L39" s="188">
        <v>0.5</v>
      </c>
      <c r="M39" s="188">
        <v>0</v>
      </c>
      <c r="N39" s="187">
        <v>4.75</v>
      </c>
      <c r="O39" s="186">
        <v>0.32</v>
      </c>
      <c r="P39" s="186">
        <v>0</v>
      </c>
      <c r="Q39" s="185">
        <v>0.33</v>
      </c>
    </row>
    <row r="40" spans="1:17" ht="22.5" customHeight="1" x14ac:dyDescent="0.25">
      <c r="A40" s="184">
        <v>37</v>
      </c>
      <c r="B40" s="193" t="s">
        <v>374</v>
      </c>
      <c r="C40" s="192">
        <v>8.2210000000000001</v>
      </c>
      <c r="D40" s="191">
        <v>2</v>
      </c>
      <c r="E40" s="191">
        <v>2</v>
      </c>
      <c r="F40" s="191">
        <v>0</v>
      </c>
      <c r="G40" s="191">
        <v>28</v>
      </c>
      <c r="H40" s="190">
        <v>20</v>
      </c>
      <c r="I40" s="190">
        <v>0</v>
      </c>
      <c r="J40" s="190">
        <v>20</v>
      </c>
      <c r="K40" s="189">
        <v>7.1400000000000005E-2</v>
      </c>
      <c r="L40" s="188">
        <v>1</v>
      </c>
      <c r="M40" s="188">
        <v>0</v>
      </c>
      <c r="N40" s="187">
        <v>2.4300000000000002</v>
      </c>
      <c r="O40" s="186">
        <v>0.24</v>
      </c>
      <c r="P40" s="186">
        <v>0</v>
      </c>
      <c r="Q40" s="185">
        <v>0.32</v>
      </c>
    </row>
    <row r="41" spans="1:17" ht="22.5" customHeight="1" x14ac:dyDescent="0.25">
      <c r="A41" s="184">
        <v>38</v>
      </c>
      <c r="B41" s="193" t="s">
        <v>435</v>
      </c>
      <c r="C41" s="192">
        <v>7.1559999999999997</v>
      </c>
      <c r="D41" s="191">
        <v>2</v>
      </c>
      <c r="E41" s="191">
        <v>2</v>
      </c>
      <c r="F41" s="191">
        <v>0</v>
      </c>
      <c r="G41" s="191">
        <v>39</v>
      </c>
      <c r="H41" s="190">
        <v>35</v>
      </c>
      <c r="I41" s="190">
        <v>0</v>
      </c>
      <c r="J41" s="190">
        <v>35</v>
      </c>
      <c r="K41" s="189">
        <v>5.1299999999999998E-2</v>
      </c>
      <c r="L41" s="188">
        <v>1</v>
      </c>
      <c r="M41" s="188">
        <v>0</v>
      </c>
      <c r="N41" s="187">
        <v>4.8899999999999997</v>
      </c>
      <c r="O41" s="186">
        <v>0.28000000000000003</v>
      </c>
      <c r="P41" s="186">
        <v>0</v>
      </c>
      <c r="Q41" s="185">
        <v>0.32</v>
      </c>
    </row>
    <row r="42" spans="1:17" ht="22.5" customHeight="1" x14ac:dyDescent="0.25">
      <c r="A42" s="184">
        <v>39</v>
      </c>
      <c r="B42" s="193" t="s">
        <v>409</v>
      </c>
      <c r="C42" s="192">
        <v>5.173</v>
      </c>
      <c r="D42" s="191">
        <v>1</v>
      </c>
      <c r="E42" s="191">
        <v>1</v>
      </c>
      <c r="F42" s="191">
        <v>0</v>
      </c>
      <c r="G42" s="191">
        <v>18</v>
      </c>
      <c r="H42" s="190">
        <v>5</v>
      </c>
      <c r="I42" s="190">
        <v>0</v>
      </c>
      <c r="J42" s="190">
        <v>5</v>
      </c>
      <c r="K42" s="189">
        <v>5.5599999999999997E-2</v>
      </c>
      <c r="L42" s="188">
        <v>1</v>
      </c>
      <c r="M42" s="188">
        <v>0</v>
      </c>
      <c r="N42" s="187">
        <v>0.97</v>
      </c>
      <c r="O42" s="186">
        <v>0.19</v>
      </c>
      <c r="P42" s="186">
        <v>0</v>
      </c>
      <c r="Q42" s="185">
        <v>0.3</v>
      </c>
    </row>
    <row r="43" spans="1:17" ht="22.5" customHeight="1" x14ac:dyDescent="0.25">
      <c r="A43" s="184">
        <v>40</v>
      </c>
      <c r="B43" s="193" t="s">
        <v>391</v>
      </c>
      <c r="C43" s="192">
        <v>6.9939999999999998</v>
      </c>
      <c r="D43" s="191">
        <v>1</v>
      </c>
      <c r="E43" s="191">
        <v>1</v>
      </c>
      <c r="F43" s="191">
        <v>0</v>
      </c>
      <c r="G43" s="191">
        <v>36</v>
      </c>
      <c r="H43" s="190">
        <v>50</v>
      </c>
      <c r="I43" s="190">
        <v>0</v>
      </c>
      <c r="J43" s="190">
        <v>50</v>
      </c>
      <c r="K43" s="189">
        <v>2.7799999999999998E-2</v>
      </c>
      <c r="L43" s="188">
        <v>1</v>
      </c>
      <c r="M43" s="188">
        <v>0</v>
      </c>
      <c r="N43" s="187">
        <v>7.15</v>
      </c>
      <c r="O43" s="186">
        <v>0.14000000000000001</v>
      </c>
      <c r="P43" s="186">
        <v>0</v>
      </c>
      <c r="Q43" s="185">
        <v>0.28999999999999998</v>
      </c>
    </row>
    <row r="44" spans="1:17" ht="22.5" customHeight="1" x14ac:dyDescent="0.25">
      <c r="A44" s="184">
        <v>41</v>
      </c>
      <c r="B44" s="193" t="s">
        <v>354</v>
      </c>
      <c r="C44" s="192">
        <v>9.4079999999999995</v>
      </c>
      <c r="D44" s="191">
        <v>1</v>
      </c>
      <c r="E44" s="191">
        <v>1</v>
      </c>
      <c r="F44" s="191">
        <v>0</v>
      </c>
      <c r="G44" s="191">
        <v>25</v>
      </c>
      <c r="H44" s="190">
        <v>15</v>
      </c>
      <c r="I44" s="190">
        <v>0</v>
      </c>
      <c r="J44" s="190">
        <v>15</v>
      </c>
      <c r="K44" s="189">
        <v>0.04</v>
      </c>
      <c r="L44" s="188">
        <v>1</v>
      </c>
      <c r="M44" s="188">
        <v>0</v>
      </c>
      <c r="N44" s="187">
        <v>1.59</v>
      </c>
      <c r="O44" s="186">
        <v>0.11</v>
      </c>
      <c r="P44" s="186">
        <v>0</v>
      </c>
      <c r="Q44" s="185">
        <v>0.27</v>
      </c>
    </row>
    <row r="45" spans="1:17" ht="22.5" customHeight="1" x14ac:dyDescent="0.25">
      <c r="A45" s="184">
        <v>42</v>
      </c>
      <c r="B45" s="193" t="s">
        <v>314</v>
      </c>
      <c r="C45" s="192">
        <v>5.444</v>
      </c>
      <c r="D45" s="191">
        <v>2</v>
      </c>
      <c r="E45" s="191">
        <v>1</v>
      </c>
      <c r="F45" s="191">
        <v>0</v>
      </c>
      <c r="G45" s="191">
        <v>25</v>
      </c>
      <c r="H45" s="190">
        <v>10</v>
      </c>
      <c r="I45" s="190">
        <v>0</v>
      </c>
      <c r="J45" s="190">
        <v>35</v>
      </c>
      <c r="K45" s="189">
        <v>0.08</v>
      </c>
      <c r="L45" s="188">
        <v>0.5</v>
      </c>
      <c r="M45" s="188">
        <v>0</v>
      </c>
      <c r="N45" s="187">
        <v>1.84</v>
      </c>
      <c r="O45" s="186">
        <v>0.18</v>
      </c>
      <c r="P45" s="186">
        <v>0</v>
      </c>
      <c r="Q45" s="185">
        <v>0.25</v>
      </c>
    </row>
    <row r="46" spans="1:17" ht="22.5" customHeight="1" x14ac:dyDescent="0.25">
      <c r="A46" s="184">
        <v>43</v>
      </c>
      <c r="B46" s="193" t="s">
        <v>375</v>
      </c>
      <c r="C46" s="192">
        <v>14.542</v>
      </c>
      <c r="D46" s="191">
        <v>3</v>
      </c>
      <c r="E46" s="191">
        <v>1</v>
      </c>
      <c r="F46" s="191">
        <v>0</v>
      </c>
      <c r="G46" s="191">
        <v>27</v>
      </c>
      <c r="H46" s="190">
        <v>25</v>
      </c>
      <c r="I46" s="190">
        <v>0</v>
      </c>
      <c r="J46" s="190">
        <v>155</v>
      </c>
      <c r="K46" s="189">
        <v>0.1111</v>
      </c>
      <c r="L46" s="188">
        <v>0.33329999999999999</v>
      </c>
      <c r="M46" s="188">
        <v>0</v>
      </c>
      <c r="N46" s="187">
        <v>1.72</v>
      </c>
      <c r="O46" s="186">
        <v>7.0000000000000007E-2</v>
      </c>
      <c r="P46" s="186">
        <v>0</v>
      </c>
      <c r="Q46" s="185">
        <v>0.24</v>
      </c>
    </row>
    <row r="47" spans="1:17" ht="22.5" customHeight="1" x14ac:dyDescent="0.25">
      <c r="A47" s="184">
        <v>44</v>
      </c>
      <c r="B47" s="193" t="s">
        <v>369</v>
      </c>
      <c r="C47" s="192">
        <v>6.5410000000000004</v>
      </c>
      <c r="D47" s="191">
        <v>2</v>
      </c>
      <c r="E47" s="191">
        <v>1</v>
      </c>
      <c r="F47" s="191">
        <v>0</v>
      </c>
      <c r="G47" s="191">
        <v>28</v>
      </c>
      <c r="H47" s="190">
        <v>10</v>
      </c>
      <c r="I47" s="190">
        <v>0</v>
      </c>
      <c r="J47" s="190">
        <v>15</v>
      </c>
      <c r="K47" s="189">
        <v>7.1400000000000005E-2</v>
      </c>
      <c r="L47" s="188">
        <v>0.5</v>
      </c>
      <c r="M47" s="188">
        <v>0</v>
      </c>
      <c r="N47" s="187">
        <v>1.53</v>
      </c>
      <c r="O47" s="186">
        <v>0.15</v>
      </c>
      <c r="P47" s="186">
        <v>0</v>
      </c>
      <c r="Q47" s="185">
        <v>0.22</v>
      </c>
    </row>
    <row r="48" spans="1:17" ht="22.5" customHeight="1" x14ac:dyDescent="0.25">
      <c r="A48" s="184">
        <v>45</v>
      </c>
      <c r="B48" s="193" t="s">
        <v>370</v>
      </c>
      <c r="C48" s="192">
        <v>2.089</v>
      </c>
      <c r="D48" s="191">
        <v>3</v>
      </c>
      <c r="E48" s="191">
        <v>0</v>
      </c>
      <c r="F48" s="191">
        <v>0</v>
      </c>
      <c r="G48" s="191">
        <v>7</v>
      </c>
      <c r="H48" s="190">
        <v>0</v>
      </c>
      <c r="I48" s="190">
        <v>0</v>
      </c>
      <c r="J48" s="190">
        <v>175</v>
      </c>
      <c r="K48" s="189">
        <v>0.42859999999999998</v>
      </c>
      <c r="L48" s="188">
        <v>0</v>
      </c>
      <c r="M48" s="188">
        <v>0</v>
      </c>
      <c r="N48" s="187">
        <v>0</v>
      </c>
      <c r="O48" s="186">
        <v>0</v>
      </c>
      <c r="P48" s="186">
        <v>0</v>
      </c>
      <c r="Q48" s="185">
        <v>0.2</v>
      </c>
    </row>
    <row r="49" spans="1:17" ht="22.5" customHeight="1" x14ac:dyDescent="0.25">
      <c r="A49" s="184">
        <v>46</v>
      </c>
      <c r="B49" s="193" t="s">
        <v>336</v>
      </c>
      <c r="C49" s="192">
        <v>2.75</v>
      </c>
      <c r="D49" s="191">
        <v>3</v>
      </c>
      <c r="E49" s="191">
        <v>0</v>
      </c>
      <c r="F49" s="191">
        <v>0</v>
      </c>
      <c r="G49" s="191">
        <v>10</v>
      </c>
      <c r="H49" s="190">
        <v>0</v>
      </c>
      <c r="I49" s="190">
        <v>0</v>
      </c>
      <c r="J49" s="190">
        <v>115</v>
      </c>
      <c r="K49" s="189">
        <v>0.3</v>
      </c>
      <c r="L49" s="188">
        <v>0</v>
      </c>
      <c r="M49" s="188">
        <v>0</v>
      </c>
      <c r="N49" s="187">
        <v>0</v>
      </c>
      <c r="O49" s="186">
        <v>0</v>
      </c>
      <c r="P49" s="186">
        <v>0</v>
      </c>
      <c r="Q49" s="185">
        <v>0.18</v>
      </c>
    </row>
    <row r="50" spans="1:17" ht="22.5" customHeight="1" x14ac:dyDescent="0.25">
      <c r="A50" s="184">
        <v>47</v>
      </c>
      <c r="B50" s="193" t="s">
        <v>355</v>
      </c>
      <c r="C50" s="192">
        <v>2.859</v>
      </c>
      <c r="D50" s="191">
        <v>1</v>
      </c>
      <c r="E50" s="191">
        <v>0</v>
      </c>
      <c r="F50" s="191">
        <v>0</v>
      </c>
      <c r="G50" s="191">
        <v>9</v>
      </c>
      <c r="H50" s="190">
        <v>0</v>
      </c>
      <c r="I50" s="190">
        <v>0</v>
      </c>
      <c r="J50" s="190">
        <v>30</v>
      </c>
      <c r="K50" s="189">
        <v>0.1111</v>
      </c>
      <c r="L50" s="188">
        <v>0</v>
      </c>
      <c r="M50" s="188">
        <v>0</v>
      </c>
      <c r="N50" s="187">
        <v>0</v>
      </c>
      <c r="O50" s="186">
        <v>0</v>
      </c>
      <c r="P50" s="186">
        <v>0</v>
      </c>
      <c r="Q50" s="185">
        <v>0.1</v>
      </c>
    </row>
    <row r="51" spans="1:17" ht="22.5" customHeight="1" x14ac:dyDescent="0.25">
      <c r="A51" s="184">
        <v>48</v>
      </c>
      <c r="B51" s="193" t="s">
        <v>326</v>
      </c>
      <c r="C51" s="192">
        <v>5.5220000000000002</v>
      </c>
      <c r="D51" s="191">
        <v>1</v>
      </c>
      <c r="E51" s="191">
        <v>0</v>
      </c>
      <c r="F51" s="191">
        <v>0</v>
      </c>
      <c r="G51" s="191">
        <v>10</v>
      </c>
      <c r="H51" s="190">
        <v>0</v>
      </c>
      <c r="I51" s="190">
        <v>0</v>
      </c>
      <c r="J51" s="190">
        <v>25</v>
      </c>
      <c r="K51" s="189">
        <v>0.1</v>
      </c>
      <c r="L51" s="188">
        <v>0</v>
      </c>
      <c r="M51" s="188">
        <v>0</v>
      </c>
      <c r="N51" s="187">
        <v>0</v>
      </c>
      <c r="O51" s="186">
        <v>0</v>
      </c>
      <c r="P51" s="186">
        <v>0</v>
      </c>
      <c r="Q51" s="185">
        <v>0.09</v>
      </c>
    </row>
    <row r="52" spans="1:17" ht="22.5" customHeight="1" x14ac:dyDescent="0.25">
      <c r="A52" s="184">
        <v>49</v>
      </c>
      <c r="B52" s="193" t="s">
        <v>351</v>
      </c>
      <c r="C52" s="192">
        <v>5.6870000000000003</v>
      </c>
      <c r="D52" s="191">
        <v>1</v>
      </c>
      <c r="E52" s="191">
        <v>0</v>
      </c>
      <c r="F52" s="191">
        <v>0</v>
      </c>
      <c r="G52" s="191">
        <v>14</v>
      </c>
      <c r="H52" s="190">
        <v>0</v>
      </c>
      <c r="I52" s="190">
        <v>0</v>
      </c>
      <c r="J52" s="190">
        <v>5</v>
      </c>
      <c r="K52" s="189">
        <v>7.1400000000000005E-2</v>
      </c>
      <c r="L52" s="188">
        <v>0</v>
      </c>
      <c r="M52" s="188">
        <v>0</v>
      </c>
      <c r="N52" s="187">
        <v>0</v>
      </c>
      <c r="O52" s="186">
        <v>0</v>
      </c>
      <c r="P52" s="186">
        <v>0</v>
      </c>
      <c r="Q52" s="185">
        <v>0.06</v>
      </c>
    </row>
    <row r="53" spans="1:17" ht="22.5" customHeight="1" x14ac:dyDescent="0.25">
      <c r="A53" s="184">
        <v>50</v>
      </c>
      <c r="B53" s="193" t="s">
        <v>280</v>
      </c>
      <c r="C53" s="192">
        <v>6.3470000000000004</v>
      </c>
      <c r="D53" s="191">
        <v>1</v>
      </c>
      <c r="E53" s="191">
        <v>0</v>
      </c>
      <c r="F53" s="191">
        <v>0</v>
      </c>
      <c r="G53" s="191">
        <v>32</v>
      </c>
      <c r="H53" s="190">
        <v>0</v>
      </c>
      <c r="I53" s="190">
        <v>0</v>
      </c>
      <c r="J53" s="190">
        <v>50</v>
      </c>
      <c r="K53" s="189">
        <v>3.1199999999999999E-2</v>
      </c>
      <c r="L53" s="188">
        <v>0</v>
      </c>
      <c r="M53" s="188">
        <v>0</v>
      </c>
      <c r="N53" s="187">
        <v>0</v>
      </c>
      <c r="O53" s="186">
        <v>0</v>
      </c>
      <c r="P53" s="186">
        <v>0</v>
      </c>
      <c r="Q53" s="185">
        <v>0.05</v>
      </c>
    </row>
    <row r="54" spans="1:17" ht="22.5" customHeight="1" x14ac:dyDescent="0.25">
      <c r="A54" s="184">
        <v>51</v>
      </c>
      <c r="B54" s="193" t="s">
        <v>295</v>
      </c>
      <c r="C54" s="192">
        <v>1.278</v>
      </c>
      <c r="D54" s="191">
        <v>0</v>
      </c>
      <c r="E54" s="191">
        <v>0</v>
      </c>
      <c r="F54" s="191">
        <v>0</v>
      </c>
      <c r="G54" s="191">
        <v>4</v>
      </c>
      <c r="H54" s="190">
        <v>0</v>
      </c>
      <c r="I54" s="190">
        <v>0</v>
      </c>
      <c r="J54" s="190">
        <v>0</v>
      </c>
      <c r="K54" s="189">
        <v>0</v>
      </c>
      <c r="L54" s="188">
        <v>0</v>
      </c>
      <c r="M54" s="188">
        <v>0</v>
      </c>
      <c r="N54" s="187">
        <v>0</v>
      </c>
      <c r="O54" s="186">
        <v>0</v>
      </c>
      <c r="P54" s="186">
        <v>0</v>
      </c>
      <c r="Q54" s="185">
        <v>0.02</v>
      </c>
    </row>
    <row r="55" spans="1:17" ht="22.5" customHeight="1" x14ac:dyDescent="0.25">
      <c r="A55" s="184">
        <v>52</v>
      </c>
      <c r="B55" s="193" t="s">
        <v>330</v>
      </c>
      <c r="C55" s="192">
        <v>4.9359999999999999</v>
      </c>
      <c r="D55" s="191">
        <v>0</v>
      </c>
      <c r="E55" s="191">
        <v>0</v>
      </c>
      <c r="F55" s="191">
        <v>0</v>
      </c>
      <c r="G55" s="191">
        <v>12</v>
      </c>
      <c r="H55" s="190">
        <v>0</v>
      </c>
      <c r="I55" s="190">
        <v>0</v>
      </c>
      <c r="J55" s="190">
        <v>0</v>
      </c>
      <c r="K55" s="189">
        <v>0</v>
      </c>
      <c r="L55" s="188">
        <v>0</v>
      </c>
      <c r="M55" s="188">
        <v>0</v>
      </c>
      <c r="N55" s="187">
        <v>0</v>
      </c>
      <c r="O55" s="186">
        <v>0</v>
      </c>
      <c r="P55" s="186">
        <v>0</v>
      </c>
      <c r="Q55" s="185">
        <v>0.02</v>
      </c>
    </row>
    <row r="56" spans="1:17" ht="22.5" customHeight="1" x14ac:dyDescent="0.25">
      <c r="A56" s="184">
        <v>53</v>
      </c>
      <c r="B56" s="193" t="s">
        <v>317</v>
      </c>
      <c r="C56" s="192">
        <v>0.14199999999999999</v>
      </c>
      <c r="D56" s="191">
        <v>0</v>
      </c>
      <c r="E56" s="191">
        <v>0</v>
      </c>
      <c r="F56" s="191">
        <v>0</v>
      </c>
      <c r="G56" s="191">
        <v>0</v>
      </c>
      <c r="H56" s="190">
        <v>0</v>
      </c>
      <c r="I56" s="190">
        <v>0</v>
      </c>
      <c r="J56" s="190">
        <v>0</v>
      </c>
      <c r="K56" s="189">
        <v>0</v>
      </c>
      <c r="L56" s="188">
        <v>0</v>
      </c>
      <c r="M56" s="188">
        <v>0</v>
      </c>
      <c r="N56" s="187">
        <v>0</v>
      </c>
      <c r="O56" s="186">
        <v>0</v>
      </c>
      <c r="P56" s="186">
        <v>0</v>
      </c>
      <c r="Q56" s="185">
        <v>0.02</v>
      </c>
    </row>
    <row r="57" spans="1:17" ht="22.5" customHeight="1" x14ac:dyDescent="0.25">
      <c r="A57" s="184">
        <v>54</v>
      </c>
      <c r="B57" s="193" t="s">
        <v>359</v>
      </c>
      <c r="C57" s="192">
        <v>1.34</v>
      </c>
      <c r="D57" s="191">
        <v>0</v>
      </c>
      <c r="E57" s="191">
        <v>0</v>
      </c>
      <c r="F57" s="191">
        <v>0</v>
      </c>
      <c r="G57" s="191">
        <v>4</v>
      </c>
      <c r="H57" s="190">
        <v>0</v>
      </c>
      <c r="I57" s="190">
        <v>0</v>
      </c>
      <c r="J57" s="190">
        <v>0</v>
      </c>
      <c r="K57" s="189">
        <v>0</v>
      </c>
      <c r="L57" s="188">
        <v>0</v>
      </c>
      <c r="M57" s="188">
        <v>0</v>
      </c>
      <c r="N57" s="187">
        <v>0</v>
      </c>
      <c r="O57" s="186">
        <v>0</v>
      </c>
      <c r="P57" s="186">
        <v>0</v>
      </c>
      <c r="Q57" s="185">
        <v>0.02</v>
      </c>
    </row>
    <row r="58" spans="1:17" ht="22.5" customHeight="1" x14ac:dyDescent="0.25">
      <c r="A58" s="184">
        <v>55</v>
      </c>
      <c r="B58" s="193" t="s">
        <v>288</v>
      </c>
      <c r="C58" s="192">
        <v>0.24299999999999999</v>
      </c>
      <c r="D58" s="191">
        <v>0</v>
      </c>
      <c r="E58" s="191">
        <v>0</v>
      </c>
      <c r="F58" s="191">
        <v>0</v>
      </c>
      <c r="G58" s="191">
        <v>2</v>
      </c>
      <c r="H58" s="190">
        <v>0</v>
      </c>
      <c r="I58" s="190">
        <v>0</v>
      </c>
      <c r="J58" s="190">
        <v>0</v>
      </c>
      <c r="K58" s="189">
        <v>0</v>
      </c>
      <c r="L58" s="188">
        <v>0</v>
      </c>
      <c r="M58" s="188">
        <v>0</v>
      </c>
      <c r="N58" s="187">
        <v>0</v>
      </c>
      <c r="O58" s="186">
        <v>0</v>
      </c>
      <c r="P58" s="186">
        <v>0</v>
      </c>
      <c r="Q58" s="185">
        <v>0.02</v>
      </c>
    </row>
    <row r="59" spans="1:17" ht="22.5" customHeight="1" x14ac:dyDescent="0.25">
      <c r="A59" s="184">
        <v>56</v>
      </c>
      <c r="B59" s="193" t="s">
        <v>282</v>
      </c>
      <c r="C59" s="192">
        <v>0.53900000000000003</v>
      </c>
      <c r="D59" s="191">
        <v>0</v>
      </c>
      <c r="E59" s="191">
        <v>0</v>
      </c>
      <c r="F59" s="191">
        <v>0</v>
      </c>
      <c r="G59" s="191">
        <v>2</v>
      </c>
      <c r="H59" s="190">
        <v>0</v>
      </c>
      <c r="I59" s="190">
        <v>0</v>
      </c>
      <c r="J59" s="190">
        <v>0</v>
      </c>
      <c r="K59" s="189">
        <v>0</v>
      </c>
      <c r="L59" s="188">
        <v>0</v>
      </c>
      <c r="M59" s="188">
        <v>0</v>
      </c>
      <c r="N59" s="187">
        <v>0</v>
      </c>
      <c r="O59" s="186">
        <v>0</v>
      </c>
      <c r="P59" s="186">
        <v>0</v>
      </c>
      <c r="Q59" s="185">
        <v>0.02</v>
      </c>
    </row>
    <row r="60" spans="1:17" ht="22.5" customHeight="1" x14ac:dyDescent="0.25">
      <c r="A60" s="184">
        <v>57</v>
      </c>
      <c r="B60" s="193" t="s">
        <v>322</v>
      </c>
      <c r="C60" s="192">
        <v>1.6040000000000001</v>
      </c>
      <c r="D60" s="191">
        <v>0</v>
      </c>
      <c r="E60" s="191">
        <v>0</v>
      </c>
      <c r="F60" s="191">
        <v>0</v>
      </c>
      <c r="G60" s="191">
        <v>2</v>
      </c>
      <c r="H60" s="190">
        <v>0</v>
      </c>
      <c r="I60" s="190">
        <v>0</v>
      </c>
      <c r="J60" s="190">
        <v>0</v>
      </c>
      <c r="K60" s="189">
        <v>0</v>
      </c>
      <c r="L60" s="188">
        <v>0</v>
      </c>
      <c r="M60" s="188">
        <v>0</v>
      </c>
      <c r="N60" s="187">
        <v>0</v>
      </c>
      <c r="O60" s="186">
        <v>0</v>
      </c>
      <c r="P60" s="186">
        <v>0</v>
      </c>
      <c r="Q60" s="185">
        <v>0.02</v>
      </c>
    </row>
    <row r="61" spans="1:17" ht="22.5" customHeight="1" x14ac:dyDescent="0.25">
      <c r="A61" s="184">
        <v>58</v>
      </c>
      <c r="B61" s="193" t="s">
        <v>408</v>
      </c>
      <c r="C61" s="192">
        <v>1.103</v>
      </c>
      <c r="D61" s="191">
        <v>0</v>
      </c>
      <c r="E61" s="191">
        <v>0</v>
      </c>
      <c r="F61" s="191">
        <v>0</v>
      </c>
      <c r="G61" s="191">
        <v>6</v>
      </c>
      <c r="H61" s="190">
        <v>0</v>
      </c>
      <c r="I61" s="190">
        <v>0</v>
      </c>
      <c r="J61" s="190">
        <v>0</v>
      </c>
      <c r="K61" s="189">
        <v>0</v>
      </c>
      <c r="L61" s="188">
        <v>0</v>
      </c>
      <c r="M61" s="188">
        <v>0</v>
      </c>
      <c r="N61" s="187">
        <v>0</v>
      </c>
      <c r="O61" s="186">
        <v>0</v>
      </c>
      <c r="P61" s="186">
        <v>0</v>
      </c>
      <c r="Q61" s="185">
        <v>0.02</v>
      </c>
    </row>
    <row r="62" spans="1:17" ht="22.5" customHeight="1" x14ac:dyDescent="0.25">
      <c r="A62" s="184" t="s">
        <v>171</v>
      </c>
      <c r="B62" s="183" t="s">
        <v>3</v>
      </c>
      <c r="C62" s="182">
        <v>318.83</v>
      </c>
      <c r="D62" s="181">
        <v>165</v>
      </c>
      <c r="E62" s="181">
        <v>104</v>
      </c>
      <c r="F62" s="181">
        <v>13</v>
      </c>
      <c r="G62" s="200">
        <v>1168</v>
      </c>
      <c r="H62" s="180">
        <v>3365</v>
      </c>
      <c r="I62" s="180">
        <v>1360</v>
      </c>
      <c r="J62" s="180">
        <v>7430</v>
      </c>
      <c r="K62" s="179">
        <v>0.14130000000000001</v>
      </c>
      <c r="L62" s="178">
        <v>0.70909999999999995</v>
      </c>
      <c r="M62" s="178">
        <v>0.21310000000000001</v>
      </c>
      <c r="N62" s="177">
        <v>14.82</v>
      </c>
      <c r="O62" s="176">
        <v>0.37</v>
      </c>
      <c r="P62" s="176">
        <v>0.04</v>
      </c>
      <c r="Q62" s="175" t="s">
        <v>171</v>
      </c>
    </row>
  </sheetData>
  <sortState ref="B3:R60">
    <sortCondition descending="1" ref="Q3"/>
  </sortState>
  <mergeCells count="3">
    <mergeCell ref="F1:L1"/>
    <mergeCell ref="A2:A3"/>
    <mergeCell ref="B2:B3"/>
  </mergeCells>
  <pageMargins left="0.25" right="0.25" top="0.25" bottom="0.5" header="0.25" footer="0.25"/>
  <pageSetup orientation="portrait" cellComments="atEnd"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rgb="FFFF0000"/>
  </sheetPr>
  <dimension ref="A1:Q69"/>
  <sheetViews>
    <sheetView workbookViewId="0">
      <selection sqref="A1:Q22"/>
    </sheetView>
  </sheetViews>
  <sheetFormatPr defaultRowHeight="11.25" x14ac:dyDescent="0.25"/>
  <cols>
    <col min="1" max="1" width="6" style="93" bestFit="1" customWidth="1"/>
    <col min="2" max="2" width="22.42578125" style="94" bestFit="1" customWidth="1"/>
    <col min="3" max="3" width="8.28515625" style="93" bestFit="1" customWidth="1"/>
    <col min="4" max="4" width="6" style="93" bestFit="1" customWidth="1"/>
    <col min="5" max="5" width="10.28515625" style="93" bestFit="1" customWidth="1"/>
    <col min="6" max="6" width="10.42578125" style="93" bestFit="1" customWidth="1"/>
    <col min="7" max="7" width="8.42578125" style="93" bestFit="1" customWidth="1"/>
    <col min="8" max="9" width="12" style="93" bestFit="1" customWidth="1"/>
    <col min="10" max="11" width="13.42578125" style="93" bestFit="1" customWidth="1"/>
    <col min="12" max="12" width="11.42578125" style="93" bestFit="1" customWidth="1"/>
    <col min="13" max="13" width="10.42578125" style="93" bestFit="1" customWidth="1"/>
    <col min="14" max="14" width="11.85546875" style="93" bestFit="1" customWidth="1"/>
    <col min="15" max="15" width="11.42578125" style="93" bestFit="1" customWidth="1"/>
    <col min="16" max="16" width="10.42578125" style="93" bestFit="1" customWidth="1"/>
    <col min="17" max="17" width="12.28515625" style="93" bestFit="1" customWidth="1"/>
    <col min="18" max="16384" width="9.140625" style="93"/>
  </cols>
  <sheetData>
    <row r="1" spans="1:17" ht="22.5" customHeight="1" x14ac:dyDescent="0.25">
      <c r="F1" s="610"/>
      <c r="G1" s="610"/>
      <c r="H1" s="610"/>
      <c r="I1" s="610"/>
      <c r="J1" s="610"/>
      <c r="K1" s="610"/>
      <c r="L1" s="610"/>
    </row>
    <row r="2" spans="1:17" ht="22.5" customHeight="1" x14ac:dyDescent="0.25">
      <c r="A2" s="606" t="s">
        <v>172</v>
      </c>
      <c r="B2" s="608" t="s">
        <v>7</v>
      </c>
      <c r="C2" s="199" t="s">
        <v>173</v>
      </c>
      <c r="D2" s="198" t="s">
        <v>3</v>
      </c>
      <c r="E2" s="198" t="s">
        <v>176</v>
      </c>
      <c r="F2" s="198" t="s">
        <v>166</v>
      </c>
      <c r="G2" s="198" t="s">
        <v>8</v>
      </c>
      <c r="H2" s="198" t="s">
        <v>176</v>
      </c>
      <c r="I2" s="198" t="s">
        <v>166</v>
      </c>
      <c r="J2" s="198" t="s">
        <v>3</v>
      </c>
      <c r="K2" s="198" t="s">
        <v>21</v>
      </c>
      <c r="L2" s="198" t="s">
        <v>164</v>
      </c>
      <c r="M2" s="198" t="s">
        <v>166</v>
      </c>
      <c r="N2" s="198" t="s">
        <v>164</v>
      </c>
      <c r="O2" s="198" t="s">
        <v>164</v>
      </c>
      <c r="P2" s="198" t="s">
        <v>166</v>
      </c>
      <c r="Q2" s="197" t="s">
        <v>169</v>
      </c>
    </row>
    <row r="3" spans="1:17" ht="22.5" customHeight="1" x14ac:dyDescent="0.25">
      <c r="A3" s="607"/>
      <c r="B3" s="609"/>
      <c r="C3" s="196" t="s">
        <v>174</v>
      </c>
      <c r="D3" s="195" t="s">
        <v>175</v>
      </c>
      <c r="E3" s="195" t="s">
        <v>175</v>
      </c>
      <c r="F3" s="195" t="s">
        <v>175</v>
      </c>
      <c r="G3" s="195" t="s">
        <v>12</v>
      </c>
      <c r="H3" s="195" t="s">
        <v>9</v>
      </c>
      <c r="I3" s="195" t="s">
        <v>9</v>
      </c>
      <c r="J3" s="195" t="s">
        <v>9</v>
      </c>
      <c r="K3" s="195" t="s">
        <v>13</v>
      </c>
      <c r="L3" s="195" t="s">
        <v>165</v>
      </c>
      <c r="M3" s="195" t="s">
        <v>165</v>
      </c>
      <c r="N3" s="195" t="s">
        <v>167</v>
      </c>
      <c r="O3" s="195" t="s">
        <v>168</v>
      </c>
      <c r="P3" s="195" t="s">
        <v>168</v>
      </c>
      <c r="Q3" s="194" t="s">
        <v>170</v>
      </c>
    </row>
    <row r="4" spans="1:17" ht="22.5" customHeight="1" x14ac:dyDescent="0.25">
      <c r="A4" s="184">
        <v>1</v>
      </c>
      <c r="B4" s="193" t="s">
        <v>435</v>
      </c>
      <c r="C4" s="192">
        <v>4.7560000000000002</v>
      </c>
      <c r="D4" s="191">
        <v>9</v>
      </c>
      <c r="E4" s="191">
        <v>5</v>
      </c>
      <c r="F4" s="191">
        <v>1</v>
      </c>
      <c r="G4" s="191">
        <v>23</v>
      </c>
      <c r="H4" s="190">
        <v>410</v>
      </c>
      <c r="I4" s="190">
        <v>120</v>
      </c>
      <c r="J4" s="190">
        <v>805</v>
      </c>
      <c r="K4" s="189">
        <v>0.39129999999999998</v>
      </c>
      <c r="L4" s="188">
        <v>0.66669999999999996</v>
      </c>
      <c r="M4" s="188">
        <v>0.25</v>
      </c>
      <c r="N4" s="187">
        <v>111.44</v>
      </c>
      <c r="O4" s="186">
        <v>1.26</v>
      </c>
      <c r="P4" s="186">
        <v>0.21</v>
      </c>
      <c r="Q4" s="185">
        <v>0.87</v>
      </c>
    </row>
    <row r="5" spans="1:17" ht="22.5" customHeight="1" x14ac:dyDescent="0.25">
      <c r="A5" s="184">
        <v>2</v>
      </c>
      <c r="B5" s="193" t="s">
        <v>430</v>
      </c>
      <c r="C5" s="192">
        <v>7.3029999999999999</v>
      </c>
      <c r="D5" s="191">
        <v>9</v>
      </c>
      <c r="E5" s="191">
        <v>6</v>
      </c>
      <c r="F5" s="191">
        <v>1</v>
      </c>
      <c r="G5" s="191">
        <v>25</v>
      </c>
      <c r="H5" s="190">
        <v>430</v>
      </c>
      <c r="I5" s="190">
        <v>120</v>
      </c>
      <c r="J5" s="190">
        <v>650</v>
      </c>
      <c r="K5" s="189">
        <v>0.36</v>
      </c>
      <c r="L5" s="188">
        <v>0.77780000000000005</v>
      </c>
      <c r="M5" s="188">
        <v>0.33329999999999999</v>
      </c>
      <c r="N5" s="187">
        <v>75.31</v>
      </c>
      <c r="O5" s="186">
        <v>0.96</v>
      </c>
      <c r="P5" s="186">
        <v>0.14000000000000001</v>
      </c>
      <c r="Q5" s="185">
        <v>0.85</v>
      </c>
    </row>
    <row r="6" spans="1:17" ht="22.5" customHeight="1" x14ac:dyDescent="0.25">
      <c r="A6" s="184">
        <v>3</v>
      </c>
      <c r="B6" s="193" t="s">
        <v>363</v>
      </c>
      <c r="C6" s="192">
        <v>4.2709999999999999</v>
      </c>
      <c r="D6" s="191">
        <v>2</v>
      </c>
      <c r="E6" s="191">
        <v>1</v>
      </c>
      <c r="F6" s="191">
        <v>1</v>
      </c>
      <c r="G6" s="191">
        <v>14</v>
      </c>
      <c r="H6" s="190">
        <v>45</v>
      </c>
      <c r="I6" s="190">
        <v>120</v>
      </c>
      <c r="J6" s="190">
        <v>165</v>
      </c>
      <c r="K6" s="189">
        <v>0.1429</v>
      </c>
      <c r="L6" s="188">
        <v>1</v>
      </c>
      <c r="M6" s="188">
        <v>1</v>
      </c>
      <c r="N6" s="187">
        <v>38.630000000000003</v>
      </c>
      <c r="O6" s="186">
        <v>0.47</v>
      </c>
      <c r="P6" s="186">
        <v>0.23</v>
      </c>
      <c r="Q6" s="185">
        <v>0.73</v>
      </c>
    </row>
    <row r="7" spans="1:17" ht="22.5" customHeight="1" x14ac:dyDescent="0.25">
      <c r="A7" s="184">
        <v>4</v>
      </c>
      <c r="B7" s="193" t="s">
        <v>321</v>
      </c>
      <c r="C7" s="192">
        <v>1.5069999999999999</v>
      </c>
      <c r="D7" s="191">
        <v>2</v>
      </c>
      <c r="E7" s="191">
        <v>0</v>
      </c>
      <c r="F7" s="191">
        <v>1</v>
      </c>
      <c r="G7" s="191">
        <v>7</v>
      </c>
      <c r="H7" s="190">
        <v>0</v>
      </c>
      <c r="I7" s="190">
        <v>60</v>
      </c>
      <c r="J7" s="190">
        <v>70</v>
      </c>
      <c r="K7" s="189">
        <v>0.28570000000000001</v>
      </c>
      <c r="L7" s="188">
        <v>0.5</v>
      </c>
      <c r="M7" s="188">
        <v>0.5</v>
      </c>
      <c r="N7" s="187">
        <v>39.81</v>
      </c>
      <c r="O7" s="186">
        <v>0.66</v>
      </c>
      <c r="P7" s="186">
        <v>0.66</v>
      </c>
      <c r="Q7" s="185">
        <v>0.73</v>
      </c>
    </row>
    <row r="8" spans="1:17" ht="22.5" customHeight="1" x14ac:dyDescent="0.25">
      <c r="A8" s="184">
        <v>5</v>
      </c>
      <c r="B8" s="193" t="s">
        <v>330</v>
      </c>
      <c r="C8" s="192">
        <v>2.42</v>
      </c>
      <c r="D8" s="191">
        <v>1</v>
      </c>
      <c r="E8" s="191">
        <v>0</v>
      </c>
      <c r="F8" s="191">
        <v>1</v>
      </c>
      <c r="G8" s="191">
        <v>8</v>
      </c>
      <c r="H8" s="190">
        <v>0</v>
      </c>
      <c r="I8" s="190">
        <v>120</v>
      </c>
      <c r="J8" s="190">
        <v>120</v>
      </c>
      <c r="K8" s="189">
        <v>0.125</v>
      </c>
      <c r="L8" s="188">
        <v>1</v>
      </c>
      <c r="M8" s="188">
        <v>1</v>
      </c>
      <c r="N8" s="187">
        <v>49.59</v>
      </c>
      <c r="O8" s="186">
        <v>0.41</v>
      </c>
      <c r="P8" s="186">
        <v>0.41</v>
      </c>
      <c r="Q8" s="185">
        <v>0.71</v>
      </c>
    </row>
    <row r="9" spans="1:17" ht="22.5" customHeight="1" x14ac:dyDescent="0.25">
      <c r="A9" s="184">
        <v>6</v>
      </c>
      <c r="B9" s="193" t="s">
        <v>291</v>
      </c>
      <c r="C9" s="192">
        <v>1.288</v>
      </c>
      <c r="D9" s="191">
        <v>2</v>
      </c>
      <c r="E9" s="191">
        <v>2</v>
      </c>
      <c r="F9" s="191">
        <v>0</v>
      </c>
      <c r="G9" s="191">
        <v>5</v>
      </c>
      <c r="H9" s="190">
        <v>100</v>
      </c>
      <c r="I9" s="190">
        <v>0</v>
      </c>
      <c r="J9" s="190">
        <v>100</v>
      </c>
      <c r="K9" s="189">
        <v>0.4</v>
      </c>
      <c r="L9" s="188">
        <v>1</v>
      </c>
      <c r="M9" s="188">
        <v>0</v>
      </c>
      <c r="N9" s="187">
        <v>77.64</v>
      </c>
      <c r="O9" s="186">
        <v>1.55</v>
      </c>
      <c r="P9" s="186">
        <v>0</v>
      </c>
      <c r="Q9" s="185">
        <v>0.69</v>
      </c>
    </row>
    <row r="10" spans="1:17" ht="22.5" customHeight="1" x14ac:dyDescent="0.25">
      <c r="A10" s="184">
        <v>7</v>
      </c>
      <c r="B10" s="193" t="s">
        <v>360</v>
      </c>
      <c r="C10" s="192">
        <v>7.0259999999999998</v>
      </c>
      <c r="D10" s="191">
        <v>4</v>
      </c>
      <c r="E10" s="191">
        <v>1</v>
      </c>
      <c r="F10" s="191">
        <v>2</v>
      </c>
      <c r="G10" s="191">
        <v>38</v>
      </c>
      <c r="H10" s="190">
        <v>120</v>
      </c>
      <c r="I10" s="190">
        <v>180</v>
      </c>
      <c r="J10" s="190">
        <v>325</v>
      </c>
      <c r="K10" s="189">
        <v>0.1053</v>
      </c>
      <c r="L10" s="188">
        <v>0.75</v>
      </c>
      <c r="M10" s="188">
        <v>0.66669999999999996</v>
      </c>
      <c r="N10" s="187">
        <v>42.7</v>
      </c>
      <c r="O10" s="186">
        <v>0.43</v>
      </c>
      <c r="P10" s="186">
        <v>0.28000000000000003</v>
      </c>
      <c r="Q10" s="185">
        <v>0.68</v>
      </c>
    </row>
    <row r="11" spans="1:17" ht="22.5" customHeight="1" x14ac:dyDescent="0.25">
      <c r="A11" s="184">
        <v>8</v>
      </c>
      <c r="B11" s="193" t="s">
        <v>398</v>
      </c>
      <c r="C11" s="192">
        <v>11.628</v>
      </c>
      <c r="D11" s="191">
        <v>7</v>
      </c>
      <c r="E11" s="191">
        <v>4</v>
      </c>
      <c r="F11" s="191">
        <v>1</v>
      </c>
      <c r="G11" s="191">
        <v>64</v>
      </c>
      <c r="H11" s="190">
        <v>660</v>
      </c>
      <c r="I11" s="190">
        <v>36</v>
      </c>
      <c r="J11" s="190">
        <v>766</v>
      </c>
      <c r="K11" s="189">
        <v>0.1094</v>
      </c>
      <c r="L11" s="188">
        <v>0.71430000000000005</v>
      </c>
      <c r="M11" s="188">
        <v>0.33329999999999999</v>
      </c>
      <c r="N11" s="187">
        <v>59.86</v>
      </c>
      <c r="O11" s="186">
        <v>0.43</v>
      </c>
      <c r="P11" s="186">
        <v>0.09</v>
      </c>
      <c r="Q11" s="185">
        <v>0.67</v>
      </c>
    </row>
    <row r="12" spans="1:17" ht="22.5" customHeight="1" x14ac:dyDescent="0.25">
      <c r="A12" s="184">
        <v>9</v>
      </c>
      <c r="B12" s="193" t="s">
        <v>272</v>
      </c>
      <c r="C12" s="192">
        <v>8.218</v>
      </c>
      <c r="D12" s="191">
        <v>4</v>
      </c>
      <c r="E12" s="191">
        <v>1</v>
      </c>
      <c r="F12" s="191">
        <v>2</v>
      </c>
      <c r="G12" s="191">
        <v>47</v>
      </c>
      <c r="H12" s="190">
        <v>30</v>
      </c>
      <c r="I12" s="190">
        <v>360</v>
      </c>
      <c r="J12" s="190">
        <v>400</v>
      </c>
      <c r="K12" s="189">
        <v>8.5099999999999995E-2</v>
      </c>
      <c r="L12" s="188">
        <v>0.75</v>
      </c>
      <c r="M12" s="188">
        <v>0.66669999999999996</v>
      </c>
      <c r="N12" s="187">
        <v>47.46</v>
      </c>
      <c r="O12" s="186">
        <v>0.37</v>
      </c>
      <c r="P12" s="186">
        <v>0.24</v>
      </c>
      <c r="Q12" s="185">
        <v>0.64</v>
      </c>
    </row>
    <row r="13" spans="1:17" ht="22.5" customHeight="1" x14ac:dyDescent="0.25">
      <c r="A13" s="184">
        <v>10</v>
      </c>
      <c r="B13" s="193" t="s">
        <v>365</v>
      </c>
      <c r="C13" s="192">
        <v>5.7990000000000004</v>
      </c>
      <c r="D13" s="191">
        <v>6</v>
      </c>
      <c r="E13" s="191">
        <v>2</v>
      </c>
      <c r="F13" s="191">
        <v>1</v>
      </c>
      <c r="G13" s="191">
        <v>36</v>
      </c>
      <c r="H13" s="190">
        <v>45</v>
      </c>
      <c r="I13" s="190">
        <v>60</v>
      </c>
      <c r="J13" s="190">
        <v>145</v>
      </c>
      <c r="K13" s="189">
        <v>0.16669999999999999</v>
      </c>
      <c r="L13" s="188">
        <v>0.5</v>
      </c>
      <c r="M13" s="188">
        <v>0.25</v>
      </c>
      <c r="N13" s="187">
        <v>18.11</v>
      </c>
      <c r="O13" s="186">
        <v>0.52</v>
      </c>
      <c r="P13" s="186">
        <v>0.17</v>
      </c>
      <c r="Q13" s="185">
        <v>0.63</v>
      </c>
    </row>
    <row r="14" spans="1:17" ht="22.5" customHeight="1" x14ac:dyDescent="0.25">
      <c r="A14" s="184">
        <v>11</v>
      </c>
      <c r="B14" s="193" t="s">
        <v>282</v>
      </c>
      <c r="C14" s="192">
        <v>3.7229999999999999</v>
      </c>
      <c r="D14" s="191">
        <v>5</v>
      </c>
      <c r="E14" s="191">
        <v>4</v>
      </c>
      <c r="F14" s="191">
        <v>0</v>
      </c>
      <c r="G14" s="191">
        <v>17</v>
      </c>
      <c r="H14" s="190">
        <v>180</v>
      </c>
      <c r="I14" s="190">
        <v>0</v>
      </c>
      <c r="J14" s="190">
        <v>300</v>
      </c>
      <c r="K14" s="189">
        <v>0.29409999999999997</v>
      </c>
      <c r="L14" s="188">
        <v>0.8</v>
      </c>
      <c r="M14" s="188">
        <v>0</v>
      </c>
      <c r="N14" s="187">
        <v>48.35</v>
      </c>
      <c r="O14" s="186">
        <v>1.07</v>
      </c>
      <c r="P14" s="186">
        <v>0</v>
      </c>
      <c r="Q14" s="185">
        <v>0.63</v>
      </c>
    </row>
    <row r="15" spans="1:17" ht="22.5" customHeight="1" x14ac:dyDescent="0.25">
      <c r="A15" s="184">
        <v>12</v>
      </c>
      <c r="B15" s="193" t="s">
        <v>434</v>
      </c>
      <c r="C15" s="192">
        <v>6.82</v>
      </c>
      <c r="D15" s="191">
        <v>13</v>
      </c>
      <c r="E15" s="191">
        <v>7</v>
      </c>
      <c r="F15" s="191">
        <v>0</v>
      </c>
      <c r="G15" s="191">
        <v>27</v>
      </c>
      <c r="H15" s="190">
        <v>375</v>
      </c>
      <c r="I15" s="190">
        <v>0</v>
      </c>
      <c r="J15" s="190">
        <v>770</v>
      </c>
      <c r="K15" s="189">
        <v>0.48149999999999998</v>
      </c>
      <c r="L15" s="188">
        <v>0.53849999999999998</v>
      </c>
      <c r="M15" s="188">
        <v>0</v>
      </c>
      <c r="N15" s="187">
        <v>54.99</v>
      </c>
      <c r="O15" s="186">
        <v>1.03</v>
      </c>
      <c r="P15" s="186">
        <v>0</v>
      </c>
      <c r="Q15" s="185">
        <v>0.63</v>
      </c>
    </row>
    <row r="16" spans="1:17" ht="22.5" customHeight="1" x14ac:dyDescent="0.25">
      <c r="A16" s="184">
        <v>13</v>
      </c>
      <c r="B16" s="193" t="s">
        <v>336</v>
      </c>
      <c r="C16" s="192">
        <v>1.718</v>
      </c>
      <c r="D16" s="191">
        <v>3</v>
      </c>
      <c r="E16" s="191">
        <v>3</v>
      </c>
      <c r="F16" s="191">
        <v>0</v>
      </c>
      <c r="G16" s="191">
        <v>12</v>
      </c>
      <c r="H16" s="190">
        <v>65</v>
      </c>
      <c r="I16" s="190">
        <v>0</v>
      </c>
      <c r="J16" s="190">
        <v>65</v>
      </c>
      <c r="K16" s="189">
        <v>0.25</v>
      </c>
      <c r="L16" s="188">
        <v>1</v>
      </c>
      <c r="M16" s="188">
        <v>0</v>
      </c>
      <c r="N16" s="187">
        <v>37.83</v>
      </c>
      <c r="O16" s="186">
        <v>1.75</v>
      </c>
      <c r="P16" s="186">
        <v>0</v>
      </c>
      <c r="Q16" s="185">
        <v>0.62</v>
      </c>
    </row>
    <row r="17" spans="1:17" ht="22.5" customHeight="1" x14ac:dyDescent="0.25">
      <c r="A17" s="184">
        <v>14</v>
      </c>
      <c r="B17" s="193" t="s">
        <v>369</v>
      </c>
      <c r="C17" s="192">
        <v>5.6289999999999996</v>
      </c>
      <c r="D17" s="191">
        <v>7</v>
      </c>
      <c r="E17" s="191">
        <v>6</v>
      </c>
      <c r="F17" s="191">
        <v>0</v>
      </c>
      <c r="G17" s="191">
        <v>19</v>
      </c>
      <c r="H17" s="190">
        <v>120</v>
      </c>
      <c r="I17" s="190">
        <v>0</v>
      </c>
      <c r="J17" s="190">
        <v>240</v>
      </c>
      <c r="K17" s="189">
        <v>0.36840000000000001</v>
      </c>
      <c r="L17" s="188">
        <v>0.85709999999999997</v>
      </c>
      <c r="M17" s="188">
        <v>0</v>
      </c>
      <c r="N17" s="187">
        <v>21.32</v>
      </c>
      <c r="O17" s="186">
        <v>1.07</v>
      </c>
      <c r="P17" s="186">
        <v>0</v>
      </c>
      <c r="Q17" s="185">
        <v>0.62</v>
      </c>
    </row>
    <row r="18" spans="1:17" ht="22.5" customHeight="1" x14ac:dyDescent="0.25">
      <c r="A18" s="184">
        <v>15</v>
      </c>
      <c r="B18" s="193" t="s">
        <v>374</v>
      </c>
      <c r="C18" s="192">
        <v>7.1920000000000002</v>
      </c>
      <c r="D18" s="191">
        <v>7</v>
      </c>
      <c r="E18" s="191">
        <v>2</v>
      </c>
      <c r="F18" s="191">
        <v>1</v>
      </c>
      <c r="G18" s="191">
        <v>40</v>
      </c>
      <c r="H18" s="190">
        <v>75</v>
      </c>
      <c r="I18" s="190">
        <v>120</v>
      </c>
      <c r="J18" s="190">
        <v>470</v>
      </c>
      <c r="K18" s="189">
        <v>0.17499999999999999</v>
      </c>
      <c r="L18" s="188">
        <v>0.42859999999999998</v>
      </c>
      <c r="M18" s="188">
        <v>0.2</v>
      </c>
      <c r="N18" s="187">
        <v>27.11</v>
      </c>
      <c r="O18" s="186">
        <v>0.42</v>
      </c>
      <c r="P18" s="186">
        <v>0.14000000000000001</v>
      </c>
      <c r="Q18" s="185">
        <v>0.61</v>
      </c>
    </row>
    <row r="19" spans="1:17" ht="22.5" customHeight="1" x14ac:dyDescent="0.25">
      <c r="A19" s="184">
        <v>16</v>
      </c>
      <c r="B19" s="193" t="s">
        <v>389</v>
      </c>
      <c r="C19" s="192">
        <v>5.8579999999999997</v>
      </c>
      <c r="D19" s="191">
        <v>8</v>
      </c>
      <c r="E19" s="191">
        <v>6</v>
      </c>
      <c r="F19" s="191">
        <v>0</v>
      </c>
      <c r="G19" s="191">
        <v>32</v>
      </c>
      <c r="H19" s="190">
        <v>325</v>
      </c>
      <c r="I19" s="190">
        <v>0</v>
      </c>
      <c r="J19" s="190">
        <v>425</v>
      </c>
      <c r="K19" s="189">
        <v>0.25</v>
      </c>
      <c r="L19" s="188">
        <v>0.75</v>
      </c>
      <c r="M19" s="188">
        <v>0</v>
      </c>
      <c r="N19" s="187">
        <v>55.48</v>
      </c>
      <c r="O19" s="186">
        <v>1.02</v>
      </c>
      <c r="P19" s="186">
        <v>0</v>
      </c>
      <c r="Q19" s="185">
        <v>0.6</v>
      </c>
    </row>
    <row r="20" spans="1:17" ht="22.5" customHeight="1" x14ac:dyDescent="0.25">
      <c r="A20" s="184">
        <v>17</v>
      </c>
      <c r="B20" s="193" t="s">
        <v>317</v>
      </c>
      <c r="C20" s="192">
        <v>1.2130000000000001</v>
      </c>
      <c r="D20" s="191">
        <v>2</v>
      </c>
      <c r="E20" s="191">
        <v>1</v>
      </c>
      <c r="F20" s="191">
        <v>0</v>
      </c>
      <c r="G20" s="191">
        <v>6</v>
      </c>
      <c r="H20" s="190">
        <v>100</v>
      </c>
      <c r="I20" s="190">
        <v>0</v>
      </c>
      <c r="J20" s="190">
        <v>120</v>
      </c>
      <c r="K20" s="189">
        <v>0.33329999999999999</v>
      </c>
      <c r="L20" s="188">
        <v>0.5</v>
      </c>
      <c r="M20" s="188">
        <v>0</v>
      </c>
      <c r="N20" s="187">
        <v>82.44</v>
      </c>
      <c r="O20" s="186">
        <v>0.82</v>
      </c>
      <c r="P20" s="186">
        <v>0</v>
      </c>
      <c r="Q20" s="185">
        <v>0.57999999999999996</v>
      </c>
    </row>
    <row r="21" spans="1:17" ht="22.5" customHeight="1" x14ac:dyDescent="0.25">
      <c r="A21" s="184">
        <v>18</v>
      </c>
      <c r="B21" s="193" t="s">
        <v>324</v>
      </c>
      <c r="C21" s="192">
        <v>1.6240000000000001</v>
      </c>
      <c r="D21" s="191">
        <v>2</v>
      </c>
      <c r="E21" s="191">
        <v>2</v>
      </c>
      <c r="F21" s="191">
        <v>0</v>
      </c>
      <c r="G21" s="191">
        <v>7</v>
      </c>
      <c r="H21" s="190">
        <v>15</v>
      </c>
      <c r="I21" s="190">
        <v>0</v>
      </c>
      <c r="J21" s="190">
        <v>15</v>
      </c>
      <c r="K21" s="189">
        <v>0.28570000000000001</v>
      </c>
      <c r="L21" s="188">
        <v>1</v>
      </c>
      <c r="M21" s="188">
        <v>0</v>
      </c>
      <c r="N21" s="187">
        <v>9.24</v>
      </c>
      <c r="O21" s="186">
        <v>1.23</v>
      </c>
      <c r="P21" s="186">
        <v>0</v>
      </c>
      <c r="Q21" s="185">
        <v>0.57999999999999996</v>
      </c>
    </row>
    <row r="22" spans="1:17" ht="22.5" customHeight="1" x14ac:dyDescent="0.25">
      <c r="A22" s="184">
        <v>19</v>
      </c>
      <c r="B22" s="193" t="s">
        <v>280</v>
      </c>
      <c r="C22" s="192">
        <v>5.8920000000000003</v>
      </c>
      <c r="D22" s="191">
        <v>9</v>
      </c>
      <c r="E22" s="191">
        <v>4</v>
      </c>
      <c r="F22" s="191">
        <v>0</v>
      </c>
      <c r="G22" s="191">
        <v>22</v>
      </c>
      <c r="H22" s="190">
        <v>385</v>
      </c>
      <c r="I22" s="190">
        <v>0</v>
      </c>
      <c r="J22" s="190">
        <v>585</v>
      </c>
      <c r="K22" s="189">
        <v>0.40910000000000002</v>
      </c>
      <c r="L22" s="188">
        <v>0.44440000000000002</v>
      </c>
      <c r="M22" s="188">
        <v>0</v>
      </c>
      <c r="N22" s="187">
        <v>65.34</v>
      </c>
      <c r="O22" s="186">
        <v>0.68</v>
      </c>
      <c r="P22" s="186">
        <v>0</v>
      </c>
      <c r="Q22" s="185">
        <v>0.56999999999999995</v>
      </c>
    </row>
    <row r="23" spans="1:17" ht="22.5" customHeight="1" x14ac:dyDescent="0.25">
      <c r="A23" s="184">
        <v>20</v>
      </c>
      <c r="B23" s="193" t="s">
        <v>281</v>
      </c>
      <c r="C23" s="192">
        <v>7.2190000000000003</v>
      </c>
      <c r="D23" s="191">
        <v>10</v>
      </c>
      <c r="E23" s="191">
        <v>5</v>
      </c>
      <c r="F23" s="191">
        <v>0</v>
      </c>
      <c r="G23" s="191">
        <v>23</v>
      </c>
      <c r="H23" s="190">
        <v>350</v>
      </c>
      <c r="I23" s="190">
        <v>0</v>
      </c>
      <c r="J23" s="190">
        <v>510</v>
      </c>
      <c r="K23" s="189">
        <v>0.43480000000000002</v>
      </c>
      <c r="L23" s="188">
        <v>0.5</v>
      </c>
      <c r="M23" s="188">
        <v>0</v>
      </c>
      <c r="N23" s="187">
        <v>48.48</v>
      </c>
      <c r="O23" s="186">
        <v>0.69</v>
      </c>
      <c r="P23" s="186">
        <v>0</v>
      </c>
      <c r="Q23" s="185">
        <v>0.56000000000000005</v>
      </c>
    </row>
    <row r="24" spans="1:17" ht="22.5" customHeight="1" x14ac:dyDescent="0.25">
      <c r="A24" s="184">
        <v>21</v>
      </c>
      <c r="B24" s="193" t="s">
        <v>341</v>
      </c>
      <c r="C24" s="192">
        <v>5.1150000000000002</v>
      </c>
      <c r="D24" s="191">
        <v>5</v>
      </c>
      <c r="E24" s="191">
        <v>4</v>
      </c>
      <c r="F24" s="191">
        <v>0</v>
      </c>
      <c r="G24" s="191">
        <v>21</v>
      </c>
      <c r="H24" s="190">
        <v>80</v>
      </c>
      <c r="I24" s="190">
        <v>0</v>
      </c>
      <c r="J24" s="190">
        <v>90</v>
      </c>
      <c r="K24" s="189">
        <v>0.23810000000000001</v>
      </c>
      <c r="L24" s="188">
        <v>0.8</v>
      </c>
      <c r="M24" s="188">
        <v>0</v>
      </c>
      <c r="N24" s="187">
        <v>15.64</v>
      </c>
      <c r="O24" s="186">
        <v>0.78</v>
      </c>
      <c r="P24" s="186">
        <v>0</v>
      </c>
      <c r="Q24" s="185">
        <v>0.55000000000000004</v>
      </c>
    </row>
    <row r="25" spans="1:17" ht="22.5" customHeight="1" x14ac:dyDescent="0.25">
      <c r="A25" s="184">
        <v>22</v>
      </c>
      <c r="B25" s="193" t="s">
        <v>315</v>
      </c>
      <c r="C25" s="192">
        <v>6.4809999999999999</v>
      </c>
      <c r="D25" s="191">
        <v>7</v>
      </c>
      <c r="E25" s="191">
        <v>5</v>
      </c>
      <c r="F25" s="191">
        <v>0</v>
      </c>
      <c r="G25" s="191">
        <v>30</v>
      </c>
      <c r="H25" s="190">
        <v>195</v>
      </c>
      <c r="I25" s="190">
        <v>0</v>
      </c>
      <c r="J25" s="190">
        <v>245</v>
      </c>
      <c r="K25" s="189">
        <v>0.23330000000000001</v>
      </c>
      <c r="L25" s="188">
        <v>0.71430000000000005</v>
      </c>
      <c r="M25" s="188">
        <v>0</v>
      </c>
      <c r="N25" s="187">
        <v>30.09</v>
      </c>
      <c r="O25" s="186">
        <v>0.77</v>
      </c>
      <c r="P25" s="186">
        <v>0</v>
      </c>
      <c r="Q25" s="185">
        <v>0.54</v>
      </c>
    </row>
    <row r="26" spans="1:17" ht="22.5" customHeight="1" x14ac:dyDescent="0.25">
      <c r="A26" s="184">
        <v>23</v>
      </c>
      <c r="B26" s="193" t="s">
        <v>420</v>
      </c>
      <c r="C26" s="192">
        <v>5.242</v>
      </c>
      <c r="D26" s="191">
        <v>3</v>
      </c>
      <c r="E26" s="191">
        <v>3</v>
      </c>
      <c r="F26" s="191">
        <v>0</v>
      </c>
      <c r="G26" s="191">
        <v>23</v>
      </c>
      <c r="H26" s="190">
        <v>335</v>
      </c>
      <c r="I26" s="190">
        <v>0</v>
      </c>
      <c r="J26" s="190">
        <v>335</v>
      </c>
      <c r="K26" s="189">
        <v>0.13039999999999999</v>
      </c>
      <c r="L26" s="188">
        <v>1</v>
      </c>
      <c r="M26" s="188">
        <v>0</v>
      </c>
      <c r="N26" s="187">
        <v>63.91</v>
      </c>
      <c r="O26" s="186">
        <v>0.56999999999999995</v>
      </c>
      <c r="P26" s="186">
        <v>0</v>
      </c>
      <c r="Q26" s="185">
        <v>0.54</v>
      </c>
    </row>
    <row r="27" spans="1:17" ht="22.5" customHeight="1" x14ac:dyDescent="0.25">
      <c r="A27" s="184">
        <v>24</v>
      </c>
      <c r="B27" s="193" t="s">
        <v>269</v>
      </c>
      <c r="C27" s="192">
        <v>3.944</v>
      </c>
      <c r="D27" s="191">
        <v>4</v>
      </c>
      <c r="E27" s="191">
        <v>3</v>
      </c>
      <c r="F27" s="191">
        <v>0</v>
      </c>
      <c r="G27" s="191">
        <v>15</v>
      </c>
      <c r="H27" s="190">
        <v>60</v>
      </c>
      <c r="I27" s="190">
        <v>0</v>
      </c>
      <c r="J27" s="190">
        <v>85</v>
      </c>
      <c r="K27" s="189">
        <v>0.26669999999999999</v>
      </c>
      <c r="L27" s="188">
        <v>0.75</v>
      </c>
      <c r="M27" s="188">
        <v>0</v>
      </c>
      <c r="N27" s="187">
        <v>15.21</v>
      </c>
      <c r="O27" s="186">
        <v>0.76</v>
      </c>
      <c r="P27" s="186">
        <v>0</v>
      </c>
      <c r="Q27" s="185">
        <v>0.54</v>
      </c>
    </row>
    <row r="28" spans="1:17" ht="22.5" customHeight="1" x14ac:dyDescent="0.25">
      <c r="A28" s="184">
        <v>25</v>
      </c>
      <c r="B28" s="193" t="s">
        <v>271</v>
      </c>
      <c r="C28" s="192">
        <v>5.6420000000000003</v>
      </c>
      <c r="D28" s="191">
        <v>12</v>
      </c>
      <c r="E28" s="191">
        <v>5</v>
      </c>
      <c r="F28" s="191">
        <v>0</v>
      </c>
      <c r="G28" s="191">
        <v>30</v>
      </c>
      <c r="H28" s="190">
        <v>90</v>
      </c>
      <c r="I28" s="190">
        <v>0</v>
      </c>
      <c r="J28" s="190">
        <v>460</v>
      </c>
      <c r="K28" s="189">
        <v>0.4</v>
      </c>
      <c r="L28" s="188">
        <v>0.41670000000000001</v>
      </c>
      <c r="M28" s="188">
        <v>0</v>
      </c>
      <c r="N28" s="187">
        <v>15.95</v>
      </c>
      <c r="O28" s="186">
        <v>0.89</v>
      </c>
      <c r="P28" s="186">
        <v>0</v>
      </c>
      <c r="Q28" s="185">
        <v>0.52</v>
      </c>
    </row>
    <row r="29" spans="1:17" ht="22.5" customHeight="1" x14ac:dyDescent="0.25">
      <c r="A29" s="184">
        <v>26</v>
      </c>
      <c r="B29" s="193" t="s">
        <v>401</v>
      </c>
      <c r="C29" s="192">
        <v>5.766</v>
      </c>
      <c r="D29" s="191">
        <v>7</v>
      </c>
      <c r="E29" s="191">
        <v>4</v>
      </c>
      <c r="F29" s="191">
        <v>0</v>
      </c>
      <c r="G29" s="191">
        <v>37</v>
      </c>
      <c r="H29" s="190">
        <v>225</v>
      </c>
      <c r="I29" s="190">
        <v>0</v>
      </c>
      <c r="J29" s="190">
        <v>270</v>
      </c>
      <c r="K29" s="189">
        <v>0.18920000000000001</v>
      </c>
      <c r="L29" s="188">
        <v>0.57140000000000002</v>
      </c>
      <c r="M29" s="188">
        <v>0</v>
      </c>
      <c r="N29" s="187">
        <v>39.020000000000003</v>
      </c>
      <c r="O29" s="186">
        <v>0.69</v>
      </c>
      <c r="P29" s="186">
        <v>0</v>
      </c>
      <c r="Q29" s="185">
        <v>0.51</v>
      </c>
    </row>
    <row r="30" spans="1:17" ht="22.5" customHeight="1" x14ac:dyDescent="0.25">
      <c r="A30" s="184">
        <v>27</v>
      </c>
      <c r="B30" s="193" t="s">
        <v>354</v>
      </c>
      <c r="C30" s="192">
        <v>6.4809999999999999</v>
      </c>
      <c r="D30" s="191">
        <v>5</v>
      </c>
      <c r="E30" s="191">
        <v>3</v>
      </c>
      <c r="F30" s="191">
        <v>0</v>
      </c>
      <c r="G30" s="191">
        <v>19</v>
      </c>
      <c r="H30" s="190">
        <v>175</v>
      </c>
      <c r="I30" s="190">
        <v>0</v>
      </c>
      <c r="J30" s="190">
        <v>310</v>
      </c>
      <c r="K30" s="189">
        <v>0.26319999999999999</v>
      </c>
      <c r="L30" s="188">
        <v>0.6</v>
      </c>
      <c r="M30" s="188">
        <v>0</v>
      </c>
      <c r="N30" s="187">
        <v>27</v>
      </c>
      <c r="O30" s="186">
        <v>0.46</v>
      </c>
      <c r="P30" s="186">
        <v>0</v>
      </c>
      <c r="Q30" s="185">
        <v>0.5</v>
      </c>
    </row>
    <row r="31" spans="1:17" ht="22.5" customHeight="1" x14ac:dyDescent="0.25">
      <c r="A31" s="184">
        <v>28</v>
      </c>
      <c r="B31" s="193" t="s">
        <v>332</v>
      </c>
      <c r="C31" s="192">
        <v>5.298</v>
      </c>
      <c r="D31" s="191">
        <v>3</v>
      </c>
      <c r="E31" s="191">
        <v>2</v>
      </c>
      <c r="F31" s="191">
        <v>0</v>
      </c>
      <c r="G31" s="191">
        <v>17</v>
      </c>
      <c r="H31" s="190">
        <v>520</v>
      </c>
      <c r="I31" s="190">
        <v>0</v>
      </c>
      <c r="J31" s="190">
        <v>550</v>
      </c>
      <c r="K31" s="189">
        <v>0.17649999999999999</v>
      </c>
      <c r="L31" s="188">
        <v>0.66669999999999996</v>
      </c>
      <c r="M31" s="188">
        <v>0</v>
      </c>
      <c r="N31" s="187">
        <v>98.15</v>
      </c>
      <c r="O31" s="186">
        <v>0.38</v>
      </c>
      <c r="P31" s="186">
        <v>0</v>
      </c>
      <c r="Q31" s="185">
        <v>0.5</v>
      </c>
    </row>
    <row r="32" spans="1:17" ht="22.5" customHeight="1" x14ac:dyDescent="0.25">
      <c r="A32" s="184">
        <v>29</v>
      </c>
      <c r="B32" s="193" t="s">
        <v>355</v>
      </c>
      <c r="C32" s="192">
        <v>1.5509999999999999</v>
      </c>
      <c r="D32" s="191">
        <v>2</v>
      </c>
      <c r="E32" s="191">
        <v>1</v>
      </c>
      <c r="F32" s="191">
        <v>0</v>
      </c>
      <c r="G32" s="191">
        <v>6</v>
      </c>
      <c r="H32" s="190">
        <v>10</v>
      </c>
      <c r="I32" s="190">
        <v>0</v>
      </c>
      <c r="J32" s="190">
        <v>35</v>
      </c>
      <c r="K32" s="189">
        <v>0.33329999999999999</v>
      </c>
      <c r="L32" s="188">
        <v>0.5</v>
      </c>
      <c r="M32" s="188">
        <v>0</v>
      </c>
      <c r="N32" s="187">
        <v>6.45</v>
      </c>
      <c r="O32" s="186">
        <v>0.64</v>
      </c>
      <c r="P32" s="186">
        <v>0</v>
      </c>
      <c r="Q32" s="185">
        <v>0.47</v>
      </c>
    </row>
    <row r="33" spans="1:17" ht="22.5" customHeight="1" x14ac:dyDescent="0.25">
      <c r="A33" s="184">
        <v>30</v>
      </c>
      <c r="B33" s="193" t="s">
        <v>392</v>
      </c>
      <c r="C33" s="192">
        <v>1.4379999999999999</v>
      </c>
      <c r="D33" s="191">
        <v>1</v>
      </c>
      <c r="E33" s="191">
        <v>1</v>
      </c>
      <c r="F33" s="191">
        <v>0</v>
      </c>
      <c r="G33" s="191">
        <v>10</v>
      </c>
      <c r="H33" s="190">
        <v>20</v>
      </c>
      <c r="I33" s="190">
        <v>0</v>
      </c>
      <c r="J33" s="190">
        <v>20</v>
      </c>
      <c r="K33" s="189">
        <v>0.1</v>
      </c>
      <c r="L33" s="188">
        <v>1</v>
      </c>
      <c r="M33" s="188">
        <v>0</v>
      </c>
      <c r="N33" s="187">
        <v>13.91</v>
      </c>
      <c r="O33" s="186">
        <v>0.7</v>
      </c>
      <c r="P33" s="186">
        <v>0</v>
      </c>
      <c r="Q33" s="185">
        <v>0.46</v>
      </c>
    </row>
    <row r="34" spans="1:17" ht="22.5" customHeight="1" x14ac:dyDescent="0.25">
      <c r="A34" s="184">
        <v>31</v>
      </c>
      <c r="B34" s="193" t="s">
        <v>390</v>
      </c>
      <c r="C34" s="192">
        <v>7.2</v>
      </c>
      <c r="D34" s="191">
        <v>3</v>
      </c>
      <c r="E34" s="191">
        <v>3</v>
      </c>
      <c r="F34" s="191">
        <v>0</v>
      </c>
      <c r="G34" s="191">
        <v>30</v>
      </c>
      <c r="H34" s="190">
        <v>225</v>
      </c>
      <c r="I34" s="190">
        <v>0</v>
      </c>
      <c r="J34" s="190">
        <v>225</v>
      </c>
      <c r="K34" s="189">
        <v>0.1</v>
      </c>
      <c r="L34" s="188">
        <v>1</v>
      </c>
      <c r="M34" s="188">
        <v>0</v>
      </c>
      <c r="N34" s="187">
        <v>31.25</v>
      </c>
      <c r="O34" s="186">
        <v>0.42</v>
      </c>
      <c r="P34" s="186">
        <v>0</v>
      </c>
      <c r="Q34" s="185">
        <v>0.45</v>
      </c>
    </row>
    <row r="35" spans="1:17" ht="22.5" customHeight="1" x14ac:dyDescent="0.25">
      <c r="A35" s="184">
        <v>32</v>
      </c>
      <c r="B35" s="193" t="s">
        <v>379</v>
      </c>
      <c r="C35" s="192">
        <v>5.601</v>
      </c>
      <c r="D35" s="191">
        <v>4</v>
      </c>
      <c r="E35" s="191">
        <v>2</v>
      </c>
      <c r="F35" s="191">
        <v>0</v>
      </c>
      <c r="G35" s="191">
        <v>14</v>
      </c>
      <c r="H35" s="190">
        <v>110</v>
      </c>
      <c r="I35" s="190">
        <v>0</v>
      </c>
      <c r="J35" s="190">
        <v>155</v>
      </c>
      <c r="K35" s="189">
        <v>0.28570000000000001</v>
      </c>
      <c r="L35" s="188">
        <v>0.5</v>
      </c>
      <c r="M35" s="188">
        <v>0</v>
      </c>
      <c r="N35" s="187">
        <v>19.64</v>
      </c>
      <c r="O35" s="186">
        <v>0.36</v>
      </c>
      <c r="P35" s="186">
        <v>0</v>
      </c>
      <c r="Q35" s="185">
        <v>0.43</v>
      </c>
    </row>
    <row r="36" spans="1:17" ht="22.5" customHeight="1" x14ac:dyDescent="0.25">
      <c r="A36" s="184">
        <v>33</v>
      </c>
      <c r="B36" s="193" t="s">
        <v>286</v>
      </c>
      <c r="C36" s="192">
        <v>5.2489999999999997</v>
      </c>
      <c r="D36" s="191">
        <v>4</v>
      </c>
      <c r="E36" s="191">
        <v>2</v>
      </c>
      <c r="F36" s="191">
        <v>0</v>
      </c>
      <c r="G36" s="191">
        <v>18</v>
      </c>
      <c r="H36" s="190">
        <v>70</v>
      </c>
      <c r="I36" s="190">
        <v>0</v>
      </c>
      <c r="J36" s="190">
        <v>145</v>
      </c>
      <c r="K36" s="189">
        <v>0.22220000000000001</v>
      </c>
      <c r="L36" s="188">
        <v>0.5</v>
      </c>
      <c r="M36" s="188">
        <v>0</v>
      </c>
      <c r="N36" s="187">
        <v>13.34</v>
      </c>
      <c r="O36" s="186">
        <v>0.38</v>
      </c>
      <c r="P36" s="186">
        <v>0</v>
      </c>
      <c r="Q36" s="185">
        <v>0.41</v>
      </c>
    </row>
    <row r="37" spans="1:17" ht="22.5" customHeight="1" x14ac:dyDescent="0.25">
      <c r="A37" s="184">
        <v>34</v>
      </c>
      <c r="B37" s="193" t="s">
        <v>299</v>
      </c>
      <c r="C37" s="192">
        <v>6.6340000000000003</v>
      </c>
      <c r="D37" s="191">
        <v>8</v>
      </c>
      <c r="E37" s="191">
        <v>3</v>
      </c>
      <c r="F37" s="191">
        <v>0</v>
      </c>
      <c r="G37" s="191">
        <v>37</v>
      </c>
      <c r="H37" s="190">
        <v>80</v>
      </c>
      <c r="I37" s="190">
        <v>0</v>
      </c>
      <c r="J37" s="190">
        <v>150</v>
      </c>
      <c r="K37" s="189">
        <v>0.2162</v>
      </c>
      <c r="L37" s="188">
        <v>0.375</v>
      </c>
      <c r="M37" s="188">
        <v>0</v>
      </c>
      <c r="N37" s="187">
        <v>12.06</v>
      </c>
      <c r="O37" s="186">
        <v>0.45</v>
      </c>
      <c r="P37" s="186">
        <v>0</v>
      </c>
      <c r="Q37" s="185">
        <v>0.4</v>
      </c>
    </row>
    <row r="38" spans="1:17" ht="22.5" customHeight="1" x14ac:dyDescent="0.25">
      <c r="A38" s="184">
        <v>35</v>
      </c>
      <c r="B38" s="193" t="s">
        <v>371</v>
      </c>
      <c r="C38" s="192">
        <v>8.0410000000000004</v>
      </c>
      <c r="D38" s="191">
        <v>8</v>
      </c>
      <c r="E38" s="191">
        <v>3</v>
      </c>
      <c r="F38" s="191">
        <v>0</v>
      </c>
      <c r="G38" s="191">
        <v>37</v>
      </c>
      <c r="H38" s="190">
        <v>220</v>
      </c>
      <c r="I38" s="190">
        <v>0</v>
      </c>
      <c r="J38" s="190">
        <v>340</v>
      </c>
      <c r="K38" s="189">
        <v>0.2162</v>
      </c>
      <c r="L38" s="188">
        <v>0.375</v>
      </c>
      <c r="M38" s="188">
        <v>0</v>
      </c>
      <c r="N38" s="187">
        <v>27.36</v>
      </c>
      <c r="O38" s="186">
        <v>0.37</v>
      </c>
      <c r="P38" s="186">
        <v>0</v>
      </c>
      <c r="Q38" s="185">
        <v>0.4</v>
      </c>
    </row>
    <row r="39" spans="1:17" ht="22.5" customHeight="1" x14ac:dyDescent="0.25">
      <c r="A39" s="184">
        <v>36</v>
      </c>
      <c r="B39" s="193" t="s">
        <v>385</v>
      </c>
      <c r="C39" s="192">
        <v>4.8940000000000001</v>
      </c>
      <c r="D39" s="191">
        <v>1</v>
      </c>
      <c r="E39" s="191">
        <v>1</v>
      </c>
      <c r="F39" s="191">
        <v>0</v>
      </c>
      <c r="G39" s="191">
        <v>8</v>
      </c>
      <c r="H39" s="190">
        <v>10</v>
      </c>
      <c r="I39" s="190">
        <v>0</v>
      </c>
      <c r="J39" s="190">
        <v>10</v>
      </c>
      <c r="K39" s="189">
        <v>0.125</v>
      </c>
      <c r="L39" s="188">
        <v>1</v>
      </c>
      <c r="M39" s="188">
        <v>0</v>
      </c>
      <c r="N39" s="187">
        <v>2.04</v>
      </c>
      <c r="O39" s="186">
        <v>0.2</v>
      </c>
      <c r="P39" s="186">
        <v>0</v>
      </c>
      <c r="Q39" s="185">
        <v>0.39</v>
      </c>
    </row>
    <row r="40" spans="1:17" ht="22.5" customHeight="1" x14ac:dyDescent="0.25">
      <c r="A40" s="184">
        <v>37</v>
      </c>
      <c r="B40" s="193" t="s">
        <v>405</v>
      </c>
      <c r="C40" s="192">
        <v>4.8339999999999996</v>
      </c>
      <c r="D40" s="191">
        <v>1</v>
      </c>
      <c r="E40" s="191">
        <v>1</v>
      </c>
      <c r="F40" s="191">
        <v>0</v>
      </c>
      <c r="G40" s="191">
        <v>24</v>
      </c>
      <c r="H40" s="190">
        <v>50</v>
      </c>
      <c r="I40" s="190">
        <v>0</v>
      </c>
      <c r="J40" s="190">
        <v>50</v>
      </c>
      <c r="K40" s="189">
        <v>4.1700000000000001E-2</v>
      </c>
      <c r="L40" s="188">
        <v>1</v>
      </c>
      <c r="M40" s="188">
        <v>0</v>
      </c>
      <c r="N40" s="187">
        <v>10.34</v>
      </c>
      <c r="O40" s="186">
        <v>0.21</v>
      </c>
      <c r="P40" s="186">
        <v>0</v>
      </c>
      <c r="Q40" s="185">
        <v>0.38</v>
      </c>
    </row>
    <row r="41" spans="1:17" ht="22.5" customHeight="1" x14ac:dyDescent="0.25">
      <c r="A41" s="184">
        <v>38</v>
      </c>
      <c r="B41" s="193" t="s">
        <v>375</v>
      </c>
      <c r="C41" s="192">
        <v>10.891999999999999</v>
      </c>
      <c r="D41" s="191">
        <v>4</v>
      </c>
      <c r="E41" s="191">
        <v>2</v>
      </c>
      <c r="F41" s="191">
        <v>0</v>
      </c>
      <c r="G41" s="191">
        <v>26</v>
      </c>
      <c r="H41" s="190">
        <v>30</v>
      </c>
      <c r="I41" s="190">
        <v>0</v>
      </c>
      <c r="J41" s="190">
        <v>200</v>
      </c>
      <c r="K41" s="189">
        <v>0.15379999999999999</v>
      </c>
      <c r="L41" s="188">
        <v>0.5</v>
      </c>
      <c r="M41" s="188">
        <v>0</v>
      </c>
      <c r="N41" s="187">
        <v>2.75</v>
      </c>
      <c r="O41" s="186">
        <v>0.18</v>
      </c>
      <c r="P41" s="186">
        <v>0</v>
      </c>
      <c r="Q41" s="185">
        <v>0.33</v>
      </c>
    </row>
    <row r="42" spans="1:17" ht="22.5" customHeight="1" x14ac:dyDescent="0.25">
      <c r="A42" s="184">
        <v>39</v>
      </c>
      <c r="B42" s="193" t="s">
        <v>356</v>
      </c>
      <c r="C42" s="192">
        <v>3.6520000000000001</v>
      </c>
      <c r="D42" s="191">
        <v>3</v>
      </c>
      <c r="E42" s="191">
        <v>1</v>
      </c>
      <c r="F42" s="191">
        <v>0</v>
      </c>
      <c r="G42" s="191">
        <v>17</v>
      </c>
      <c r="H42" s="190">
        <v>10</v>
      </c>
      <c r="I42" s="190">
        <v>0</v>
      </c>
      <c r="J42" s="190">
        <v>260</v>
      </c>
      <c r="K42" s="189">
        <v>0.17649999999999999</v>
      </c>
      <c r="L42" s="188">
        <v>0.33329999999999999</v>
      </c>
      <c r="M42" s="188">
        <v>0</v>
      </c>
      <c r="N42" s="187">
        <v>2.74</v>
      </c>
      <c r="O42" s="186">
        <v>0.27</v>
      </c>
      <c r="P42" s="186">
        <v>0</v>
      </c>
      <c r="Q42" s="185">
        <v>0.33</v>
      </c>
    </row>
    <row r="43" spans="1:17" ht="22.5" customHeight="1" x14ac:dyDescent="0.25">
      <c r="A43" s="184">
        <v>40</v>
      </c>
      <c r="B43" s="193" t="s">
        <v>366</v>
      </c>
      <c r="C43" s="192">
        <v>5.5510000000000002</v>
      </c>
      <c r="D43" s="191">
        <v>2</v>
      </c>
      <c r="E43" s="191">
        <v>1</v>
      </c>
      <c r="F43" s="191">
        <v>0</v>
      </c>
      <c r="G43" s="191">
        <v>16</v>
      </c>
      <c r="H43" s="190">
        <v>20</v>
      </c>
      <c r="I43" s="190">
        <v>0</v>
      </c>
      <c r="J43" s="190">
        <v>25</v>
      </c>
      <c r="K43" s="189">
        <v>0.125</v>
      </c>
      <c r="L43" s="188">
        <v>0.5</v>
      </c>
      <c r="M43" s="188">
        <v>0</v>
      </c>
      <c r="N43" s="187">
        <v>3.6</v>
      </c>
      <c r="O43" s="186">
        <v>0.18</v>
      </c>
      <c r="P43" s="186">
        <v>0</v>
      </c>
      <c r="Q43" s="185">
        <v>0.31</v>
      </c>
    </row>
    <row r="44" spans="1:17" ht="22.5" customHeight="1" x14ac:dyDescent="0.25">
      <c r="A44" s="184">
        <v>41</v>
      </c>
      <c r="B44" s="193" t="s">
        <v>328</v>
      </c>
      <c r="C44" s="192">
        <v>0.11700000000000001</v>
      </c>
      <c r="D44" s="191">
        <v>1</v>
      </c>
      <c r="E44" s="191">
        <v>0</v>
      </c>
      <c r="F44" s="191">
        <v>0</v>
      </c>
      <c r="G44" s="191">
        <v>1</v>
      </c>
      <c r="H44" s="190">
        <v>0</v>
      </c>
      <c r="I44" s="190">
        <v>0</v>
      </c>
      <c r="J44" s="190">
        <v>60</v>
      </c>
      <c r="K44" s="189">
        <v>1</v>
      </c>
      <c r="L44" s="188">
        <v>0</v>
      </c>
      <c r="M44" s="188">
        <v>0</v>
      </c>
      <c r="N44" s="187">
        <v>0</v>
      </c>
      <c r="O44" s="186">
        <v>0</v>
      </c>
      <c r="P44" s="186">
        <v>0</v>
      </c>
      <c r="Q44" s="185">
        <v>0.21</v>
      </c>
    </row>
    <row r="45" spans="1:17" ht="22.5" customHeight="1" x14ac:dyDescent="0.25">
      <c r="A45" s="184">
        <v>42</v>
      </c>
      <c r="B45" s="193" t="s">
        <v>347</v>
      </c>
      <c r="C45" s="192">
        <v>0.67700000000000005</v>
      </c>
      <c r="D45" s="191">
        <v>1</v>
      </c>
      <c r="E45" s="191">
        <v>0</v>
      </c>
      <c r="F45" s="191">
        <v>0</v>
      </c>
      <c r="G45" s="191">
        <v>1</v>
      </c>
      <c r="H45" s="190">
        <v>0</v>
      </c>
      <c r="I45" s="190">
        <v>0</v>
      </c>
      <c r="J45" s="190">
        <v>25</v>
      </c>
      <c r="K45" s="189">
        <v>1</v>
      </c>
      <c r="L45" s="188">
        <v>0</v>
      </c>
      <c r="M45" s="188">
        <v>0</v>
      </c>
      <c r="N45" s="187">
        <v>0</v>
      </c>
      <c r="O45" s="186">
        <v>0</v>
      </c>
      <c r="P45" s="186">
        <v>0</v>
      </c>
      <c r="Q45" s="185">
        <v>0.21</v>
      </c>
    </row>
    <row r="46" spans="1:17" ht="22.5" customHeight="1" x14ac:dyDescent="0.25">
      <c r="A46" s="184">
        <v>43</v>
      </c>
      <c r="B46" s="193" t="s">
        <v>314</v>
      </c>
      <c r="C46" s="192">
        <v>1.931</v>
      </c>
      <c r="D46" s="191">
        <v>2</v>
      </c>
      <c r="E46" s="191">
        <v>0</v>
      </c>
      <c r="F46" s="191">
        <v>0</v>
      </c>
      <c r="G46" s="191">
        <v>10</v>
      </c>
      <c r="H46" s="190">
        <v>0</v>
      </c>
      <c r="I46" s="190">
        <v>0</v>
      </c>
      <c r="J46" s="190">
        <v>120</v>
      </c>
      <c r="K46" s="189">
        <v>0.2</v>
      </c>
      <c r="L46" s="188">
        <v>0</v>
      </c>
      <c r="M46" s="188">
        <v>0</v>
      </c>
      <c r="N46" s="187">
        <v>0</v>
      </c>
      <c r="O46" s="186">
        <v>0</v>
      </c>
      <c r="P46" s="186">
        <v>0</v>
      </c>
      <c r="Q46" s="185">
        <v>0.13</v>
      </c>
    </row>
    <row r="47" spans="1:17" ht="22.5" customHeight="1" x14ac:dyDescent="0.25">
      <c r="A47" s="184">
        <v>44</v>
      </c>
      <c r="B47" s="193" t="s">
        <v>403</v>
      </c>
      <c r="C47" s="192">
        <v>3.4119999999999999</v>
      </c>
      <c r="D47" s="191">
        <v>2</v>
      </c>
      <c r="E47" s="191">
        <v>0</v>
      </c>
      <c r="F47" s="191">
        <v>0</v>
      </c>
      <c r="G47" s="191">
        <v>11</v>
      </c>
      <c r="H47" s="190">
        <v>0</v>
      </c>
      <c r="I47" s="190">
        <v>0</v>
      </c>
      <c r="J47" s="190">
        <v>130</v>
      </c>
      <c r="K47" s="189">
        <v>0.18179999999999999</v>
      </c>
      <c r="L47" s="188">
        <v>0</v>
      </c>
      <c r="M47" s="188">
        <v>0</v>
      </c>
      <c r="N47" s="187">
        <v>0</v>
      </c>
      <c r="O47" s="186">
        <v>0</v>
      </c>
      <c r="P47" s="186">
        <v>0</v>
      </c>
      <c r="Q47" s="185">
        <v>0.12</v>
      </c>
    </row>
    <row r="48" spans="1:17" ht="22.5" customHeight="1" x14ac:dyDescent="0.25">
      <c r="A48" s="184">
        <v>45</v>
      </c>
      <c r="B48" s="193" t="s">
        <v>391</v>
      </c>
      <c r="C48" s="192">
        <v>5.6840000000000002</v>
      </c>
      <c r="D48" s="191">
        <v>4</v>
      </c>
      <c r="E48" s="191">
        <v>0</v>
      </c>
      <c r="F48" s="191">
        <v>0</v>
      </c>
      <c r="G48" s="191">
        <v>31</v>
      </c>
      <c r="H48" s="190">
        <v>0</v>
      </c>
      <c r="I48" s="190">
        <v>0</v>
      </c>
      <c r="J48" s="190">
        <v>150</v>
      </c>
      <c r="K48" s="189">
        <v>0.129</v>
      </c>
      <c r="L48" s="188">
        <v>0</v>
      </c>
      <c r="M48" s="188">
        <v>0</v>
      </c>
      <c r="N48" s="187">
        <v>0</v>
      </c>
      <c r="O48" s="186">
        <v>0</v>
      </c>
      <c r="P48" s="186">
        <v>0</v>
      </c>
      <c r="Q48" s="185">
        <v>0.1</v>
      </c>
    </row>
    <row r="49" spans="1:17" ht="22.5" customHeight="1" x14ac:dyDescent="0.25">
      <c r="A49" s="184">
        <v>46</v>
      </c>
      <c r="B49" s="193" t="s">
        <v>411</v>
      </c>
      <c r="C49" s="192">
        <v>2.8780000000000001</v>
      </c>
      <c r="D49" s="191">
        <v>2</v>
      </c>
      <c r="E49" s="191">
        <v>0</v>
      </c>
      <c r="F49" s="191">
        <v>0</v>
      </c>
      <c r="G49" s="191">
        <v>15</v>
      </c>
      <c r="H49" s="190">
        <v>0</v>
      </c>
      <c r="I49" s="190">
        <v>0</v>
      </c>
      <c r="J49" s="190">
        <v>45</v>
      </c>
      <c r="K49" s="189">
        <v>0.1333</v>
      </c>
      <c r="L49" s="188">
        <v>0</v>
      </c>
      <c r="M49" s="188">
        <v>0</v>
      </c>
      <c r="N49" s="187">
        <v>0</v>
      </c>
      <c r="O49" s="186">
        <v>0</v>
      </c>
      <c r="P49" s="186">
        <v>0</v>
      </c>
      <c r="Q49" s="185">
        <v>0.1</v>
      </c>
    </row>
    <row r="50" spans="1:17" ht="22.5" customHeight="1" x14ac:dyDescent="0.25">
      <c r="A50" s="184">
        <v>47</v>
      </c>
      <c r="B50" s="193" t="s">
        <v>351</v>
      </c>
      <c r="C50" s="192">
        <v>1.6679999999999999</v>
      </c>
      <c r="D50" s="191">
        <v>1</v>
      </c>
      <c r="E50" s="191">
        <v>0</v>
      </c>
      <c r="F50" s="191">
        <v>0</v>
      </c>
      <c r="G50" s="191">
        <v>10</v>
      </c>
      <c r="H50" s="190">
        <v>0</v>
      </c>
      <c r="I50" s="190">
        <v>0</v>
      </c>
      <c r="J50" s="190">
        <v>25</v>
      </c>
      <c r="K50" s="189">
        <v>0.1</v>
      </c>
      <c r="L50" s="188">
        <v>0</v>
      </c>
      <c r="M50" s="188">
        <v>0</v>
      </c>
      <c r="N50" s="187">
        <v>0</v>
      </c>
      <c r="O50" s="186">
        <v>0</v>
      </c>
      <c r="P50" s="186">
        <v>0</v>
      </c>
      <c r="Q50" s="185">
        <v>7.0000000000000007E-2</v>
      </c>
    </row>
    <row r="51" spans="1:17" ht="22.5" customHeight="1" x14ac:dyDescent="0.25">
      <c r="A51" s="184">
        <v>48</v>
      </c>
      <c r="B51" s="193" t="s">
        <v>357</v>
      </c>
      <c r="C51" s="192">
        <v>3.5179999999999998</v>
      </c>
      <c r="D51" s="191">
        <v>1</v>
      </c>
      <c r="E51" s="191">
        <v>0</v>
      </c>
      <c r="F51" s="191">
        <v>0</v>
      </c>
      <c r="G51" s="191">
        <v>10</v>
      </c>
      <c r="H51" s="190">
        <v>0</v>
      </c>
      <c r="I51" s="190">
        <v>0</v>
      </c>
      <c r="J51" s="190">
        <v>100</v>
      </c>
      <c r="K51" s="189">
        <v>0.1</v>
      </c>
      <c r="L51" s="188">
        <v>0</v>
      </c>
      <c r="M51" s="188">
        <v>0</v>
      </c>
      <c r="N51" s="187">
        <v>0</v>
      </c>
      <c r="O51" s="186">
        <v>0</v>
      </c>
      <c r="P51" s="186">
        <v>0</v>
      </c>
      <c r="Q51" s="185">
        <v>7.0000000000000007E-2</v>
      </c>
    </row>
    <row r="52" spans="1:17" ht="22.5" customHeight="1" x14ac:dyDescent="0.25">
      <c r="A52" s="184">
        <v>49</v>
      </c>
      <c r="B52" s="193" t="s">
        <v>359</v>
      </c>
      <c r="C52" s="192">
        <v>2.907</v>
      </c>
      <c r="D52" s="191">
        <v>1</v>
      </c>
      <c r="E52" s="191">
        <v>0</v>
      </c>
      <c r="F52" s="191">
        <v>0</v>
      </c>
      <c r="G52" s="191">
        <v>12</v>
      </c>
      <c r="H52" s="190">
        <v>0</v>
      </c>
      <c r="I52" s="190">
        <v>0</v>
      </c>
      <c r="J52" s="190">
        <v>60</v>
      </c>
      <c r="K52" s="189">
        <v>8.3299999999999999E-2</v>
      </c>
      <c r="L52" s="188">
        <v>0</v>
      </c>
      <c r="M52" s="188">
        <v>0</v>
      </c>
      <c r="N52" s="187">
        <v>0</v>
      </c>
      <c r="O52" s="186">
        <v>0</v>
      </c>
      <c r="P52" s="186">
        <v>0</v>
      </c>
      <c r="Q52" s="185">
        <v>0.06</v>
      </c>
    </row>
    <row r="53" spans="1:17" ht="22.5" customHeight="1" x14ac:dyDescent="0.25">
      <c r="A53" s="184">
        <v>50</v>
      </c>
      <c r="B53" s="193" t="s">
        <v>279</v>
      </c>
      <c r="C53" s="192">
        <v>0.97599999999999998</v>
      </c>
      <c r="D53" s="191">
        <v>0</v>
      </c>
      <c r="E53" s="191">
        <v>0</v>
      </c>
      <c r="F53" s="191">
        <v>0</v>
      </c>
      <c r="G53" s="191">
        <v>0</v>
      </c>
      <c r="H53" s="190">
        <v>0</v>
      </c>
      <c r="I53" s="190">
        <v>0</v>
      </c>
      <c r="J53" s="190">
        <v>0</v>
      </c>
      <c r="K53" s="189">
        <v>0</v>
      </c>
      <c r="L53" s="188">
        <v>0</v>
      </c>
      <c r="M53" s="188">
        <v>0</v>
      </c>
      <c r="N53" s="187">
        <v>0</v>
      </c>
      <c r="O53" s="186">
        <v>0</v>
      </c>
      <c r="P53" s="186">
        <v>0</v>
      </c>
      <c r="Q53" s="185">
        <v>0.02</v>
      </c>
    </row>
    <row r="54" spans="1:17" ht="22.5" customHeight="1" x14ac:dyDescent="0.25">
      <c r="A54" s="184">
        <v>51</v>
      </c>
      <c r="B54" s="193" t="s">
        <v>432</v>
      </c>
      <c r="C54" s="192">
        <v>0.159</v>
      </c>
      <c r="D54" s="191">
        <v>0</v>
      </c>
      <c r="E54" s="191">
        <v>0</v>
      </c>
      <c r="F54" s="191">
        <v>0</v>
      </c>
      <c r="G54" s="191">
        <v>0</v>
      </c>
      <c r="H54" s="190">
        <v>0</v>
      </c>
      <c r="I54" s="190">
        <v>0</v>
      </c>
      <c r="J54" s="190">
        <v>0</v>
      </c>
      <c r="K54" s="189">
        <v>0</v>
      </c>
      <c r="L54" s="188">
        <v>0</v>
      </c>
      <c r="M54" s="188">
        <v>0</v>
      </c>
      <c r="N54" s="187">
        <v>0</v>
      </c>
      <c r="O54" s="186">
        <v>0</v>
      </c>
      <c r="P54" s="186">
        <v>0</v>
      </c>
      <c r="Q54" s="185">
        <v>0.02</v>
      </c>
    </row>
    <row r="55" spans="1:17" ht="22.5" customHeight="1" x14ac:dyDescent="0.25">
      <c r="A55" s="184">
        <v>52</v>
      </c>
      <c r="B55" s="193" t="s">
        <v>316</v>
      </c>
      <c r="C55" s="192">
        <v>1.016</v>
      </c>
      <c r="D55" s="191">
        <v>0</v>
      </c>
      <c r="E55" s="191">
        <v>0</v>
      </c>
      <c r="F55" s="191">
        <v>0</v>
      </c>
      <c r="G55" s="191">
        <v>0</v>
      </c>
      <c r="H55" s="190">
        <v>0</v>
      </c>
      <c r="I55" s="190">
        <v>0</v>
      </c>
      <c r="J55" s="190">
        <v>0</v>
      </c>
      <c r="K55" s="189">
        <v>0</v>
      </c>
      <c r="L55" s="188">
        <v>0</v>
      </c>
      <c r="M55" s="188">
        <v>0</v>
      </c>
      <c r="N55" s="187">
        <v>0</v>
      </c>
      <c r="O55" s="186">
        <v>0</v>
      </c>
      <c r="P55" s="186">
        <v>0</v>
      </c>
      <c r="Q55" s="185">
        <v>0.02</v>
      </c>
    </row>
    <row r="56" spans="1:17" ht="22.5" customHeight="1" x14ac:dyDescent="0.25">
      <c r="A56" s="184">
        <v>53</v>
      </c>
      <c r="B56" s="193" t="s">
        <v>370</v>
      </c>
      <c r="C56" s="192">
        <v>0.157</v>
      </c>
      <c r="D56" s="191">
        <v>0</v>
      </c>
      <c r="E56" s="191">
        <v>0</v>
      </c>
      <c r="F56" s="191">
        <v>0</v>
      </c>
      <c r="G56" s="191">
        <v>0</v>
      </c>
      <c r="H56" s="190">
        <v>0</v>
      </c>
      <c r="I56" s="190">
        <v>0</v>
      </c>
      <c r="J56" s="190">
        <v>0</v>
      </c>
      <c r="K56" s="189">
        <v>0</v>
      </c>
      <c r="L56" s="188">
        <v>0</v>
      </c>
      <c r="M56" s="188">
        <v>0</v>
      </c>
      <c r="N56" s="187">
        <v>0</v>
      </c>
      <c r="O56" s="186">
        <v>0</v>
      </c>
      <c r="P56" s="186">
        <v>0</v>
      </c>
      <c r="Q56" s="185">
        <v>0.02</v>
      </c>
    </row>
    <row r="57" spans="1:17" ht="22.5" customHeight="1" x14ac:dyDescent="0.25">
      <c r="A57" s="184">
        <v>54</v>
      </c>
      <c r="B57" s="193" t="s">
        <v>305</v>
      </c>
      <c r="C57" s="192">
        <v>0.92400000000000004</v>
      </c>
      <c r="D57" s="191">
        <v>0</v>
      </c>
      <c r="E57" s="191">
        <v>0</v>
      </c>
      <c r="F57" s="191">
        <v>0</v>
      </c>
      <c r="G57" s="191">
        <v>3</v>
      </c>
      <c r="H57" s="190">
        <v>0</v>
      </c>
      <c r="I57" s="190">
        <v>0</v>
      </c>
      <c r="J57" s="190">
        <v>0</v>
      </c>
      <c r="K57" s="189">
        <v>0</v>
      </c>
      <c r="L57" s="188">
        <v>0</v>
      </c>
      <c r="M57" s="188">
        <v>0</v>
      </c>
      <c r="N57" s="187">
        <v>0</v>
      </c>
      <c r="O57" s="186">
        <v>0</v>
      </c>
      <c r="P57" s="186">
        <v>0</v>
      </c>
      <c r="Q57" s="185">
        <v>0.02</v>
      </c>
    </row>
    <row r="58" spans="1:17" ht="22.5" customHeight="1" x14ac:dyDescent="0.25">
      <c r="A58" s="184">
        <v>55</v>
      </c>
      <c r="B58" s="193" t="s">
        <v>274</v>
      </c>
      <c r="C58" s="192">
        <v>1.379</v>
      </c>
      <c r="D58" s="191">
        <v>0</v>
      </c>
      <c r="E58" s="191">
        <v>0</v>
      </c>
      <c r="F58" s="191">
        <v>0</v>
      </c>
      <c r="G58" s="191">
        <v>2</v>
      </c>
      <c r="H58" s="190">
        <v>0</v>
      </c>
      <c r="I58" s="190">
        <v>0</v>
      </c>
      <c r="J58" s="190">
        <v>0</v>
      </c>
      <c r="K58" s="189">
        <v>0</v>
      </c>
      <c r="L58" s="188">
        <v>0</v>
      </c>
      <c r="M58" s="188">
        <v>0</v>
      </c>
      <c r="N58" s="187">
        <v>0</v>
      </c>
      <c r="O58" s="186">
        <v>0</v>
      </c>
      <c r="P58" s="186">
        <v>0</v>
      </c>
      <c r="Q58" s="185">
        <v>0.02</v>
      </c>
    </row>
    <row r="59" spans="1:17" ht="22.5" customHeight="1" x14ac:dyDescent="0.25">
      <c r="A59" s="184">
        <v>56</v>
      </c>
      <c r="B59" s="193" t="s">
        <v>353</v>
      </c>
      <c r="C59" s="192">
        <v>3.69</v>
      </c>
      <c r="D59" s="191">
        <v>0</v>
      </c>
      <c r="E59" s="191">
        <v>0</v>
      </c>
      <c r="F59" s="191">
        <v>0</v>
      </c>
      <c r="G59" s="191">
        <v>1</v>
      </c>
      <c r="H59" s="190">
        <v>0</v>
      </c>
      <c r="I59" s="190">
        <v>0</v>
      </c>
      <c r="J59" s="190">
        <v>0</v>
      </c>
      <c r="K59" s="189">
        <v>0</v>
      </c>
      <c r="L59" s="188">
        <v>0</v>
      </c>
      <c r="M59" s="188">
        <v>0</v>
      </c>
      <c r="N59" s="187">
        <v>0</v>
      </c>
      <c r="O59" s="186">
        <v>0</v>
      </c>
      <c r="P59" s="186">
        <v>0</v>
      </c>
      <c r="Q59" s="185">
        <v>0.02</v>
      </c>
    </row>
    <row r="60" spans="1:17" ht="22.5" customHeight="1" x14ac:dyDescent="0.25">
      <c r="A60" s="184">
        <v>57</v>
      </c>
      <c r="B60" s="193" t="s">
        <v>373</v>
      </c>
      <c r="C60" s="192">
        <v>1.835</v>
      </c>
      <c r="D60" s="191">
        <v>0</v>
      </c>
      <c r="E60" s="191">
        <v>0</v>
      </c>
      <c r="F60" s="191">
        <v>0</v>
      </c>
      <c r="G60" s="191">
        <v>6</v>
      </c>
      <c r="H60" s="190">
        <v>0</v>
      </c>
      <c r="I60" s="190">
        <v>0</v>
      </c>
      <c r="J60" s="190">
        <v>0</v>
      </c>
      <c r="K60" s="189">
        <v>0</v>
      </c>
      <c r="L60" s="188">
        <v>0</v>
      </c>
      <c r="M60" s="188">
        <v>0</v>
      </c>
      <c r="N60" s="187">
        <v>0</v>
      </c>
      <c r="O60" s="186">
        <v>0</v>
      </c>
      <c r="P60" s="186">
        <v>0</v>
      </c>
      <c r="Q60" s="185">
        <v>0.02</v>
      </c>
    </row>
    <row r="61" spans="1:17" ht="22.5" customHeight="1" x14ac:dyDescent="0.25">
      <c r="A61" s="184">
        <v>58</v>
      </c>
      <c r="B61" s="193" t="s">
        <v>397</v>
      </c>
      <c r="C61" s="192">
        <v>2.758</v>
      </c>
      <c r="D61" s="191">
        <v>0</v>
      </c>
      <c r="E61" s="191">
        <v>0</v>
      </c>
      <c r="F61" s="191">
        <v>0</v>
      </c>
      <c r="G61" s="191">
        <v>1</v>
      </c>
      <c r="H61" s="190">
        <v>0</v>
      </c>
      <c r="I61" s="190">
        <v>0</v>
      </c>
      <c r="J61" s="190">
        <v>0</v>
      </c>
      <c r="K61" s="189">
        <v>0</v>
      </c>
      <c r="L61" s="188">
        <v>0</v>
      </c>
      <c r="M61" s="188">
        <v>0</v>
      </c>
      <c r="N61" s="187">
        <v>0</v>
      </c>
      <c r="O61" s="186">
        <v>0</v>
      </c>
      <c r="P61" s="186">
        <v>0</v>
      </c>
      <c r="Q61" s="185">
        <v>0.02</v>
      </c>
    </row>
    <row r="62" spans="1:17" ht="22.5" customHeight="1" x14ac:dyDescent="0.25">
      <c r="A62" s="184">
        <v>59</v>
      </c>
      <c r="B62" s="193" t="s">
        <v>326</v>
      </c>
      <c r="C62" s="192">
        <v>3.81</v>
      </c>
      <c r="D62" s="191">
        <v>0</v>
      </c>
      <c r="E62" s="191">
        <v>0</v>
      </c>
      <c r="F62" s="191">
        <v>0</v>
      </c>
      <c r="G62" s="191">
        <v>7</v>
      </c>
      <c r="H62" s="190">
        <v>0</v>
      </c>
      <c r="I62" s="190">
        <v>0</v>
      </c>
      <c r="J62" s="190">
        <v>0</v>
      </c>
      <c r="K62" s="189">
        <v>0</v>
      </c>
      <c r="L62" s="188">
        <v>0</v>
      </c>
      <c r="M62" s="188">
        <v>0</v>
      </c>
      <c r="N62" s="187">
        <v>0</v>
      </c>
      <c r="O62" s="186">
        <v>0</v>
      </c>
      <c r="P62" s="186">
        <v>0</v>
      </c>
      <c r="Q62" s="185">
        <v>0.02</v>
      </c>
    </row>
    <row r="63" spans="1:17" ht="22.5" customHeight="1" x14ac:dyDescent="0.25">
      <c r="A63" s="184">
        <v>60</v>
      </c>
      <c r="B63" s="193" t="s">
        <v>325</v>
      </c>
      <c r="C63" s="192">
        <v>0.79100000000000004</v>
      </c>
      <c r="D63" s="191">
        <v>0</v>
      </c>
      <c r="E63" s="191">
        <v>0</v>
      </c>
      <c r="F63" s="191">
        <v>0</v>
      </c>
      <c r="G63" s="191">
        <v>3</v>
      </c>
      <c r="H63" s="190">
        <v>0</v>
      </c>
      <c r="I63" s="190">
        <v>0</v>
      </c>
      <c r="J63" s="190">
        <v>0</v>
      </c>
      <c r="K63" s="189">
        <v>0</v>
      </c>
      <c r="L63" s="188">
        <v>0</v>
      </c>
      <c r="M63" s="188">
        <v>0</v>
      </c>
      <c r="N63" s="187">
        <v>0</v>
      </c>
      <c r="O63" s="186">
        <v>0</v>
      </c>
      <c r="P63" s="186">
        <v>0</v>
      </c>
      <c r="Q63" s="185">
        <v>0.02</v>
      </c>
    </row>
    <row r="64" spans="1:17" ht="22.5" customHeight="1" x14ac:dyDescent="0.25">
      <c r="A64" s="184">
        <v>61</v>
      </c>
      <c r="B64" s="193" t="s">
        <v>322</v>
      </c>
      <c r="C64" s="192">
        <v>0.39600000000000002</v>
      </c>
      <c r="D64" s="191">
        <v>0</v>
      </c>
      <c r="E64" s="191">
        <v>0</v>
      </c>
      <c r="F64" s="191">
        <v>0</v>
      </c>
      <c r="G64" s="191">
        <v>0</v>
      </c>
      <c r="H64" s="190">
        <v>0</v>
      </c>
      <c r="I64" s="190">
        <v>0</v>
      </c>
      <c r="J64" s="190">
        <v>0</v>
      </c>
      <c r="K64" s="189">
        <v>0</v>
      </c>
      <c r="L64" s="188">
        <v>0</v>
      </c>
      <c r="M64" s="188">
        <v>0</v>
      </c>
      <c r="N64" s="187">
        <v>0</v>
      </c>
      <c r="O64" s="186">
        <v>0</v>
      </c>
      <c r="P64" s="186">
        <v>0</v>
      </c>
      <c r="Q64" s="185">
        <v>0.02</v>
      </c>
    </row>
    <row r="65" spans="1:17" ht="22.5" customHeight="1" x14ac:dyDescent="0.25">
      <c r="A65" s="184">
        <v>62</v>
      </c>
      <c r="B65" s="193" t="s">
        <v>378</v>
      </c>
      <c r="C65" s="192">
        <v>1.3520000000000001</v>
      </c>
      <c r="D65" s="191">
        <v>0</v>
      </c>
      <c r="E65" s="191">
        <v>0</v>
      </c>
      <c r="F65" s="191">
        <v>0</v>
      </c>
      <c r="G65" s="191">
        <v>0</v>
      </c>
      <c r="H65" s="190">
        <v>0</v>
      </c>
      <c r="I65" s="190">
        <v>0</v>
      </c>
      <c r="J65" s="190">
        <v>0</v>
      </c>
      <c r="K65" s="189">
        <v>0</v>
      </c>
      <c r="L65" s="188">
        <v>0</v>
      </c>
      <c r="M65" s="188">
        <v>0</v>
      </c>
      <c r="N65" s="187">
        <v>0</v>
      </c>
      <c r="O65" s="186">
        <v>0</v>
      </c>
      <c r="P65" s="186">
        <v>0</v>
      </c>
      <c r="Q65" s="185">
        <v>0.02</v>
      </c>
    </row>
    <row r="66" spans="1:17" ht="22.5" customHeight="1" x14ac:dyDescent="0.25">
      <c r="A66" s="184">
        <v>63</v>
      </c>
      <c r="B66" s="193" t="s">
        <v>408</v>
      </c>
      <c r="C66" s="192">
        <v>0.26600000000000001</v>
      </c>
      <c r="D66" s="191">
        <v>0</v>
      </c>
      <c r="E66" s="191">
        <v>0</v>
      </c>
      <c r="F66" s="191">
        <v>0</v>
      </c>
      <c r="G66" s="191">
        <v>2</v>
      </c>
      <c r="H66" s="190">
        <v>0</v>
      </c>
      <c r="I66" s="190">
        <v>0</v>
      </c>
      <c r="J66" s="190">
        <v>0</v>
      </c>
      <c r="K66" s="189">
        <v>0</v>
      </c>
      <c r="L66" s="188">
        <v>0</v>
      </c>
      <c r="M66" s="188">
        <v>0</v>
      </c>
      <c r="N66" s="187">
        <v>0</v>
      </c>
      <c r="O66" s="186">
        <v>0</v>
      </c>
      <c r="P66" s="186">
        <v>0</v>
      </c>
      <c r="Q66" s="185">
        <v>0.02</v>
      </c>
    </row>
    <row r="67" spans="1:17" ht="22.5" customHeight="1" x14ac:dyDescent="0.25">
      <c r="A67" s="184" t="s">
        <v>171</v>
      </c>
      <c r="B67" s="183" t="s">
        <v>3</v>
      </c>
      <c r="C67" s="182">
        <v>252.911</v>
      </c>
      <c r="D67" s="181">
        <v>214</v>
      </c>
      <c r="E67" s="181">
        <v>112</v>
      </c>
      <c r="F67" s="181">
        <v>12</v>
      </c>
      <c r="G67" s="200">
        <v>1033</v>
      </c>
      <c r="H67" s="180">
        <v>6365</v>
      </c>
      <c r="I67" s="180">
        <v>1296</v>
      </c>
      <c r="J67" s="180">
        <v>11721</v>
      </c>
      <c r="K67" s="179">
        <v>0.2072</v>
      </c>
      <c r="L67" s="178">
        <v>0.57940000000000003</v>
      </c>
      <c r="M67" s="178">
        <v>0.1176</v>
      </c>
      <c r="N67" s="177">
        <v>30.29</v>
      </c>
      <c r="O67" s="176">
        <v>0.49</v>
      </c>
      <c r="P67" s="176">
        <v>0.05</v>
      </c>
      <c r="Q67" s="175" t="s">
        <v>171</v>
      </c>
    </row>
    <row r="68" spans="1:17" ht="22.5" customHeight="1" x14ac:dyDescent="0.25"/>
    <row r="69" spans="1:17" ht="22.5" customHeight="1" x14ac:dyDescent="0.25"/>
  </sheetData>
  <mergeCells count="3">
    <mergeCell ref="F1:L1"/>
    <mergeCell ref="A2:A3"/>
    <mergeCell ref="B2:B3"/>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rgb="FFFF0000"/>
  </sheetPr>
  <dimension ref="A1:Q33"/>
  <sheetViews>
    <sheetView workbookViewId="0">
      <selection sqref="A1:Q22"/>
    </sheetView>
  </sheetViews>
  <sheetFormatPr defaultRowHeight="22.5" customHeight="1" x14ac:dyDescent="0.25"/>
  <cols>
    <col min="1" max="1" width="6" style="93" bestFit="1" customWidth="1"/>
    <col min="2" max="2" width="22.42578125" style="94" bestFit="1" customWidth="1"/>
    <col min="3" max="3" width="8.28515625" style="93" bestFit="1" customWidth="1"/>
    <col min="4" max="4" width="6" style="93" bestFit="1" customWidth="1"/>
    <col min="5" max="5" width="10.28515625" style="93" bestFit="1" customWidth="1"/>
    <col min="6" max="6" width="10.42578125" style="93" bestFit="1" customWidth="1"/>
    <col min="7" max="7" width="8.42578125" style="93" bestFit="1" customWidth="1"/>
    <col min="8" max="8" width="12" style="93" bestFit="1" customWidth="1"/>
    <col min="9" max="9" width="10.42578125" style="93" bestFit="1" customWidth="1"/>
    <col min="10" max="10" width="12" style="93" bestFit="1" customWidth="1"/>
    <col min="11" max="11" width="13.42578125" style="93" bestFit="1" customWidth="1"/>
    <col min="12" max="12" width="11.42578125" style="93" bestFit="1" customWidth="1"/>
    <col min="13" max="13" width="10.42578125" style="93" bestFit="1" customWidth="1"/>
    <col min="14" max="14" width="11.85546875" style="93" bestFit="1" customWidth="1"/>
    <col min="15" max="15" width="11.42578125" style="93" bestFit="1" customWidth="1"/>
    <col min="16" max="16" width="10.42578125" style="93" bestFit="1" customWidth="1"/>
    <col min="17" max="17" width="12.28515625" style="93" bestFit="1" customWidth="1"/>
    <col min="18" max="16384" width="9.140625" style="93"/>
  </cols>
  <sheetData>
    <row r="1" spans="1:17" ht="11.25" x14ac:dyDescent="0.25">
      <c r="F1" s="610"/>
      <c r="G1" s="610"/>
      <c r="H1" s="610"/>
      <c r="I1" s="610"/>
      <c r="J1" s="610"/>
      <c r="K1" s="610"/>
      <c r="L1" s="610"/>
    </row>
    <row r="2" spans="1:17" ht="11.25" x14ac:dyDescent="0.25">
      <c r="A2" s="606" t="s">
        <v>172</v>
      </c>
      <c r="B2" s="608" t="s">
        <v>7</v>
      </c>
      <c r="C2" s="199" t="s">
        <v>173</v>
      </c>
      <c r="D2" s="198" t="s">
        <v>3</v>
      </c>
      <c r="E2" s="198" t="s">
        <v>176</v>
      </c>
      <c r="F2" s="198" t="s">
        <v>166</v>
      </c>
      <c r="G2" s="198" t="s">
        <v>8</v>
      </c>
      <c r="H2" s="198" t="s">
        <v>176</v>
      </c>
      <c r="I2" s="198" t="s">
        <v>166</v>
      </c>
      <c r="J2" s="198" t="s">
        <v>3</v>
      </c>
      <c r="K2" s="198" t="s">
        <v>21</v>
      </c>
      <c r="L2" s="198" t="s">
        <v>164</v>
      </c>
      <c r="M2" s="198" t="s">
        <v>166</v>
      </c>
      <c r="N2" s="198" t="s">
        <v>164</v>
      </c>
      <c r="O2" s="198" t="s">
        <v>164</v>
      </c>
      <c r="P2" s="198" t="s">
        <v>166</v>
      </c>
      <c r="Q2" s="197" t="s">
        <v>169</v>
      </c>
    </row>
    <row r="3" spans="1:17" ht="11.25" x14ac:dyDescent="0.25">
      <c r="A3" s="607"/>
      <c r="B3" s="609"/>
      <c r="C3" s="196" t="s">
        <v>174</v>
      </c>
      <c r="D3" s="195" t="s">
        <v>175</v>
      </c>
      <c r="E3" s="195" t="s">
        <v>175</v>
      </c>
      <c r="F3" s="195" t="s">
        <v>175</v>
      </c>
      <c r="G3" s="195" t="s">
        <v>12</v>
      </c>
      <c r="H3" s="195" t="s">
        <v>9</v>
      </c>
      <c r="I3" s="195" t="s">
        <v>9</v>
      </c>
      <c r="J3" s="195" t="s">
        <v>9</v>
      </c>
      <c r="K3" s="195" t="s">
        <v>13</v>
      </c>
      <c r="L3" s="195" t="s">
        <v>165</v>
      </c>
      <c r="M3" s="195" t="s">
        <v>165</v>
      </c>
      <c r="N3" s="195" t="s">
        <v>167</v>
      </c>
      <c r="O3" s="195" t="s">
        <v>168</v>
      </c>
      <c r="P3" s="195" t="s">
        <v>168</v>
      </c>
      <c r="Q3" s="194" t="s">
        <v>170</v>
      </c>
    </row>
    <row r="4" spans="1:17" ht="11.25" x14ac:dyDescent="0.25">
      <c r="A4" s="184">
        <v>1</v>
      </c>
      <c r="B4" s="193" t="s">
        <v>392</v>
      </c>
      <c r="C4" s="192">
        <v>1.3169999999999999</v>
      </c>
      <c r="D4" s="191">
        <v>3</v>
      </c>
      <c r="E4" s="191">
        <v>2</v>
      </c>
      <c r="F4" s="191">
        <v>0</v>
      </c>
      <c r="G4" s="191">
        <v>5</v>
      </c>
      <c r="H4" s="190">
        <v>105</v>
      </c>
      <c r="I4" s="190">
        <v>0</v>
      </c>
      <c r="J4" s="190">
        <v>205</v>
      </c>
      <c r="K4" s="189">
        <v>0.6</v>
      </c>
      <c r="L4" s="188">
        <v>0.66669999999999996</v>
      </c>
      <c r="M4" s="188">
        <v>0</v>
      </c>
      <c r="N4" s="187">
        <v>79.73</v>
      </c>
      <c r="O4" s="186">
        <v>1.52</v>
      </c>
      <c r="P4" s="186">
        <v>0</v>
      </c>
      <c r="Q4" s="185">
        <v>0.68</v>
      </c>
    </row>
    <row r="5" spans="1:17" ht="11.25" x14ac:dyDescent="0.25">
      <c r="A5" s="184">
        <v>2</v>
      </c>
      <c r="B5" s="193" t="s">
        <v>324</v>
      </c>
      <c r="C5" s="192">
        <v>2.1459999999999999</v>
      </c>
      <c r="D5" s="191">
        <v>2</v>
      </c>
      <c r="E5" s="191">
        <v>2</v>
      </c>
      <c r="F5" s="191">
        <v>0</v>
      </c>
      <c r="G5" s="191">
        <v>6</v>
      </c>
      <c r="H5" s="190">
        <v>75</v>
      </c>
      <c r="I5" s="190">
        <v>0</v>
      </c>
      <c r="J5" s="190">
        <v>75</v>
      </c>
      <c r="K5" s="189">
        <v>0.33329999999999999</v>
      </c>
      <c r="L5" s="188">
        <v>1</v>
      </c>
      <c r="M5" s="188">
        <v>0</v>
      </c>
      <c r="N5" s="187">
        <v>34.950000000000003</v>
      </c>
      <c r="O5" s="186">
        <v>0.93</v>
      </c>
      <c r="P5" s="186">
        <v>0</v>
      </c>
      <c r="Q5" s="185">
        <v>0.64</v>
      </c>
    </row>
    <row r="6" spans="1:17" ht="11.25" x14ac:dyDescent="0.25">
      <c r="A6" s="184">
        <v>3</v>
      </c>
      <c r="B6" s="193" t="s">
        <v>371</v>
      </c>
      <c r="C6" s="192">
        <v>3.133</v>
      </c>
      <c r="D6" s="191">
        <v>4</v>
      </c>
      <c r="E6" s="191">
        <v>3</v>
      </c>
      <c r="F6" s="191">
        <v>0</v>
      </c>
      <c r="G6" s="191">
        <v>21</v>
      </c>
      <c r="H6" s="190">
        <v>360</v>
      </c>
      <c r="I6" s="190">
        <v>0</v>
      </c>
      <c r="J6" s="190">
        <v>365</v>
      </c>
      <c r="K6" s="189">
        <v>0.1905</v>
      </c>
      <c r="L6" s="188">
        <v>0.75</v>
      </c>
      <c r="M6" s="188">
        <v>0</v>
      </c>
      <c r="N6" s="187">
        <v>114.91</v>
      </c>
      <c r="O6" s="186">
        <v>0.96</v>
      </c>
      <c r="P6" s="186">
        <v>0</v>
      </c>
      <c r="Q6" s="185">
        <v>0.62</v>
      </c>
    </row>
    <row r="7" spans="1:17" ht="11.25" x14ac:dyDescent="0.25">
      <c r="A7" s="184">
        <v>4</v>
      </c>
      <c r="B7" s="193" t="s">
        <v>330</v>
      </c>
      <c r="C7" s="192">
        <v>4.4969999999999999</v>
      </c>
      <c r="D7" s="191">
        <v>11</v>
      </c>
      <c r="E7" s="191">
        <v>5</v>
      </c>
      <c r="F7" s="191">
        <v>0</v>
      </c>
      <c r="G7" s="191">
        <v>21</v>
      </c>
      <c r="H7" s="190">
        <v>130</v>
      </c>
      <c r="I7" s="190">
        <v>0</v>
      </c>
      <c r="J7" s="190">
        <v>320</v>
      </c>
      <c r="K7" s="189">
        <v>0.52380000000000004</v>
      </c>
      <c r="L7" s="188">
        <v>0.45450000000000002</v>
      </c>
      <c r="M7" s="188">
        <v>0</v>
      </c>
      <c r="N7" s="187">
        <v>28.91</v>
      </c>
      <c r="O7" s="186">
        <v>1.1100000000000001</v>
      </c>
      <c r="P7" s="186">
        <v>0</v>
      </c>
      <c r="Q7" s="185">
        <v>0.59</v>
      </c>
    </row>
    <row r="8" spans="1:17" ht="11.25" x14ac:dyDescent="0.25">
      <c r="A8" s="184">
        <v>5</v>
      </c>
      <c r="B8" s="193" t="s">
        <v>375</v>
      </c>
      <c r="C8" s="192">
        <v>4.4489999999999998</v>
      </c>
      <c r="D8" s="191">
        <v>6</v>
      </c>
      <c r="E8" s="191">
        <v>3</v>
      </c>
      <c r="F8" s="191">
        <v>0</v>
      </c>
      <c r="G8" s="191">
        <v>11</v>
      </c>
      <c r="H8" s="190">
        <v>400</v>
      </c>
      <c r="I8" s="190">
        <v>0</v>
      </c>
      <c r="J8" s="190">
        <v>470</v>
      </c>
      <c r="K8" s="189">
        <v>0.54549999999999998</v>
      </c>
      <c r="L8" s="188">
        <v>0.5</v>
      </c>
      <c r="M8" s="188">
        <v>0</v>
      </c>
      <c r="N8" s="187">
        <v>89.91</v>
      </c>
      <c r="O8" s="186">
        <v>0.67</v>
      </c>
      <c r="P8" s="186">
        <v>0</v>
      </c>
      <c r="Q8" s="185">
        <v>0.59</v>
      </c>
    </row>
    <row r="9" spans="1:17" ht="11.25" x14ac:dyDescent="0.25">
      <c r="A9" s="184">
        <v>6</v>
      </c>
      <c r="B9" s="193" t="s">
        <v>408</v>
      </c>
      <c r="C9" s="192">
        <v>1.9430000000000001</v>
      </c>
      <c r="D9" s="191">
        <v>4</v>
      </c>
      <c r="E9" s="191">
        <v>2</v>
      </c>
      <c r="F9" s="191">
        <v>0</v>
      </c>
      <c r="G9" s="191">
        <v>11</v>
      </c>
      <c r="H9" s="190">
        <v>45</v>
      </c>
      <c r="I9" s="190">
        <v>0</v>
      </c>
      <c r="J9" s="190">
        <v>195</v>
      </c>
      <c r="K9" s="189">
        <v>0.36359999999999998</v>
      </c>
      <c r="L9" s="188">
        <v>0.5</v>
      </c>
      <c r="M9" s="188">
        <v>0</v>
      </c>
      <c r="N9" s="187">
        <v>23.16</v>
      </c>
      <c r="O9" s="186">
        <v>1.03</v>
      </c>
      <c r="P9" s="186">
        <v>0</v>
      </c>
      <c r="Q9" s="185">
        <v>0.57999999999999996</v>
      </c>
    </row>
    <row r="10" spans="1:17" ht="11.25" x14ac:dyDescent="0.25">
      <c r="A10" s="184">
        <v>7</v>
      </c>
      <c r="B10" s="193" t="s">
        <v>357</v>
      </c>
      <c r="C10" s="192">
        <v>1.6419999999999999</v>
      </c>
      <c r="D10" s="191">
        <v>2</v>
      </c>
      <c r="E10" s="191">
        <v>1</v>
      </c>
      <c r="F10" s="191">
        <v>0</v>
      </c>
      <c r="G10" s="191">
        <v>3</v>
      </c>
      <c r="H10" s="190">
        <v>25</v>
      </c>
      <c r="I10" s="190">
        <v>0</v>
      </c>
      <c r="J10" s="190">
        <v>30</v>
      </c>
      <c r="K10" s="189">
        <v>0.66669999999999996</v>
      </c>
      <c r="L10" s="188">
        <v>0.5</v>
      </c>
      <c r="M10" s="188">
        <v>0</v>
      </c>
      <c r="N10" s="187">
        <v>15.23</v>
      </c>
      <c r="O10" s="186">
        <v>0.61</v>
      </c>
      <c r="P10" s="186">
        <v>0</v>
      </c>
      <c r="Q10" s="185">
        <v>0.55000000000000004</v>
      </c>
    </row>
    <row r="11" spans="1:17" ht="11.25" x14ac:dyDescent="0.25">
      <c r="A11" s="184">
        <v>8</v>
      </c>
      <c r="B11" s="193" t="s">
        <v>290</v>
      </c>
      <c r="C11" s="192">
        <v>2.3439999999999999</v>
      </c>
      <c r="D11" s="191">
        <v>3</v>
      </c>
      <c r="E11" s="191">
        <v>2</v>
      </c>
      <c r="F11" s="191">
        <v>0</v>
      </c>
      <c r="G11" s="191">
        <v>14</v>
      </c>
      <c r="H11" s="190">
        <v>20</v>
      </c>
      <c r="I11" s="190">
        <v>0</v>
      </c>
      <c r="J11" s="190">
        <v>50</v>
      </c>
      <c r="K11" s="189">
        <v>0.21429999999999999</v>
      </c>
      <c r="L11" s="188">
        <v>0.66669999999999996</v>
      </c>
      <c r="M11" s="188">
        <v>0</v>
      </c>
      <c r="N11" s="187">
        <v>8.5299999999999994</v>
      </c>
      <c r="O11" s="186">
        <v>0.85</v>
      </c>
      <c r="P11" s="186">
        <v>0</v>
      </c>
      <c r="Q11" s="185">
        <v>0.53</v>
      </c>
    </row>
    <row r="12" spans="1:17" ht="11.25" x14ac:dyDescent="0.25">
      <c r="A12" s="184">
        <v>9</v>
      </c>
      <c r="B12" s="193" t="s">
        <v>363</v>
      </c>
      <c r="C12" s="192">
        <v>1.508</v>
      </c>
      <c r="D12" s="191">
        <v>2</v>
      </c>
      <c r="E12" s="191">
        <v>1</v>
      </c>
      <c r="F12" s="191">
        <v>0</v>
      </c>
      <c r="G12" s="191">
        <v>8</v>
      </c>
      <c r="H12" s="190">
        <v>25</v>
      </c>
      <c r="I12" s="190">
        <v>0</v>
      </c>
      <c r="J12" s="190">
        <v>45</v>
      </c>
      <c r="K12" s="189">
        <v>0.25</v>
      </c>
      <c r="L12" s="188">
        <v>0.5</v>
      </c>
      <c r="M12" s="188">
        <v>0</v>
      </c>
      <c r="N12" s="187">
        <v>16.579999999999998</v>
      </c>
      <c r="O12" s="186">
        <v>0.66</v>
      </c>
      <c r="P12" s="186">
        <v>0</v>
      </c>
      <c r="Q12" s="185">
        <v>0.52</v>
      </c>
    </row>
    <row r="13" spans="1:17" ht="11.25" x14ac:dyDescent="0.25">
      <c r="A13" s="184">
        <v>10</v>
      </c>
      <c r="B13" s="193" t="s">
        <v>272</v>
      </c>
      <c r="C13" s="192">
        <v>3.9510000000000001</v>
      </c>
      <c r="D13" s="191">
        <v>5</v>
      </c>
      <c r="E13" s="191">
        <v>2</v>
      </c>
      <c r="F13" s="191">
        <v>0</v>
      </c>
      <c r="G13" s="191">
        <v>26</v>
      </c>
      <c r="H13" s="190">
        <v>50</v>
      </c>
      <c r="I13" s="190">
        <v>0</v>
      </c>
      <c r="J13" s="190">
        <v>105</v>
      </c>
      <c r="K13" s="189">
        <v>0.1923</v>
      </c>
      <c r="L13" s="188">
        <v>0.4</v>
      </c>
      <c r="M13" s="188">
        <v>0</v>
      </c>
      <c r="N13" s="187">
        <v>12.66</v>
      </c>
      <c r="O13" s="186">
        <v>0.51</v>
      </c>
      <c r="P13" s="186">
        <v>0</v>
      </c>
      <c r="Q13" s="185">
        <v>0.46</v>
      </c>
    </row>
    <row r="14" spans="1:17" ht="11.25" x14ac:dyDescent="0.25">
      <c r="A14" s="184">
        <v>11</v>
      </c>
      <c r="B14" s="193" t="s">
        <v>280</v>
      </c>
      <c r="C14" s="192">
        <v>3.0960000000000001</v>
      </c>
      <c r="D14" s="191">
        <v>1</v>
      </c>
      <c r="E14" s="191">
        <v>1</v>
      </c>
      <c r="F14" s="191">
        <v>0</v>
      </c>
      <c r="G14" s="191">
        <v>8</v>
      </c>
      <c r="H14" s="190">
        <v>25</v>
      </c>
      <c r="I14" s="190">
        <v>0</v>
      </c>
      <c r="J14" s="190">
        <v>25</v>
      </c>
      <c r="K14" s="189">
        <v>0.125</v>
      </c>
      <c r="L14" s="188">
        <v>1</v>
      </c>
      <c r="M14" s="188">
        <v>0</v>
      </c>
      <c r="N14" s="187">
        <v>8.07</v>
      </c>
      <c r="O14" s="186">
        <v>0.32</v>
      </c>
      <c r="P14" s="186">
        <v>0</v>
      </c>
      <c r="Q14" s="185">
        <v>0.45</v>
      </c>
    </row>
    <row r="15" spans="1:17" ht="11.25" x14ac:dyDescent="0.25">
      <c r="A15" s="184">
        <v>12</v>
      </c>
      <c r="B15" s="193" t="s">
        <v>291</v>
      </c>
      <c r="C15" s="192">
        <v>4.9790000000000001</v>
      </c>
      <c r="D15" s="191">
        <v>4</v>
      </c>
      <c r="E15" s="191">
        <v>2</v>
      </c>
      <c r="F15" s="191">
        <v>0</v>
      </c>
      <c r="G15" s="191">
        <v>23</v>
      </c>
      <c r="H15" s="190">
        <v>75</v>
      </c>
      <c r="I15" s="190">
        <v>0</v>
      </c>
      <c r="J15" s="190">
        <v>195</v>
      </c>
      <c r="K15" s="189">
        <v>0.1739</v>
      </c>
      <c r="L15" s="188">
        <v>0.5</v>
      </c>
      <c r="M15" s="188">
        <v>0</v>
      </c>
      <c r="N15" s="187">
        <v>15.06</v>
      </c>
      <c r="O15" s="186">
        <v>0.4</v>
      </c>
      <c r="P15" s="186">
        <v>0</v>
      </c>
      <c r="Q15" s="185">
        <v>0.44</v>
      </c>
    </row>
    <row r="16" spans="1:17" ht="11.25" x14ac:dyDescent="0.25">
      <c r="A16" s="184">
        <v>13</v>
      </c>
      <c r="B16" s="193" t="s">
        <v>356</v>
      </c>
      <c r="C16" s="192">
        <v>4.4939999999999998</v>
      </c>
      <c r="D16" s="191">
        <v>1</v>
      </c>
      <c r="E16" s="191">
        <v>1</v>
      </c>
      <c r="F16" s="191">
        <v>0</v>
      </c>
      <c r="G16" s="191">
        <v>16</v>
      </c>
      <c r="H16" s="190">
        <v>50</v>
      </c>
      <c r="I16" s="190">
        <v>0</v>
      </c>
      <c r="J16" s="190">
        <v>50</v>
      </c>
      <c r="K16" s="189">
        <v>6.25E-2</v>
      </c>
      <c r="L16" s="188">
        <v>1</v>
      </c>
      <c r="M16" s="188">
        <v>0</v>
      </c>
      <c r="N16" s="187">
        <v>11.13</v>
      </c>
      <c r="O16" s="186">
        <v>0.22</v>
      </c>
      <c r="P16" s="186">
        <v>0</v>
      </c>
      <c r="Q16" s="185">
        <v>0.44</v>
      </c>
    </row>
    <row r="17" spans="1:17" ht="11.25" x14ac:dyDescent="0.25">
      <c r="A17" s="184">
        <v>14</v>
      </c>
      <c r="B17" s="193" t="s">
        <v>374</v>
      </c>
      <c r="C17" s="192">
        <v>3.1379999999999999</v>
      </c>
      <c r="D17" s="191">
        <v>3</v>
      </c>
      <c r="E17" s="191">
        <v>1</v>
      </c>
      <c r="F17" s="191">
        <v>0</v>
      </c>
      <c r="G17" s="191">
        <v>16</v>
      </c>
      <c r="H17" s="190">
        <v>100</v>
      </c>
      <c r="I17" s="190">
        <v>0</v>
      </c>
      <c r="J17" s="190">
        <v>135</v>
      </c>
      <c r="K17" s="189">
        <v>0.1875</v>
      </c>
      <c r="L17" s="188">
        <v>0.33329999999999999</v>
      </c>
      <c r="M17" s="188">
        <v>0</v>
      </c>
      <c r="N17" s="187">
        <v>31.87</v>
      </c>
      <c r="O17" s="186">
        <v>0.32</v>
      </c>
      <c r="P17" s="186">
        <v>0</v>
      </c>
      <c r="Q17" s="185">
        <v>0.43</v>
      </c>
    </row>
    <row r="18" spans="1:17" ht="11.25" x14ac:dyDescent="0.25">
      <c r="A18" s="184">
        <v>15</v>
      </c>
      <c r="B18" s="193" t="s">
        <v>281</v>
      </c>
      <c r="C18" s="192">
        <v>8.56</v>
      </c>
      <c r="D18" s="191">
        <v>6</v>
      </c>
      <c r="E18" s="191">
        <v>3</v>
      </c>
      <c r="F18" s="191">
        <v>0</v>
      </c>
      <c r="G18" s="191">
        <v>34</v>
      </c>
      <c r="H18" s="190">
        <v>90</v>
      </c>
      <c r="I18" s="190">
        <v>0</v>
      </c>
      <c r="J18" s="190">
        <v>215</v>
      </c>
      <c r="K18" s="189">
        <v>0.17649999999999999</v>
      </c>
      <c r="L18" s="188">
        <v>0.5</v>
      </c>
      <c r="M18" s="188">
        <v>0</v>
      </c>
      <c r="N18" s="187">
        <v>10.51</v>
      </c>
      <c r="O18" s="186">
        <v>0.35</v>
      </c>
      <c r="P18" s="186">
        <v>0</v>
      </c>
      <c r="Q18" s="185">
        <v>0.42</v>
      </c>
    </row>
    <row r="19" spans="1:17" ht="11.25" x14ac:dyDescent="0.25">
      <c r="A19" s="184">
        <v>16</v>
      </c>
      <c r="B19" s="193" t="s">
        <v>405</v>
      </c>
      <c r="C19" s="192">
        <v>7.3810000000000002</v>
      </c>
      <c r="D19" s="191">
        <v>3</v>
      </c>
      <c r="E19" s="191">
        <v>1</v>
      </c>
      <c r="F19" s="191">
        <v>0</v>
      </c>
      <c r="G19" s="191">
        <v>37</v>
      </c>
      <c r="H19" s="190">
        <v>20</v>
      </c>
      <c r="I19" s="190">
        <v>0</v>
      </c>
      <c r="J19" s="190">
        <v>95</v>
      </c>
      <c r="K19" s="189">
        <v>8.1100000000000005E-2</v>
      </c>
      <c r="L19" s="188">
        <v>0.33329999999999999</v>
      </c>
      <c r="M19" s="188">
        <v>0</v>
      </c>
      <c r="N19" s="187">
        <v>2.71</v>
      </c>
      <c r="O19" s="186">
        <v>0.14000000000000001</v>
      </c>
      <c r="P19" s="186">
        <v>0</v>
      </c>
      <c r="Q19" s="185">
        <v>0.33</v>
      </c>
    </row>
    <row r="20" spans="1:17" ht="11.25" x14ac:dyDescent="0.25">
      <c r="A20" s="184">
        <v>17</v>
      </c>
      <c r="B20" s="193" t="s">
        <v>317</v>
      </c>
      <c r="C20" s="192">
        <v>1.139</v>
      </c>
      <c r="D20" s="191">
        <v>1</v>
      </c>
      <c r="E20" s="191">
        <v>0</v>
      </c>
      <c r="F20" s="191">
        <v>0</v>
      </c>
      <c r="G20" s="191">
        <v>1</v>
      </c>
      <c r="H20" s="190">
        <v>0</v>
      </c>
      <c r="I20" s="190">
        <v>0</v>
      </c>
      <c r="J20" s="190">
        <v>50</v>
      </c>
      <c r="K20" s="189">
        <v>1</v>
      </c>
      <c r="L20" s="188">
        <v>0</v>
      </c>
      <c r="M20" s="188">
        <v>0</v>
      </c>
      <c r="N20" s="187">
        <v>0</v>
      </c>
      <c r="O20" s="186">
        <v>0</v>
      </c>
      <c r="P20" s="186">
        <v>0</v>
      </c>
      <c r="Q20" s="185">
        <v>0.22</v>
      </c>
    </row>
    <row r="21" spans="1:17" ht="11.25" x14ac:dyDescent="0.25">
      <c r="A21" s="184">
        <v>18</v>
      </c>
      <c r="B21" s="193" t="s">
        <v>315</v>
      </c>
      <c r="C21" s="192">
        <v>2.194</v>
      </c>
      <c r="D21" s="191">
        <v>3</v>
      </c>
      <c r="E21" s="191">
        <v>0</v>
      </c>
      <c r="F21" s="191">
        <v>0</v>
      </c>
      <c r="G21" s="191">
        <v>11</v>
      </c>
      <c r="H21" s="190">
        <v>0</v>
      </c>
      <c r="I21" s="190">
        <v>0</v>
      </c>
      <c r="J21" s="190">
        <v>165</v>
      </c>
      <c r="K21" s="189">
        <v>0.2727</v>
      </c>
      <c r="L21" s="188">
        <v>0</v>
      </c>
      <c r="M21" s="188">
        <v>0</v>
      </c>
      <c r="N21" s="187">
        <v>0</v>
      </c>
      <c r="O21" s="186">
        <v>0</v>
      </c>
      <c r="P21" s="186">
        <v>0</v>
      </c>
      <c r="Q21" s="185">
        <v>0.17</v>
      </c>
    </row>
    <row r="22" spans="1:17" ht="11.25" x14ac:dyDescent="0.25">
      <c r="A22" s="184">
        <v>19</v>
      </c>
      <c r="B22" s="193" t="s">
        <v>347</v>
      </c>
      <c r="C22" s="192">
        <v>0.83799999999999997</v>
      </c>
      <c r="D22" s="191">
        <v>0</v>
      </c>
      <c r="E22" s="191">
        <v>0</v>
      </c>
      <c r="F22" s="191">
        <v>0</v>
      </c>
      <c r="G22" s="191">
        <v>1</v>
      </c>
      <c r="H22" s="190">
        <v>0</v>
      </c>
      <c r="I22" s="190">
        <v>0</v>
      </c>
      <c r="J22" s="190">
        <v>0</v>
      </c>
      <c r="K22" s="189">
        <v>0</v>
      </c>
      <c r="L22" s="188">
        <v>0</v>
      </c>
      <c r="M22" s="188">
        <v>0</v>
      </c>
      <c r="N22" s="187">
        <v>0</v>
      </c>
      <c r="O22" s="186">
        <v>0</v>
      </c>
      <c r="P22" s="186">
        <v>0</v>
      </c>
      <c r="Q22" s="185">
        <v>0.04</v>
      </c>
    </row>
    <row r="23" spans="1:17" ht="11.25" x14ac:dyDescent="0.25">
      <c r="A23" s="184">
        <v>20</v>
      </c>
      <c r="B23" s="193" t="s">
        <v>321</v>
      </c>
      <c r="C23" s="192">
        <v>0.78500000000000003</v>
      </c>
      <c r="D23" s="191">
        <v>0</v>
      </c>
      <c r="E23" s="191">
        <v>0</v>
      </c>
      <c r="F23" s="191">
        <v>0</v>
      </c>
      <c r="G23" s="191">
        <v>4</v>
      </c>
      <c r="H23" s="190">
        <v>0</v>
      </c>
      <c r="I23" s="190">
        <v>0</v>
      </c>
      <c r="J23" s="190">
        <v>0</v>
      </c>
      <c r="K23" s="189">
        <v>0</v>
      </c>
      <c r="L23" s="188">
        <v>0</v>
      </c>
      <c r="M23" s="188">
        <v>0</v>
      </c>
      <c r="N23" s="187">
        <v>0</v>
      </c>
      <c r="O23" s="186">
        <v>0</v>
      </c>
      <c r="P23" s="186">
        <v>0</v>
      </c>
      <c r="Q23" s="185">
        <v>0.04</v>
      </c>
    </row>
    <row r="24" spans="1:17" ht="11.25" x14ac:dyDescent="0.25">
      <c r="A24" s="184">
        <v>21</v>
      </c>
      <c r="B24" s="193" t="s">
        <v>288</v>
      </c>
      <c r="C24" s="192">
        <v>0.57199999999999995</v>
      </c>
      <c r="D24" s="191">
        <v>0</v>
      </c>
      <c r="E24" s="191">
        <v>0</v>
      </c>
      <c r="F24" s="191">
        <v>0</v>
      </c>
      <c r="G24" s="191">
        <v>0</v>
      </c>
      <c r="H24" s="190">
        <v>0</v>
      </c>
      <c r="I24" s="190">
        <v>0</v>
      </c>
      <c r="J24" s="190">
        <v>0</v>
      </c>
      <c r="K24" s="189">
        <v>0</v>
      </c>
      <c r="L24" s="188">
        <v>0</v>
      </c>
      <c r="M24" s="188">
        <v>0</v>
      </c>
      <c r="N24" s="187">
        <v>0</v>
      </c>
      <c r="O24" s="186">
        <v>0</v>
      </c>
      <c r="P24" s="186">
        <v>0</v>
      </c>
      <c r="Q24" s="185">
        <v>0.04</v>
      </c>
    </row>
    <row r="25" spans="1:17" ht="11.25" x14ac:dyDescent="0.25">
      <c r="A25" s="184">
        <v>22</v>
      </c>
      <c r="B25" s="193" t="s">
        <v>366</v>
      </c>
      <c r="C25" s="192">
        <v>2.798</v>
      </c>
      <c r="D25" s="191">
        <v>0</v>
      </c>
      <c r="E25" s="191">
        <v>0</v>
      </c>
      <c r="F25" s="191">
        <v>0</v>
      </c>
      <c r="G25" s="191">
        <v>5</v>
      </c>
      <c r="H25" s="190">
        <v>0</v>
      </c>
      <c r="I25" s="190">
        <v>0</v>
      </c>
      <c r="J25" s="190">
        <v>0</v>
      </c>
      <c r="K25" s="189">
        <v>0</v>
      </c>
      <c r="L25" s="188">
        <v>0</v>
      </c>
      <c r="M25" s="188">
        <v>0</v>
      </c>
      <c r="N25" s="187">
        <v>0</v>
      </c>
      <c r="O25" s="186">
        <v>0</v>
      </c>
      <c r="P25" s="186">
        <v>0</v>
      </c>
      <c r="Q25" s="185">
        <v>0.04</v>
      </c>
    </row>
    <row r="26" spans="1:17" ht="11.25" x14ac:dyDescent="0.25">
      <c r="A26" s="184">
        <v>23</v>
      </c>
      <c r="B26" s="193" t="s">
        <v>277</v>
      </c>
      <c r="C26" s="192">
        <v>0.438</v>
      </c>
      <c r="D26" s="191">
        <v>0</v>
      </c>
      <c r="E26" s="191">
        <v>0</v>
      </c>
      <c r="F26" s="191">
        <v>0</v>
      </c>
      <c r="G26" s="191">
        <v>1</v>
      </c>
      <c r="H26" s="190">
        <v>0</v>
      </c>
      <c r="I26" s="190">
        <v>0</v>
      </c>
      <c r="J26" s="190">
        <v>0</v>
      </c>
      <c r="K26" s="189">
        <v>0</v>
      </c>
      <c r="L26" s="188">
        <v>0</v>
      </c>
      <c r="M26" s="188">
        <v>0</v>
      </c>
      <c r="N26" s="187">
        <v>0</v>
      </c>
      <c r="O26" s="186">
        <v>0</v>
      </c>
      <c r="P26" s="186">
        <v>0</v>
      </c>
      <c r="Q26" s="185">
        <v>0.04</v>
      </c>
    </row>
    <row r="27" spans="1:17" ht="11.25" x14ac:dyDescent="0.25">
      <c r="A27" s="184">
        <v>24</v>
      </c>
      <c r="B27" s="193" t="s">
        <v>370</v>
      </c>
      <c r="C27" s="192">
        <v>1.087</v>
      </c>
      <c r="D27" s="191">
        <v>0</v>
      </c>
      <c r="E27" s="191">
        <v>0</v>
      </c>
      <c r="F27" s="191">
        <v>0</v>
      </c>
      <c r="G27" s="191">
        <v>5</v>
      </c>
      <c r="H27" s="190">
        <v>0</v>
      </c>
      <c r="I27" s="190">
        <v>0</v>
      </c>
      <c r="J27" s="190">
        <v>0</v>
      </c>
      <c r="K27" s="189">
        <v>0</v>
      </c>
      <c r="L27" s="188">
        <v>0</v>
      </c>
      <c r="M27" s="188">
        <v>0</v>
      </c>
      <c r="N27" s="187">
        <v>0</v>
      </c>
      <c r="O27" s="186">
        <v>0</v>
      </c>
      <c r="P27" s="186">
        <v>0</v>
      </c>
      <c r="Q27" s="185">
        <v>0.04</v>
      </c>
    </row>
    <row r="28" spans="1:17" ht="11.25" x14ac:dyDescent="0.25">
      <c r="A28" s="184">
        <v>25</v>
      </c>
      <c r="B28" s="193" t="s">
        <v>299</v>
      </c>
      <c r="C28" s="192">
        <v>1.431</v>
      </c>
      <c r="D28" s="191">
        <v>0</v>
      </c>
      <c r="E28" s="191">
        <v>0</v>
      </c>
      <c r="F28" s="191">
        <v>0</v>
      </c>
      <c r="G28" s="191">
        <v>9</v>
      </c>
      <c r="H28" s="190">
        <v>0</v>
      </c>
      <c r="I28" s="190">
        <v>0</v>
      </c>
      <c r="J28" s="190">
        <v>0</v>
      </c>
      <c r="K28" s="189">
        <v>0</v>
      </c>
      <c r="L28" s="188">
        <v>0</v>
      </c>
      <c r="M28" s="188">
        <v>0</v>
      </c>
      <c r="N28" s="187">
        <v>0</v>
      </c>
      <c r="O28" s="186">
        <v>0</v>
      </c>
      <c r="P28" s="186">
        <v>0</v>
      </c>
      <c r="Q28" s="185">
        <v>0.04</v>
      </c>
    </row>
    <row r="29" spans="1:17" ht="11.25" x14ac:dyDescent="0.25">
      <c r="A29" s="184">
        <v>26</v>
      </c>
      <c r="B29" s="193" t="s">
        <v>282</v>
      </c>
      <c r="C29" s="192">
        <v>0.878</v>
      </c>
      <c r="D29" s="191">
        <v>0</v>
      </c>
      <c r="E29" s="191">
        <v>0</v>
      </c>
      <c r="F29" s="191">
        <v>0</v>
      </c>
      <c r="G29" s="191">
        <v>2</v>
      </c>
      <c r="H29" s="190">
        <v>0</v>
      </c>
      <c r="I29" s="190">
        <v>0</v>
      </c>
      <c r="J29" s="190">
        <v>0</v>
      </c>
      <c r="K29" s="189">
        <v>0</v>
      </c>
      <c r="L29" s="188">
        <v>0</v>
      </c>
      <c r="M29" s="188">
        <v>0</v>
      </c>
      <c r="N29" s="187">
        <v>0</v>
      </c>
      <c r="O29" s="186">
        <v>0</v>
      </c>
      <c r="P29" s="186">
        <v>0</v>
      </c>
      <c r="Q29" s="185">
        <v>0.04</v>
      </c>
    </row>
    <row r="30" spans="1:17" ht="11.25" x14ac:dyDescent="0.25">
      <c r="A30" s="184">
        <v>27</v>
      </c>
      <c r="B30" s="193" t="s">
        <v>434</v>
      </c>
      <c r="C30" s="192">
        <v>1.425</v>
      </c>
      <c r="D30" s="191">
        <v>0</v>
      </c>
      <c r="E30" s="191">
        <v>0</v>
      </c>
      <c r="F30" s="191">
        <v>0</v>
      </c>
      <c r="G30" s="191">
        <v>4</v>
      </c>
      <c r="H30" s="190">
        <v>0</v>
      </c>
      <c r="I30" s="190">
        <v>0</v>
      </c>
      <c r="J30" s="190">
        <v>0</v>
      </c>
      <c r="K30" s="189">
        <v>0</v>
      </c>
      <c r="L30" s="188">
        <v>0</v>
      </c>
      <c r="M30" s="188">
        <v>0</v>
      </c>
      <c r="N30" s="187">
        <v>0</v>
      </c>
      <c r="O30" s="186">
        <v>0</v>
      </c>
      <c r="P30" s="186">
        <v>0</v>
      </c>
      <c r="Q30" s="185">
        <v>0.04</v>
      </c>
    </row>
    <row r="31" spans="1:17" ht="11.25" x14ac:dyDescent="0.25">
      <c r="A31" s="184" t="s">
        <v>171</v>
      </c>
      <c r="B31" s="183" t="s">
        <v>3</v>
      </c>
      <c r="C31" s="182">
        <v>72.162000000000006</v>
      </c>
      <c r="D31" s="181">
        <v>64</v>
      </c>
      <c r="E31" s="181">
        <v>32</v>
      </c>
      <c r="F31" s="181">
        <v>0</v>
      </c>
      <c r="G31" s="181">
        <v>303</v>
      </c>
      <c r="H31" s="180">
        <v>1595</v>
      </c>
      <c r="I31" s="180">
        <v>0</v>
      </c>
      <c r="J31" s="180">
        <v>2790</v>
      </c>
      <c r="K31" s="179">
        <v>0.2112</v>
      </c>
      <c r="L31" s="178">
        <v>0.5</v>
      </c>
      <c r="M31" s="178">
        <v>0</v>
      </c>
      <c r="N31" s="177">
        <v>22.1</v>
      </c>
      <c r="O31" s="176">
        <v>0.44</v>
      </c>
      <c r="P31" s="176">
        <v>0</v>
      </c>
      <c r="Q31" s="175" t="s">
        <v>171</v>
      </c>
    </row>
    <row r="32" spans="1:17" ht="11.25" x14ac:dyDescent="0.25"/>
    <row r="33" ht="11.25" x14ac:dyDescent="0.25"/>
  </sheetData>
  <mergeCells count="3">
    <mergeCell ref="F1:L1"/>
    <mergeCell ref="A2:A3"/>
    <mergeCell ref="B2:B3"/>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rgb="FFFF0000"/>
  </sheetPr>
  <dimension ref="A1:Q72"/>
  <sheetViews>
    <sheetView topLeftCell="A58" workbookViewId="0">
      <selection sqref="A1:Q22"/>
    </sheetView>
  </sheetViews>
  <sheetFormatPr defaultRowHeight="15" x14ac:dyDescent="0.25"/>
  <sheetData>
    <row r="1" spans="1:17" x14ac:dyDescent="0.25">
      <c r="A1" s="93"/>
      <c r="B1" s="94"/>
      <c r="C1" s="93"/>
      <c r="D1" s="93"/>
      <c r="E1" s="93"/>
      <c r="F1" s="610"/>
      <c r="G1" s="610"/>
      <c r="H1" s="610"/>
      <c r="I1" s="610"/>
      <c r="J1" s="610"/>
      <c r="K1" s="610"/>
      <c r="L1" s="610"/>
      <c r="M1" s="93"/>
      <c r="N1" s="93"/>
      <c r="O1" s="93"/>
      <c r="P1" s="93"/>
      <c r="Q1" s="93"/>
    </row>
    <row r="2" spans="1:17" x14ac:dyDescent="0.25">
      <c r="A2" s="606" t="s">
        <v>172</v>
      </c>
      <c r="B2" s="608" t="s">
        <v>7</v>
      </c>
      <c r="C2" s="199" t="s">
        <v>173</v>
      </c>
      <c r="D2" s="198" t="s">
        <v>3</v>
      </c>
      <c r="E2" s="198" t="s">
        <v>176</v>
      </c>
      <c r="F2" s="198" t="s">
        <v>166</v>
      </c>
      <c r="G2" s="198" t="s">
        <v>8</v>
      </c>
      <c r="H2" s="198" t="s">
        <v>176</v>
      </c>
      <c r="I2" s="198" t="s">
        <v>166</v>
      </c>
      <c r="J2" s="198" t="s">
        <v>3</v>
      </c>
      <c r="K2" s="198" t="s">
        <v>21</v>
      </c>
      <c r="L2" s="198" t="s">
        <v>164</v>
      </c>
      <c r="M2" s="198" t="s">
        <v>166</v>
      </c>
      <c r="N2" s="198" t="s">
        <v>164</v>
      </c>
      <c r="O2" s="198" t="s">
        <v>164</v>
      </c>
      <c r="P2" s="198" t="s">
        <v>166</v>
      </c>
      <c r="Q2" s="197" t="s">
        <v>169</v>
      </c>
    </row>
    <row r="3" spans="1:17" x14ac:dyDescent="0.25">
      <c r="A3" s="607"/>
      <c r="B3" s="609"/>
      <c r="C3" s="196" t="s">
        <v>174</v>
      </c>
      <c r="D3" s="195" t="s">
        <v>175</v>
      </c>
      <c r="E3" s="195" t="s">
        <v>175</v>
      </c>
      <c r="F3" s="195" t="s">
        <v>175</v>
      </c>
      <c r="G3" s="195" t="s">
        <v>12</v>
      </c>
      <c r="H3" s="195" t="s">
        <v>9</v>
      </c>
      <c r="I3" s="195" t="s">
        <v>9</v>
      </c>
      <c r="J3" s="195" t="s">
        <v>9</v>
      </c>
      <c r="K3" s="195" t="s">
        <v>13</v>
      </c>
      <c r="L3" s="195" t="s">
        <v>165</v>
      </c>
      <c r="M3" s="195" t="s">
        <v>165</v>
      </c>
      <c r="N3" s="195" t="s">
        <v>167</v>
      </c>
      <c r="O3" s="195" t="s">
        <v>168</v>
      </c>
      <c r="P3" s="195" t="s">
        <v>168</v>
      </c>
      <c r="Q3" s="194" t="s">
        <v>170</v>
      </c>
    </row>
    <row r="4" spans="1:17" x14ac:dyDescent="0.25">
      <c r="A4" s="184">
        <v>1</v>
      </c>
      <c r="B4" s="193" t="s">
        <v>403</v>
      </c>
      <c r="C4" s="192">
        <v>2.9140000000000001</v>
      </c>
      <c r="D4" s="191">
        <v>2</v>
      </c>
      <c r="E4" s="191">
        <v>0</v>
      </c>
      <c r="F4" s="191">
        <v>2</v>
      </c>
      <c r="G4" s="191">
        <v>11</v>
      </c>
      <c r="H4" s="190">
        <v>0</v>
      </c>
      <c r="I4" s="190">
        <v>240</v>
      </c>
      <c r="J4" s="190">
        <v>240</v>
      </c>
      <c r="K4" s="189">
        <v>0.18179999999999999</v>
      </c>
      <c r="L4" s="188">
        <v>1</v>
      </c>
      <c r="M4" s="188">
        <v>1</v>
      </c>
      <c r="N4" s="187">
        <v>82.36</v>
      </c>
      <c r="O4" s="186">
        <v>0.69</v>
      </c>
      <c r="P4" s="186">
        <v>0.69</v>
      </c>
      <c r="Q4" s="185">
        <v>0.79</v>
      </c>
    </row>
    <row r="5" spans="1:17" x14ac:dyDescent="0.25">
      <c r="A5" s="184">
        <v>2</v>
      </c>
      <c r="B5" s="193" t="s">
        <v>434</v>
      </c>
      <c r="C5" s="192">
        <v>6.7460000000000004</v>
      </c>
      <c r="D5" s="191">
        <v>8</v>
      </c>
      <c r="E5" s="191">
        <v>4</v>
      </c>
      <c r="F5" s="191">
        <v>1</v>
      </c>
      <c r="G5" s="191">
        <v>18</v>
      </c>
      <c r="H5" s="190">
        <v>90</v>
      </c>
      <c r="I5" s="190">
        <v>120</v>
      </c>
      <c r="J5" s="190">
        <v>385</v>
      </c>
      <c r="K5" s="189">
        <v>0.44440000000000002</v>
      </c>
      <c r="L5" s="188">
        <v>0.625</v>
      </c>
      <c r="M5" s="188">
        <v>0.25</v>
      </c>
      <c r="N5" s="187">
        <v>31.13</v>
      </c>
      <c r="O5" s="186">
        <v>0.74</v>
      </c>
      <c r="P5" s="186">
        <v>0.15</v>
      </c>
      <c r="Q5" s="185">
        <v>0.78</v>
      </c>
    </row>
    <row r="6" spans="1:17" x14ac:dyDescent="0.25">
      <c r="A6" s="184">
        <v>3</v>
      </c>
      <c r="B6" s="193" t="s">
        <v>291</v>
      </c>
      <c r="C6" s="192">
        <v>2.129</v>
      </c>
      <c r="D6" s="191">
        <v>2</v>
      </c>
      <c r="E6" s="191">
        <v>0</v>
      </c>
      <c r="F6" s="191">
        <v>1</v>
      </c>
      <c r="G6" s="191">
        <v>6</v>
      </c>
      <c r="H6" s="190">
        <v>0</v>
      </c>
      <c r="I6" s="190">
        <v>120</v>
      </c>
      <c r="J6" s="190">
        <v>140</v>
      </c>
      <c r="K6" s="189">
        <v>0.33329999999999999</v>
      </c>
      <c r="L6" s="188">
        <v>0.5</v>
      </c>
      <c r="M6" s="188">
        <v>0.5</v>
      </c>
      <c r="N6" s="187">
        <v>56.36</v>
      </c>
      <c r="O6" s="186">
        <v>0.47</v>
      </c>
      <c r="P6" s="186">
        <v>0.47</v>
      </c>
      <c r="Q6" s="185">
        <v>0.75</v>
      </c>
    </row>
    <row r="7" spans="1:17" x14ac:dyDescent="0.25">
      <c r="A7" s="184">
        <v>4</v>
      </c>
      <c r="B7" s="193" t="s">
        <v>332</v>
      </c>
      <c r="C7" s="192">
        <v>6.46</v>
      </c>
      <c r="D7" s="191">
        <v>3</v>
      </c>
      <c r="E7" s="191">
        <v>2</v>
      </c>
      <c r="F7" s="191">
        <v>1</v>
      </c>
      <c r="G7" s="191">
        <v>19</v>
      </c>
      <c r="H7" s="190">
        <v>125</v>
      </c>
      <c r="I7" s="190">
        <v>240</v>
      </c>
      <c r="J7" s="190">
        <v>365</v>
      </c>
      <c r="K7" s="189">
        <v>0.15790000000000001</v>
      </c>
      <c r="L7" s="188">
        <v>1</v>
      </c>
      <c r="M7" s="188">
        <v>1</v>
      </c>
      <c r="N7" s="187">
        <v>56.5</v>
      </c>
      <c r="O7" s="186">
        <v>0.46</v>
      </c>
      <c r="P7" s="186">
        <v>0.15</v>
      </c>
      <c r="Q7" s="185">
        <v>0.73</v>
      </c>
    </row>
    <row r="8" spans="1:17" x14ac:dyDescent="0.25">
      <c r="A8" s="184">
        <v>5</v>
      </c>
      <c r="B8" s="193" t="s">
        <v>435</v>
      </c>
      <c r="C8" s="192">
        <v>7.4870000000000001</v>
      </c>
      <c r="D8" s="191">
        <v>4</v>
      </c>
      <c r="E8" s="191">
        <v>3</v>
      </c>
      <c r="F8" s="191">
        <v>1</v>
      </c>
      <c r="G8" s="191">
        <v>30</v>
      </c>
      <c r="H8" s="190">
        <v>45</v>
      </c>
      <c r="I8" s="190">
        <v>360</v>
      </c>
      <c r="J8" s="190">
        <v>405</v>
      </c>
      <c r="K8" s="189">
        <v>0.1333</v>
      </c>
      <c r="L8" s="188">
        <v>1</v>
      </c>
      <c r="M8" s="188">
        <v>1</v>
      </c>
      <c r="N8" s="187">
        <v>54.09</v>
      </c>
      <c r="O8" s="186">
        <v>0.53</v>
      </c>
      <c r="P8" s="186">
        <v>0.13</v>
      </c>
      <c r="Q8" s="185">
        <v>0.73</v>
      </c>
    </row>
    <row r="9" spans="1:17" x14ac:dyDescent="0.25">
      <c r="A9" s="184">
        <v>6</v>
      </c>
      <c r="B9" s="193" t="s">
        <v>315</v>
      </c>
      <c r="C9" s="192">
        <v>6.2450000000000001</v>
      </c>
      <c r="D9" s="191">
        <v>3</v>
      </c>
      <c r="E9" s="191">
        <v>2</v>
      </c>
      <c r="F9" s="191">
        <v>1</v>
      </c>
      <c r="G9" s="191">
        <v>23</v>
      </c>
      <c r="H9" s="190">
        <v>110</v>
      </c>
      <c r="I9" s="190">
        <v>120</v>
      </c>
      <c r="J9" s="190">
        <v>230</v>
      </c>
      <c r="K9" s="189">
        <v>0.13039999999999999</v>
      </c>
      <c r="L9" s="188">
        <v>1</v>
      </c>
      <c r="M9" s="188">
        <v>1</v>
      </c>
      <c r="N9" s="187">
        <v>36.83</v>
      </c>
      <c r="O9" s="186">
        <v>0.48</v>
      </c>
      <c r="P9" s="186">
        <v>0.16</v>
      </c>
      <c r="Q9" s="185">
        <v>0.7</v>
      </c>
    </row>
    <row r="10" spans="1:17" x14ac:dyDescent="0.25">
      <c r="A10" s="184">
        <v>7</v>
      </c>
      <c r="B10" s="193" t="s">
        <v>322</v>
      </c>
      <c r="C10" s="192">
        <v>0.41199999999999998</v>
      </c>
      <c r="D10" s="191">
        <v>1</v>
      </c>
      <c r="E10" s="191">
        <v>1</v>
      </c>
      <c r="F10" s="191">
        <v>0</v>
      </c>
      <c r="G10" s="191">
        <v>1</v>
      </c>
      <c r="H10" s="190">
        <v>20</v>
      </c>
      <c r="I10" s="190">
        <v>0</v>
      </c>
      <c r="J10" s="190">
        <v>20</v>
      </c>
      <c r="K10" s="189">
        <v>1</v>
      </c>
      <c r="L10" s="188">
        <v>1</v>
      </c>
      <c r="M10" s="188">
        <v>0</v>
      </c>
      <c r="N10" s="187">
        <v>48.54</v>
      </c>
      <c r="O10" s="186">
        <v>2.4300000000000002</v>
      </c>
      <c r="P10" s="186">
        <v>0</v>
      </c>
      <c r="Q10" s="185">
        <v>0.64</v>
      </c>
    </row>
    <row r="11" spans="1:17" x14ac:dyDescent="0.25">
      <c r="A11" s="184">
        <v>8</v>
      </c>
      <c r="B11" s="193" t="s">
        <v>390</v>
      </c>
      <c r="C11" s="192">
        <v>8.6829999999999998</v>
      </c>
      <c r="D11" s="191">
        <v>4</v>
      </c>
      <c r="E11" s="191">
        <v>2</v>
      </c>
      <c r="F11" s="191">
        <v>1</v>
      </c>
      <c r="G11" s="191">
        <v>40</v>
      </c>
      <c r="H11" s="190">
        <v>200</v>
      </c>
      <c r="I11" s="190">
        <v>60</v>
      </c>
      <c r="J11" s="190">
        <v>310</v>
      </c>
      <c r="K11" s="189">
        <v>0.1</v>
      </c>
      <c r="L11" s="188">
        <v>0.75</v>
      </c>
      <c r="M11" s="188">
        <v>0.5</v>
      </c>
      <c r="N11" s="187">
        <v>29.94</v>
      </c>
      <c r="O11" s="186">
        <v>0.35</v>
      </c>
      <c r="P11" s="186">
        <v>0.12</v>
      </c>
      <c r="Q11" s="185">
        <v>0.63</v>
      </c>
    </row>
    <row r="12" spans="1:17" x14ac:dyDescent="0.25">
      <c r="A12" s="184">
        <v>9</v>
      </c>
      <c r="B12" s="193" t="s">
        <v>430</v>
      </c>
      <c r="C12" s="192">
        <v>6.899</v>
      </c>
      <c r="D12" s="191">
        <v>10</v>
      </c>
      <c r="E12" s="191">
        <v>9</v>
      </c>
      <c r="F12" s="191">
        <v>0</v>
      </c>
      <c r="G12" s="191">
        <v>20</v>
      </c>
      <c r="H12" s="190">
        <v>305</v>
      </c>
      <c r="I12" s="190">
        <v>0</v>
      </c>
      <c r="J12" s="190">
        <v>355</v>
      </c>
      <c r="K12" s="189">
        <v>0.5</v>
      </c>
      <c r="L12" s="188">
        <v>0.9</v>
      </c>
      <c r="M12" s="188">
        <v>0</v>
      </c>
      <c r="N12" s="187">
        <v>44.21</v>
      </c>
      <c r="O12" s="186">
        <v>1.3</v>
      </c>
      <c r="P12" s="186">
        <v>0</v>
      </c>
      <c r="Q12" s="185">
        <v>0.62</v>
      </c>
    </row>
    <row r="13" spans="1:17" x14ac:dyDescent="0.25">
      <c r="A13" s="184">
        <v>10</v>
      </c>
      <c r="B13" s="193" t="s">
        <v>274</v>
      </c>
      <c r="C13" s="192">
        <v>0.59099999999999997</v>
      </c>
      <c r="D13" s="191">
        <v>1</v>
      </c>
      <c r="E13" s="191">
        <v>1</v>
      </c>
      <c r="F13" s="191">
        <v>0</v>
      </c>
      <c r="G13" s="191">
        <v>2</v>
      </c>
      <c r="H13" s="190">
        <v>20</v>
      </c>
      <c r="I13" s="190">
        <v>0</v>
      </c>
      <c r="J13" s="190">
        <v>20</v>
      </c>
      <c r="K13" s="189">
        <v>0.5</v>
      </c>
      <c r="L13" s="188">
        <v>1</v>
      </c>
      <c r="M13" s="188">
        <v>0</v>
      </c>
      <c r="N13" s="187">
        <v>33.840000000000003</v>
      </c>
      <c r="O13" s="186">
        <v>1.69</v>
      </c>
      <c r="P13" s="186">
        <v>0</v>
      </c>
      <c r="Q13" s="185">
        <v>0.62</v>
      </c>
    </row>
    <row r="14" spans="1:17" x14ac:dyDescent="0.25">
      <c r="A14" s="184">
        <v>11</v>
      </c>
      <c r="B14" s="193" t="s">
        <v>400</v>
      </c>
      <c r="C14" s="192">
        <v>0.53800000000000003</v>
      </c>
      <c r="D14" s="191">
        <v>1</v>
      </c>
      <c r="E14" s="191">
        <v>1</v>
      </c>
      <c r="F14" s="191">
        <v>0</v>
      </c>
      <c r="G14" s="191">
        <v>1</v>
      </c>
      <c r="H14" s="190">
        <v>10</v>
      </c>
      <c r="I14" s="190">
        <v>0</v>
      </c>
      <c r="J14" s="190">
        <v>10</v>
      </c>
      <c r="K14" s="189">
        <v>1</v>
      </c>
      <c r="L14" s="188">
        <v>1</v>
      </c>
      <c r="M14" s="188">
        <v>0</v>
      </c>
      <c r="N14" s="187">
        <v>18.59</v>
      </c>
      <c r="O14" s="186">
        <v>1.86</v>
      </c>
      <c r="P14" s="186">
        <v>0</v>
      </c>
      <c r="Q14" s="185">
        <v>0.6</v>
      </c>
    </row>
    <row r="15" spans="1:17" x14ac:dyDescent="0.25">
      <c r="A15" s="184">
        <v>12</v>
      </c>
      <c r="B15" s="193" t="s">
        <v>405</v>
      </c>
      <c r="C15" s="192">
        <v>3.7370000000000001</v>
      </c>
      <c r="D15" s="191">
        <v>3</v>
      </c>
      <c r="E15" s="191">
        <v>3</v>
      </c>
      <c r="F15" s="191">
        <v>0</v>
      </c>
      <c r="G15" s="191">
        <v>11</v>
      </c>
      <c r="H15" s="190">
        <v>250</v>
      </c>
      <c r="I15" s="190">
        <v>0</v>
      </c>
      <c r="J15" s="190">
        <v>250</v>
      </c>
      <c r="K15" s="189">
        <v>0.2727</v>
      </c>
      <c r="L15" s="188">
        <v>1</v>
      </c>
      <c r="M15" s="188">
        <v>0</v>
      </c>
      <c r="N15" s="187">
        <v>66.900000000000006</v>
      </c>
      <c r="O15" s="186">
        <v>0.8</v>
      </c>
      <c r="P15" s="186">
        <v>0</v>
      </c>
      <c r="Q15" s="185">
        <v>0.6</v>
      </c>
    </row>
    <row r="16" spans="1:17" x14ac:dyDescent="0.25">
      <c r="A16" s="184">
        <v>13</v>
      </c>
      <c r="B16" s="193" t="s">
        <v>359</v>
      </c>
      <c r="C16" s="192">
        <v>3.5230000000000001</v>
      </c>
      <c r="D16" s="191">
        <v>3</v>
      </c>
      <c r="E16" s="191">
        <v>3</v>
      </c>
      <c r="F16" s="191">
        <v>0</v>
      </c>
      <c r="G16" s="191">
        <v>12</v>
      </c>
      <c r="H16" s="190">
        <v>175</v>
      </c>
      <c r="I16" s="190">
        <v>0</v>
      </c>
      <c r="J16" s="190">
        <v>175</v>
      </c>
      <c r="K16" s="189">
        <v>0.25</v>
      </c>
      <c r="L16" s="188">
        <v>1</v>
      </c>
      <c r="M16" s="188">
        <v>0</v>
      </c>
      <c r="N16" s="187">
        <v>49.67</v>
      </c>
      <c r="O16" s="186">
        <v>0.85</v>
      </c>
      <c r="P16" s="186">
        <v>0</v>
      </c>
      <c r="Q16" s="185">
        <v>0.59</v>
      </c>
    </row>
    <row r="17" spans="1:17" x14ac:dyDescent="0.25">
      <c r="A17" s="184">
        <v>14</v>
      </c>
      <c r="B17" s="193" t="s">
        <v>295</v>
      </c>
      <c r="C17" s="192">
        <v>0.85899999999999999</v>
      </c>
      <c r="D17" s="191">
        <v>1</v>
      </c>
      <c r="E17" s="191">
        <v>1</v>
      </c>
      <c r="F17" s="191">
        <v>0</v>
      </c>
      <c r="G17" s="191">
        <v>3</v>
      </c>
      <c r="H17" s="190">
        <v>20</v>
      </c>
      <c r="I17" s="190">
        <v>0</v>
      </c>
      <c r="J17" s="190">
        <v>20</v>
      </c>
      <c r="K17" s="189">
        <v>0.33329999999999999</v>
      </c>
      <c r="L17" s="188">
        <v>1</v>
      </c>
      <c r="M17" s="188">
        <v>0</v>
      </c>
      <c r="N17" s="187">
        <v>23.28</v>
      </c>
      <c r="O17" s="186">
        <v>1.1599999999999999</v>
      </c>
      <c r="P17" s="186">
        <v>0</v>
      </c>
      <c r="Q17" s="185">
        <v>0.56999999999999995</v>
      </c>
    </row>
    <row r="18" spans="1:17" x14ac:dyDescent="0.25">
      <c r="A18" s="184">
        <v>15</v>
      </c>
      <c r="B18" s="193" t="s">
        <v>277</v>
      </c>
      <c r="C18" s="192">
        <v>5.0979999999999999</v>
      </c>
      <c r="D18" s="191">
        <v>5</v>
      </c>
      <c r="E18" s="191">
        <v>4</v>
      </c>
      <c r="F18" s="191">
        <v>0</v>
      </c>
      <c r="G18" s="191">
        <v>12</v>
      </c>
      <c r="H18" s="190">
        <v>125</v>
      </c>
      <c r="I18" s="190">
        <v>0</v>
      </c>
      <c r="J18" s="190">
        <v>155</v>
      </c>
      <c r="K18" s="189">
        <v>0.41670000000000001</v>
      </c>
      <c r="L18" s="188">
        <v>0.8</v>
      </c>
      <c r="M18" s="188">
        <v>0</v>
      </c>
      <c r="N18" s="187">
        <v>24.52</v>
      </c>
      <c r="O18" s="186">
        <v>0.78</v>
      </c>
      <c r="P18" s="186">
        <v>0</v>
      </c>
      <c r="Q18" s="185">
        <v>0.56999999999999995</v>
      </c>
    </row>
    <row r="19" spans="1:17" x14ac:dyDescent="0.25">
      <c r="A19" s="184">
        <v>16</v>
      </c>
      <c r="B19" s="193" t="s">
        <v>341</v>
      </c>
      <c r="C19" s="192">
        <v>2.7029999999999998</v>
      </c>
      <c r="D19" s="191">
        <v>1</v>
      </c>
      <c r="E19" s="191">
        <v>1</v>
      </c>
      <c r="F19" s="191">
        <v>0</v>
      </c>
      <c r="G19" s="191">
        <v>1</v>
      </c>
      <c r="H19" s="190">
        <v>100</v>
      </c>
      <c r="I19" s="190">
        <v>0</v>
      </c>
      <c r="J19" s="190">
        <v>100</v>
      </c>
      <c r="K19" s="189">
        <v>1</v>
      </c>
      <c r="L19" s="188">
        <v>1</v>
      </c>
      <c r="M19" s="188">
        <v>0</v>
      </c>
      <c r="N19" s="187">
        <v>37</v>
      </c>
      <c r="O19" s="186">
        <v>0.37</v>
      </c>
      <c r="P19" s="186">
        <v>0</v>
      </c>
      <c r="Q19" s="185">
        <v>0.55000000000000004</v>
      </c>
    </row>
    <row r="20" spans="1:17" x14ac:dyDescent="0.25">
      <c r="A20" s="184">
        <v>17</v>
      </c>
      <c r="B20" s="193" t="s">
        <v>398</v>
      </c>
      <c r="C20" s="192">
        <v>3.4980000000000002</v>
      </c>
      <c r="D20" s="191">
        <v>3</v>
      </c>
      <c r="E20" s="191">
        <v>2</v>
      </c>
      <c r="F20" s="191">
        <v>0</v>
      </c>
      <c r="G20" s="191">
        <v>10</v>
      </c>
      <c r="H20" s="190">
        <v>90</v>
      </c>
      <c r="I20" s="190">
        <v>0</v>
      </c>
      <c r="J20" s="190">
        <v>140</v>
      </c>
      <c r="K20" s="189">
        <v>0.3</v>
      </c>
      <c r="L20" s="188">
        <v>0.66669999999999996</v>
      </c>
      <c r="M20" s="188">
        <v>0</v>
      </c>
      <c r="N20" s="187">
        <v>25.73</v>
      </c>
      <c r="O20" s="186">
        <v>0.56999999999999995</v>
      </c>
      <c r="P20" s="186">
        <v>0</v>
      </c>
      <c r="Q20" s="185">
        <v>0.53</v>
      </c>
    </row>
    <row r="21" spans="1:17" x14ac:dyDescent="0.25">
      <c r="A21" s="184">
        <v>18</v>
      </c>
      <c r="B21" s="193" t="s">
        <v>272</v>
      </c>
      <c r="C21" s="192">
        <v>10.253</v>
      </c>
      <c r="D21" s="191">
        <v>10</v>
      </c>
      <c r="E21" s="191">
        <v>8</v>
      </c>
      <c r="F21" s="191">
        <v>0</v>
      </c>
      <c r="G21" s="191">
        <v>48</v>
      </c>
      <c r="H21" s="190">
        <v>130</v>
      </c>
      <c r="I21" s="190">
        <v>0</v>
      </c>
      <c r="J21" s="190">
        <v>195</v>
      </c>
      <c r="K21" s="189">
        <v>0.20830000000000001</v>
      </c>
      <c r="L21" s="188">
        <v>0.8</v>
      </c>
      <c r="M21" s="188">
        <v>0</v>
      </c>
      <c r="N21" s="187">
        <v>12.68</v>
      </c>
      <c r="O21" s="186">
        <v>0.78</v>
      </c>
      <c r="P21" s="186">
        <v>0</v>
      </c>
      <c r="Q21" s="185">
        <v>0.53</v>
      </c>
    </row>
    <row r="22" spans="1:17" x14ac:dyDescent="0.25">
      <c r="A22" s="184">
        <v>19</v>
      </c>
      <c r="B22" s="193" t="s">
        <v>308</v>
      </c>
      <c r="C22" s="192">
        <v>1.84</v>
      </c>
      <c r="D22" s="191">
        <v>1</v>
      </c>
      <c r="E22" s="191">
        <v>1</v>
      </c>
      <c r="F22" s="191">
        <v>0</v>
      </c>
      <c r="G22" s="191">
        <v>2</v>
      </c>
      <c r="H22" s="190">
        <v>10</v>
      </c>
      <c r="I22" s="190">
        <v>0</v>
      </c>
      <c r="J22" s="190">
        <v>10</v>
      </c>
      <c r="K22" s="189">
        <v>0.5</v>
      </c>
      <c r="L22" s="188">
        <v>1</v>
      </c>
      <c r="M22" s="188">
        <v>0</v>
      </c>
      <c r="N22" s="187">
        <v>5.43</v>
      </c>
      <c r="O22" s="186">
        <v>0.54</v>
      </c>
      <c r="P22" s="186">
        <v>0</v>
      </c>
      <c r="Q22" s="185">
        <v>0.53</v>
      </c>
    </row>
    <row r="23" spans="1:17" x14ac:dyDescent="0.25">
      <c r="A23" s="184">
        <v>20</v>
      </c>
      <c r="B23" s="193" t="s">
        <v>301</v>
      </c>
      <c r="C23" s="192">
        <v>2.3919999999999999</v>
      </c>
      <c r="D23" s="191">
        <v>1</v>
      </c>
      <c r="E23" s="191">
        <v>1</v>
      </c>
      <c r="F23" s="191">
        <v>0</v>
      </c>
      <c r="G23" s="191">
        <v>5</v>
      </c>
      <c r="H23" s="190">
        <v>100</v>
      </c>
      <c r="I23" s="190">
        <v>0</v>
      </c>
      <c r="J23" s="190">
        <v>100</v>
      </c>
      <c r="K23" s="189">
        <v>0.2</v>
      </c>
      <c r="L23" s="188">
        <v>1</v>
      </c>
      <c r="M23" s="188">
        <v>0</v>
      </c>
      <c r="N23" s="187">
        <v>41.81</v>
      </c>
      <c r="O23" s="186">
        <v>0.42</v>
      </c>
      <c r="P23" s="186">
        <v>0</v>
      </c>
      <c r="Q23" s="185">
        <v>0.51</v>
      </c>
    </row>
    <row r="24" spans="1:17" x14ac:dyDescent="0.25">
      <c r="A24" s="184">
        <v>21</v>
      </c>
      <c r="B24" s="193" t="s">
        <v>299</v>
      </c>
      <c r="C24" s="192">
        <v>4.8559999999999999</v>
      </c>
      <c r="D24" s="191">
        <v>4</v>
      </c>
      <c r="E24" s="191">
        <v>3</v>
      </c>
      <c r="F24" s="191">
        <v>0</v>
      </c>
      <c r="G24" s="191">
        <v>20</v>
      </c>
      <c r="H24" s="190">
        <v>105</v>
      </c>
      <c r="I24" s="190">
        <v>0</v>
      </c>
      <c r="J24" s="190">
        <v>125</v>
      </c>
      <c r="K24" s="189">
        <v>0.2</v>
      </c>
      <c r="L24" s="188">
        <v>0.75</v>
      </c>
      <c r="M24" s="188">
        <v>0</v>
      </c>
      <c r="N24" s="187">
        <v>21.62</v>
      </c>
      <c r="O24" s="186">
        <v>0.62</v>
      </c>
      <c r="P24" s="186">
        <v>0</v>
      </c>
      <c r="Q24" s="185">
        <v>0.51</v>
      </c>
    </row>
    <row r="25" spans="1:17" x14ac:dyDescent="0.25">
      <c r="A25" s="184">
        <v>22</v>
      </c>
      <c r="B25" s="193" t="s">
        <v>357</v>
      </c>
      <c r="C25" s="192">
        <v>5.4509999999999996</v>
      </c>
      <c r="D25" s="191">
        <v>6</v>
      </c>
      <c r="E25" s="191">
        <v>3</v>
      </c>
      <c r="F25" s="191">
        <v>0</v>
      </c>
      <c r="G25" s="191">
        <v>19</v>
      </c>
      <c r="H25" s="190">
        <v>80</v>
      </c>
      <c r="I25" s="190">
        <v>0</v>
      </c>
      <c r="J25" s="190">
        <v>95</v>
      </c>
      <c r="K25" s="189">
        <v>0.31580000000000003</v>
      </c>
      <c r="L25" s="188">
        <v>0.5</v>
      </c>
      <c r="M25" s="188">
        <v>0</v>
      </c>
      <c r="N25" s="187">
        <v>14.68</v>
      </c>
      <c r="O25" s="186">
        <v>0.55000000000000004</v>
      </c>
      <c r="P25" s="186">
        <v>0</v>
      </c>
      <c r="Q25" s="185">
        <v>0.5</v>
      </c>
    </row>
    <row r="26" spans="1:17" x14ac:dyDescent="0.25">
      <c r="A26" s="184">
        <v>23</v>
      </c>
      <c r="B26" s="193" t="s">
        <v>363</v>
      </c>
      <c r="C26" s="192">
        <v>1.5489999999999999</v>
      </c>
      <c r="D26" s="191">
        <v>1</v>
      </c>
      <c r="E26" s="191">
        <v>1</v>
      </c>
      <c r="F26" s="191">
        <v>0</v>
      </c>
      <c r="G26" s="191">
        <v>5</v>
      </c>
      <c r="H26" s="190">
        <v>10</v>
      </c>
      <c r="I26" s="190">
        <v>0</v>
      </c>
      <c r="J26" s="190">
        <v>10</v>
      </c>
      <c r="K26" s="189">
        <v>0.2</v>
      </c>
      <c r="L26" s="188">
        <v>1</v>
      </c>
      <c r="M26" s="188">
        <v>0</v>
      </c>
      <c r="N26" s="187">
        <v>6.46</v>
      </c>
      <c r="O26" s="186">
        <v>0.65</v>
      </c>
      <c r="P26" s="186">
        <v>0</v>
      </c>
      <c r="Q26" s="185">
        <v>0.5</v>
      </c>
    </row>
    <row r="27" spans="1:17" x14ac:dyDescent="0.25">
      <c r="A27" s="184">
        <v>24</v>
      </c>
      <c r="B27" s="193" t="s">
        <v>318</v>
      </c>
      <c r="C27" s="192">
        <v>4.9260000000000002</v>
      </c>
      <c r="D27" s="191">
        <v>2</v>
      </c>
      <c r="E27" s="191">
        <v>2</v>
      </c>
      <c r="F27" s="191">
        <v>0</v>
      </c>
      <c r="G27" s="191">
        <v>6</v>
      </c>
      <c r="H27" s="190">
        <v>20</v>
      </c>
      <c r="I27" s="190">
        <v>0</v>
      </c>
      <c r="J27" s="190">
        <v>20</v>
      </c>
      <c r="K27" s="189">
        <v>0.33329999999999999</v>
      </c>
      <c r="L27" s="188">
        <v>1</v>
      </c>
      <c r="M27" s="188">
        <v>0</v>
      </c>
      <c r="N27" s="187">
        <v>4.0599999999999996</v>
      </c>
      <c r="O27" s="186">
        <v>0.41</v>
      </c>
      <c r="P27" s="186">
        <v>0</v>
      </c>
      <c r="Q27" s="185">
        <v>0.47</v>
      </c>
    </row>
    <row r="28" spans="1:17" x14ac:dyDescent="0.25">
      <c r="A28" s="184">
        <v>25</v>
      </c>
      <c r="B28" s="193" t="s">
        <v>330</v>
      </c>
      <c r="C28" s="192">
        <v>4.08</v>
      </c>
      <c r="D28" s="191">
        <v>2</v>
      </c>
      <c r="E28" s="191">
        <v>2</v>
      </c>
      <c r="F28" s="191">
        <v>0</v>
      </c>
      <c r="G28" s="191">
        <v>10</v>
      </c>
      <c r="H28" s="190">
        <v>10</v>
      </c>
      <c r="I28" s="190">
        <v>0</v>
      </c>
      <c r="J28" s="190">
        <v>10</v>
      </c>
      <c r="K28" s="189">
        <v>0.2</v>
      </c>
      <c r="L28" s="188">
        <v>1</v>
      </c>
      <c r="M28" s="188">
        <v>0</v>
      </c>
      <c r="N28" s="187">
        <v>2.4500000000000002</v>
      </c>
      <c r="O28" s="186">
        <v>0.49</v>
      </c>
      <c r="P28" s="186">
        <v>0</v>
      </c>
      <c r="Q28" s="185">
        <v>0.46</v>
      </c>
    </row>
    <row r="29" spans="1:17" x14ac:dyDescent="0.25">
      <c r="A29" s="184">
        <v>26</v>
      </c>
      <c r="B29" s="193" t="s">
        <v>369</v>
      </c>
      <c r="C29" s="192">
        <v>4.7309999999999999</v>
      </c>
      <c r="D29" s="191">
        <v>2</v>
      </c>
      <c r="E29" s="191">
        <v>2</v>
      </c>
      <c r="F29" s="191">
        <v>0</v>
      </c>
      <c r="G29" s="191">
        <v>16</v>
      </c>
      <c r="H29" s="190">
        <v>125</v>
      </c>
      <c r="I29" s="190">
        <v>0</v>
      </c>
      <c r="J29" s="190">
        <v>125</v>
      </c>
      <c r="K29" s="189">
        <v>0.125</v>
      </c>
      <c r="L29" s="188">
        <v>1</v>
      </c>
      <c r="M29" s="188">
        <v>0</v>
      </c>
      <c r="N29" s="187">
        <v>26.42</v>
      </c>
      <c r="O29" s="186">
        <v>0.42</v>
      </c>
      <c r="P29" s="186">
        <v>0</v>
      </c>
      <c r="Q29" s="185">
        <v>0.45</v>
      </c>
    </row>
    <row r="30" spans="1:17" x14ac:dyDescent="0.25">
      <c r="A30" s="184">
        <v>27</v>
      </c>
      <c r="B30" s="193" t="s">
        <v>409</v>
      </c>
      <c r="C30" s="192">
        <v>5.7930000000000001</v>
      </c>
      <c r="D30" s="191">
        <v>3</v>
      </c>
      <c r="E30" s="191">
        <v>3</v>
      </c>
      <c r="F30" s="191">
        <v>0</v>
      </c>
      <c r="G30" s="191">
        <v>23</v>
      </c>
      <c r="H30" s="190">
        <v>55.18</v>
      </c>
      <c r="I30" s="190">
        <v>0</v>
      </c>
      <c r="J30" s="190">
        <v>55.18</v>
      </c>
      <c r="K30" s="189">
        <v>0.13039999999999999</v>
      </c>
      <c r="L30" s="188">
        <v>1</v>
      </c>
      <c r="M30" s="188">
        <v>0</v>
      </c>
      <c r="N30" s="187">
        <v>9.5299999999999994</v>
      </c>
      <c r="O30" s="186">
        <v>0.52</v>
      </c>
      <c r="P30" s="186">
        <v>0</v>
      </c>
      <c r="Q30" s="185">
        <v>0.45</v>
      </c>
    </row>
    <row r="31" spans="1:17" x14ac:dyDescent="0.25">
      <c r="A31" s="184">
        <v>28</v>
      </c>
      <c r="B31" s="193" t="s">
        <v>279</v>
      </c>
      <c r="C31" s="192">
        <v>4.8550000000000004</v>
      </c>
      <c r="D31" s="191">
        <v>4</v>
      </c>
      <c r="E31" s="191">
        <v>1</v>
      </c>
      <c r="F31" s="191">
        <v>0</v>
      </c>
      <c r="G31" s="191">
        <v>11</v>
      </c>
      <c r="H31" s="190">
        <v>100</v>
      </c>
      <c r="I31" s="190">
        <v>0</v>
      </c>
      <c r="J31" s="190">
        <v>255</v>
      </c>
      <c r="K31" s="189">
        <v>0.36359999999999998</v>
      </c>
      <c r="L31" s="188">
        <v>0.25</v>
      </c>
      <c r="M31" s="188">
        <v>0</v>
      </c>
      <c r="N31" s="187">
        <v>20.6</v>
      </c>
      <c r="O31" s="186">
        <v>0.21</v>
      </c>
      <c r="P31" s="186">
        <v>0</v>
      </c>
      <c r="Q31" s="185">
        <v>0.44</v>
      </c>
    </row>
    <row r="32" spans="1:17" x14ac:dyDescent="0.25">
      <c r="A32" s="184">
        <v>29</v>
      </c>
      <c r="B32" s="193" t="s">
        <v>282</v>
      </c>
      <c r="C32" s="192">
        <v>1.946</v>
      </c>
      <c r="D32" s="191">
        <v>1</v>
      </c>
      <c r="E32" s="191">
        <v>1</v>
      </c>
      <c r="F32" s="191">
        <v>0</v>
      </c>
      <c r="G32" s="191">
        <v>6</v>
      </c>
      <c r="H32" s="190">
        <v>5</v>
      </c>
      <c r="I32" s="190">
        <v>0</v>
      </c>
      <c r="J32" s="190">
        <v>5</v>
      </c>
      <c r="K32" s="189">
        <v>0.16669999999999999</v>
      </c>
      <c r="L32" s="188">
        <v>1</v>
      </c>
      <c r="M32" s="188">
        <v>0</v>
      </c>
      <c r="N32" s="187">
        <v>2.57</v>
      </c>
      <c r="O32" s="186">
        <v>0.51</v>
      </c>
      <c r="P32" s="186">
        <v>0</v>
      </c>
      <c r="Q32" s="185">
        <v>0.44</v>
      </c>
    </row>
    <row r="33" spans="1:17" x14ac:dyDescent="0.25">
      <c r="A33" s="184">
        <v>30</v>
      </c>
      <c r="B33" s="193" t="s">
        <v>375</v>
      </c>
      <c r="C33" s="192">
        <v>14.042999999999999</v>
      </c>
      <c r="D33" s="191">
        <v>4</v>
      </c>
      <c r="E33" s="191">
        <v>4</v>
      </c>
      <c r="F33" s="191">
        <v>0</v>
      </c>
      <c r="G33" s="191">
        <v>23</v>
      </c>
      <c r="H33" s="190">
        <v>235</v>
      </c>
      <c r="I33" s="190">
        <v>0</v>
      </c>
      <c r="J33" s="190">
        <v>235</v>
      </c>
      <c r="K33" s="189">
        <v>0.1739</v>
      </c>
      <c r="L33" s="188">
        <v>1</v>
      </c>
      <c r="M33" s="188">
        <v>0</v>
      </c>
      <c r="N33" s="187">
        <v>16.73</v>
      </c>
      <c r="O33" s="186">
        <v>0.28000000000000003</v>
      </c>
      <c r="P33" s="186">
        <v>0</v>
      </c>
      <c r="Q33" s="185">
        <v>0.43</v>
      </c>
    </row>
    <row r="34" spans="1:17" x14ac:dyDescent="0.25">
      <c r="A34" s="184">
        <v>31</v>
      </c>
      <c r="B34" s="193" t="s">
        <v>305</v>
      </c>
      <c r="C34" s="192">
        <v>5.7089999999999996</v>
      </c>
      <c r="D34" s="191">
        <v>2</v>
      </c>
      <c r="E34" s="191">
        <v>2</v>
      </c>
      <c r="F34" s="191">
        <v>0</v>
      </c>
      <c r="G34" s="191">
        <v>12</v>
      </c>
      <c r="H34" s="190">
        <v>50</v>
      </c>
      <c r="I34" s="190">
        <v>0</v>
      </c>
      <c r="J34" s="190">
        <v>50</v>
      </c>
      <c r="K34" s="189">
        <v>0.16669999999999999</v>
      </c>
      <c r="L34" s="188">
        <v>1</v>
      </c>
      <c r="M34" s="188">
        <v>0</v>
      </c>
      <c r="N34" s="187">
        <v>8.76</v>
      </c>
      <c r="O34" s="186">
        <v>0.35</v>
      </c>
      <c r="P34" s="186">
        <v>0</v>
      </c>
      <c r="Q34" s="185">
        <v>0.42</v>
      </c>
    </row>
    <row r="35" spans="1:17" x14ac:dyDescent="0.25">
      <c r="A35" s="184">
        <v>32</v>
      </c>
      <c r="B35" s="193" t="s">
        <v>281</v>
      </c>
      <c r="C35" s="192">
        <v>6.4240000000000004</v>
      </c>
      <c r="D35" s="191">
        <v>2</v>
      </c>
      <c r="E35" s="191">
        <v>2</v>
      </c>
      <c r="F35" s="191">
        <v>0</v>
      </c>
      <c r="G35" s="191">
        <v>21</v>
      </c>
      <c r="H35" s="190">
        <v>175</v>
      </c>
      <c r="I35" s="190">
        <v>0</v>
      </c>
      <c r="J35" s="190">
        <v>175</v>
      </c>
      <c r="K35" s="189">
        <v>9.5200000000000007E-2</v>
      </c>
      <c r="L35" s="188">
        <v>1</v>
      </c>
      <c r="M35" s="188">
        <v>0</v>
      </c>
      <c r="N35" s="187">
        <v>27.24</v>
      </c>
      <c r="O35" s="186">
        <v>0.31</v>
      </c>
      <c r="P35" s="186">
        <v>0</v>
      </c>
      <c r="Q35" s="185">
        <v>0.42</v>
      </c>
    </row>
    <row r="36" spans="1:17" x14ac:dyDescent="0.25">
      <c r="A36" s="184">
        <v>33</v>
      </c>
      <c r="B36" s="193" t="s">
        <v>317</v>
      </c>
      <c r="C36" s="192">
        <v>5.2839999999999998</v>
      </c>
      <c r="D36" s="191">
        <v>3</v>
      </c>
      <c r="E36" s="191">
        <v>2</v>
      </c>
      <c r="F36" s="191">
        <v>0</v>
      </c>
      <c r="G36" s="191">
        <v>16</v>
      </c>
      <c r="H36" s="190">
        <v>20</v>
      </c>
      <c r="I36" s="190">
        <v>0</v>
      </c>
      <c r="J36" s="190">
        <v>25</v>
      </c>
      <c r="K36" s="189">
        <v>0.1875</v>
      </c>
      <c r="L36" s="188">
        <v>0.66669999999999996</v>
      </c>
      <c r="M36" s="188">
        <v>0</v>
      </c>
      <c r="N36" s="187">
        <v>3.79</v>
      </c>
      <c r="O36" s="186">
        <v>0.38</v>
      </c>
      <c r="P36" s="186">
        <v>0</v>
      </c>
      <c r="Q36" s="185">
        <v>0.41</v>
      </c>
    </row>
    <row r="37" spans="1:17" x14ac:dyDescent="0.25">
      <c r="A37" s="184">
        <v>34</v>
      </c>
      <c r="B37" s="193" t="s">
        <v>280</v>
      </c>
      <c r="C37" s="192">
        <v>5.32</v>
      </c>
      <c r="D37" s="191">
        <v>2</v>
      </c>
      <c r="E37" s="191">
        <v>2</v>
      </c>
      <c r="F37" s="191">
        <v>0</v>
      </c>
      <c r="G37" s="191">
        <v>13</v>
      </c>
      <c r="H37" s="190">
        <v>10</v>
      </c>
      <c r="I37" s="190">
        <v>0</v>
      </c>
      <c r="J37" s="190">
        <v>10</v>
      </c>
      <c r="K37" s="189">
        <v>0.15379999999999999</v>
      </c>
      <c r="L37" s="188">
        <v>1</v>
      </c>
      <c r="M37" s="188">
        <v>0</v>
      </c>
      <c r="N37" s="187">
        <v>1.88</v>
      </c>
      <c r="O37" s="186">
        <v>0.38</v>
      </c>
      <c r="P37" s="186">
        <v>0</v>
      </c>
      <c r="Q37" s="185">
        <v>0.4</v>
      </c>
    </row>
    <row r="38" spans="1:17" x14ac:dyDescent="0.25">
      <c r="A38" s="184">
        <v>35</v>
      </c>
      <c r="B38" s="193" t="s">
        <v>336</v>
      </c>
      <c r="C38" s="192">
        <v>2.5630000000000002</v>
      </c>
      <c r="D38" s="191">
        <v>1</v>
      </c>
      <c r="E38" s="191">
        <v>1</v>
      </c>
      <c r="F38" s="191">
        <v>0</v>
      </c>
      <c r="G38" s="191">
        <v>14</v>
      </c>
      <c r="H38" s="190">
        <v>25</v>
      </c>
      <c r="I38" s="190">
        <v>0</v>
      </c>
      <c r="J38" s="190">
        <v>25</v>
      </c>
      <c r="K38" s="189">
        <v>7.1400000000000005E-2</v>
      </c>
      <c r="L38" s="188">
        <v>1</v>
      </c>
      <c r="M38" s="188">
        <v>0</v>
      </c>
      <c r="N38" s="187">
        <v>9.75</v>
      </c>
      <c r="O38" s="186">
        <v>0.39</v>
      </c>
      <c r="P38" s="186">
        <v>0</v>
      </c>
      <c r="Q38" s="185">
        <v>0.39</v>
      </c>
    </row>
    <row r="39" spans="1:17" x14ac:dyDescent="0.25">
      <c r="A39" s="184">
        <v>36</v>
      </c>
      <c r="B39" s="193" t="s">
        <v>371</v>
      </c>
      <c r="C39" s="192">
        <v>5.1130000000000004</v>
      </c>
      <c r="D39" s="191">
        <v>2</v>
      </c>
      <c r="E39" s="191">
        <v>2</v>
      </c>
      <c r="F39" s="191">
        <v>0</v>
      </c>
      <c r="G39" s="191">
        <v>22</v>
      </c>
      <c r="H39" s="190">
        <v>10</v>
      </c>
      <c r="I39" s="190">
        <v>0</v>
      </c>
      <c r="J39" s="190">
        <v>10</v>
      </c>
      <c r="K39" s="189">
        <v>9.0899999999999995E-2</v>
      </c>
      <c r="L39" s="188">
        <v>1</v>
      </c>
      <c r="M39" s="188">
        <v>0</v>
      </c>
      <c r="N39" s="187">
        <v>1.96</v>
      </c>
      <c r="O39" s="186">
        <v>0.39</v>
      </c>
      <c r="P39" s="186">
        <v>0</v>
      </c>
      <c r="Q39" s="185">
        <v>0.37</v>
      </c>
    </row>
    <row r="40" spans="1:17" x14ac:dyDescent="0.25">
      <c r="A40" s="184">
        <v>37</v>
      </c>
      <c r="B40" s="193" t="s">
        <v>360</v>
      </c>
      <c r="C40" s="192">
        <v>6.6589999999999998</v>
      </c>
      <c r="D40" s="191">
        <v>2</v>
      </c>
      <c r="E40" s="191">
        <v>2</v>
      </c>
      <c r="F40" s="191">
        <v>0</v>
      </c>
      <c r="G40" s="191">
        <v>24</v>
      </c>
      <c r="H40" s="190">
        <v>45</v>
      </c>
      <c r="I40" s="190">
        <v>0</v>
      </c>
      <c r="J40" s="190">
        <v>45</v>
      </c>
      <c r="K40" s="189">
        <v>8.3299999999999999E-2</v>
      </c>
      <c r="L40" s="188">
        <v>1</v>
      </c>
      <c r="M40" s="188">
        <v>0</v>
      </c>
      <c r="N40" s="187">
        <v>6.76</v>
      </c>
      <c r="O40" s="186">
        <v>0.3</v>
      </c>
      <c r="P40" s="186">
        <v>0</v>
      </c>
      <c r="Q40" s="185">
        <v>0.36</v>
      </c>
    </row>
    <row r="41" spans="1:17" x14ac:dyDescent="0.25">
      <c r="A41" s="184">
        <v>38</v>
      </c>
      <c r="B41" s="193" t="s">
        <v>379</v>
      </c>
      <c r="C41" s="192">
        <v>3.3570000000000002</v>
      </c>
      <c r="D41" s="191">
        <v>1</v>
      </c>
      <c r="E41" s="191">
        <v>1</v>
      </c>
      <c r="F41" s="191">
        <v>0</v>
      </c>
      <c r="G41" s="191">
        <v>8</v>
      </c>
      <c r="H41" s="190">
        <v>5</v>
      </c>
      <c r="I41" s="190">
        <v>0</v>
      </c>
      <c r="J41" s="190">
        <v>5</v>
      </c>
      <c r="K41" s="189">
        <v>0.125</v>
      </c>
      <c r="L41" s="188">
        <v>1</v>
      </c>
      <c r="M41" s="188">
        <v>0</v>
      </c>
      <c r="N41" s="187">
        <v>1.49</v>
      </c>
      <c r="O41" s="186">
        <v>0.3</v>
      </c>
      <c r="P41" s="186">
        <v>0</v>
      </c>
      <c r="Q41" s="185">
        <v>0.36</v>
      </c>
    </row>
    <row r="42" spans="1:17" x14ac:dyDescent="0.25">
      <c r="A42" s="184">
        <v>39</v>
      </c>
      <c r="B42" s="193" t="s">
        <v>365</v>
      </c>
      <c r="C42" s="192">
        <v>4.4610000000000003</v>
      </c>
      <c r="D42" s="191">
        <v>1</v>
      </c>
      <c r="E42" s="191">
        <v>1</v>
      </c>
      <c r="F42" s="191">
        <v>0</v>
      </c>
      <c r="G42" s="191">
        <v>26</v>
      </c>
      <c r="H42" s="190">
        <v>50</v>
      </c>
      <c r="I42" s="190">
        <v>0</v>
      </c>
      <c r="J42" s="190">
        <v>50</v>
      </c>
      <c r="K42" s="189">
        <v>3.85E-2</v>
      </c>
      <c r="L42" s="188">
        <v>1</v>
      </c>
      <c r="M42" s="188">
        <v>0</v>
      </c>
      <c r="N42" s="187">
        <v>11.21</v>
      </c>
      <c r="O42" s="186">
        <v>0.22</v>
      </c>
      <c r="P42" s="186">
        <v>0</v>
      </c>
      <c r="Q42" s="185">
        <v>0.35</v>
      </c>
    </row>
    <row r="43" spans="1:17" x14ac:dyDescent="0.25">
      <c r="A43" s="184">
        <v>40</v>
      </c>
      <c r="B43" s="193" t="s">
        <v>325</v>
      </c>
      <c r="C43" s="192">
        <v>6.55</v>
      </c>
      <c r="D43" s="191">
        <v>1</v>
      </c>
      <c r="E43" s="191">
        <v>1</v>
      </c>
      <c r="F43" s="191">
        <v>0</v>
      </c>
      <c r="G43" s="191">
        <v>20</v>
      </c>
      <c r="H43" s="190">
        <v>50</v>
      </c>
      <c r="I43" s="190">
        <v>0</v>
      </c>
      <c r="J43" s="190">
        <v>50</v>
      </c>
      <c r="K43" s="189">
        <v>0.05</v>
      </c>
      <c r="L43" s="188">
        <v>1</v>
      </c>
      <c r="M43" s="188">
        <v>0</v>
      </c>
      <c r="N43" s="187">
        <v>7.63</v>
      </c>
      <c r="O43" s="186">
        <v>0.15</v>
      </c>
      <c r="P43" s="186">
        <v>0</v>
      </c>
      <c r="Q43" s="185">
        <v>0.34</v>
      </c>
    </row>
    <row r="44" spans="1:17" x14ac:dyDescent="0.25">
      <c r="A44" s="184">
        <v>41</v>
      </c>
      <c r="B44" s="193" t="s">
        <v>269</v>
      </c>
      <c r="C44" s="192">
        <v>3.9950000000000001</v>
      </c>
      <c r="D44" s="191">
        <v>2</v>
      </c>
      <c r="E44" s="191">
        <v>1</v>
      </c>
      <c r="F44" s="191">
        <v>0</v>
      </c>
      <c r="G44" s="191">
        <v>12</v>
      </c>
      <c r="H44" s="190">
        <v>5</v>
      </c>
      <c r="I44" s="190">
        <v>0</v>
      </c>
      <c r="J44" s="190">
        <v>30</v>
      </c>
      <c r="K44" s="189">
        <v>0.16669999999999999</v>
      </c>
      <c r="L44" s="188">
        <v>0.5</v>
      </c>
      <c r="M44" s="188">
        <v>0</v>
      </c>
      <c r="N44" s="187">
        <v>1.25</v>
      </c>
      <c r="O44" s="186">
        <v>0.25</v>
      </c>
      <c r="P44" s="186">
        <v>0</v>
      </c>
      <c r="Q44" s="185">
        <v>0.34</v>
      </c>
    </row>
    <row r="45" spans="1:17" x14ac:dyDescent="0.25">
      <c r="A45" s="184">
        <v>42</v>
      </c>
      <c r="B45" s="193" t="s">
        <v>397</v>
      </c>
      <c r="C45" s="192">
        <v>6.02</v>
      </c>
      <c r="D45" s="191">
        <v>1</v>
      </c>
      <c r="E45" s="191">
        <v>1</v>
      </c>
      <c r="F45" s="191">
        <v>0</v>
      </c>
      <c r="G45" s="191">
        <v>8</v>
      </c>
      <c r="H45" s="190">
        <v>5</v>
      </c>
      <c r="I45" s="190">
        <v>0</v>
      </c>
      <c r="J45" s="190">
        <v>5</v>
      </c>
      <c r="K45" s="189">
        <v>0.125</v>
      </c>
      <c r="L45" s="188">
        <v>1</v>
      </c>
      <c r="M45" s="188">
        <v>0</v>
      </c>
      <c r="N45" s="187">
        <v>0.83</v>
      </c>
      <c r="O45" s="186">
        <v>0.17</v>
      </c>
      <c r="P45" s="186">
        <v>0</v>
      </c>
      <c r="Q45" s="185">
        <v>0.33</v>
      </c>
    </row>
    <row r="46" spans="1:17" x14ac:dyDescent="0.25">
      <c r="A46" s="184">
        <v>43</v>
      </c>
      <c r="B46" s="193" t="s">
        <v>420</v>
      </c>
      <c r="C46" s="192">
        <v>7.1509999999999998</v>
      </c>
      <c r="D46" s="191">
        <v>1</v>
      </c>
      <c r="E46" s="191">
        <v>1</v>
      </c>
      <c r="F46" s="191">
        <v>0</v>
      </c>
      <c r="G46" s="191">
        <v>31</v>
      </c>
      <c r="H46" s="190">
        <v>50</v>
      </c>
      <c r="I46" s="190">
        <v>0</v>
      </c>
      <c r="J46" s="190">
        <v>50</v>
      </c>
      <c r="K46" s="189">
        <v>3.2300000000000002E-2</v>
      </c>
      <c r="L46" s="188">
        <v>1</v>
      </c>
      <c r="M46" s="188">
        <v>0</v>
      </c>
      <c r="N46" s="187">
        <v>6.99</v>
      </c>
      <c r="O46" s="186">
        <v>0.14000000000000001</v>
      </c>
      <c r="P46" s="186">
        <v>0</v>
      </c>
      <c r="Q46" s="185">
        <v>0.32</v>
      </c>
    </row>
    <row r="47" spans="1:17" x14ac:dyDescent="0.25">
      <c r="A47" s="184">
        <v>44</v>
      </c>
      <c r="B47" s="193" t="s">
        <v>286</v>
      </c>
      <c r="C47" s="192">
        <v>5.8319999999999999</v>
      </c>
      <c r="D47" s="191">
        <v>2</v>
      </c>
      <c r="E47" s="191">
        <v>1</v>
      </c>
      <c r="F47" s="191">
        <v>0</v>
      </c>
      <c r="G47" s="191">
        <v>21</v>
      </c>
      <c r="H47" s="190">
        <v>25</v>
      </c>
      <c r="I47" s="190">
        <v>0</v>
      </c>
      <c r="J47" s="190">
        <v>50</v>
      </c>
      <c r="K47" s="189">
        <v>9.5200000000000007E-2</v>
      </c>
      <c r="L47" s="188">
        <v>0.5</v>
      </c>
      <c r="M47" s="188">
        <v>0</v>
      </c>
      <c r="N47" s="187">
        <v>4.29</v>
      </c>
      <c r="O47" s="186">
        <v>0.17</v>
      </c>
      <c r="P47" s="186">
        <v>0</v>
      </c>
      <c r="Q47" s="185">
        <v>0.31</v>
      </c>
    </row>
    <row r="48" spans="1:17" x14ac:dyDescent="0.25">
      <c r="A48" s="184">
        <v>45</v>
      </c>
      <c r="B48" s="193" t="s">
        <v>366</v>
      </c>
      <c r="C48" s="192">
        <v>11.224</v>
      </c>
      <c r="D48" s="191">
        <v>5</v>
      </c>
      <c r="E48" s="191">
        <v>1</v>
      </c>
      <c r="F48" s="191">
        <v>0</v>
      </c>
      <c r="G48" s="191">
        <v>34</v>
      </c>
      <c r="H48" s="190">
        <v>5</v>
      </c>
      <c r="I48" s="190">
        <v>0</v>
      </c>
      <c r="J48" s="190">
        <v>75</v>
      </c>
      <c r="K48" s="189">
        <v>0.14710000000000001</v>
      </c>
      <c r="L48" s="188">
        <v>0.2</v>
      </c>
      <c r="M48" s="188">
        <v>0</v>
      </c>
      <c r="N48" s="187">
        <v>0.45</v>
      </c>
      <c r="O48" s="186">
        <v>0.09</v>
      </c>
      <c r="P48" s="186">
        <v>0</v>
      </c>
      <c r="Q48" s="185">
        <v>0.28999999999999998</v>
      </c>
    </row>
    <row r="49" spans="1:17" x14ac:dyDescent="0.25">
      <c r="A49" s="184">
        <v>46</v>
      </c>
      <c r="B49" s="193" t="s">
        <v>374</v>
      </c>
      <c r="C49" s="192">
        <v>7.968</v>
      </c>
      <c r="D49" s="191">
        <v>1</v>
      </c>
      <c r="E49" s="191">
        <v>1</v>
      </c>
      <c r="F49" s="191">
        <v>0</v>
      </c>
      <c r="G49" s="191">
        <v>30</v>
      </c>
      <c r="H49" s="190">
        <v>5</v>
      </c>
      <c r="I49" s="190">
        <v>0</v>
      </c>
      <c r="J49" s="190">
        <v>5</v>
      </c>
      <c r="K49" s="189">
        <v>3.3300000000000003E-2</v>
      </c>
      <c r="L49" s="188">
        <v>1</v>
      </c>
      <c r="M49" s="188">
        <v>0</v>
      </c>
      <c r="N49" s="187">
        <v>0.63</v>
      </c>
      <c r="O49" s="186">
        <v>0.13</v>
      </c>
      <c r="P49" s="186">
        <v>0</v>
      </c>
      <c r="Q49" s="185">
        <v>0.28999999999999998</v>
      </c>
    </row>
    <row r="50" spans="1:17" x14ac:dyDescent="0.25">
      <c r="A50" s="184">
        <v>47</v>
      </c>
      <c r="B50" s="193" t="s">
        <v>356</v>
      </c>
      <c r="C50" s="192">
        <v>2.2320000000000002</v>
      </c>
      <c r="D50" s="191">
        <v>2</v>
      </c>
      <c r="E50" s="191">
        <v>0</v>
      </c>
      <c r="F50" s="191">
        <v>0</v>
      </c>
      <c r="G50" s="191">
        <v>6</v>
      </c>
      <c r="H50" s="190">
        <v>0</v>
      </c>
      <c r="I50" s="190">
        <v>0</v>
      </c>
      <c r="J50" s="190">
        <v>60</v>
      </c>
      <c r="K50" s="189">
        <v>0.33329999999999999</v>
      </c>
      <c r="L50" s="188">
        <v>0</v>
      </c>
      <c r="M50" s="188">
        <v>0</v>
      </c>
      <c r="N50" s="187">
        <v>0</v>
      </c>
      <c r="O50" s="186">
        <v>0</v>
      </c>
      <c r="P50" s="186">
        <v>0</v>
      </c>
      <c r="Q50" s="185">
        <v>0.17</v>
      </c>
    </row>
    <row r="51" spans="1:17" x14ac:dyDescent="0.25">
      <c r="A51" s="184">
        <v>48</v>
      </c>
      <c r="B51" s="193" t="s">
        <v>271</v>
      </c>
      <c r="C51" s="192">
        <v>7.1269999999999998</v>
      </c>
      <c r="D51" s="191">
        <v>4</v>
      </c>
      <c r="E51" s="191">
        <v>0</v>
      </c>
      <c r="F51" s="191">
        <v>0</v>
      </c>
      <c r="G51" s="191">
        <v>23</v>
      </c>
      <c r="H51" s="190">
        <v>0</v>
      </c>
      <c r="I51" s="190">
        <v>0</v>
      </c>
      <c r="J51" s="190">
        <v>420</v>
      </c>
      <c r="K51" s="189">
        <v>0.1739</v>
      </c>
      <c r="L51" s="188">
        <v>0</v>
      </c>
      <c r="M51" s="188">
        <v>0</v>
      </c>
      <c r="N51" s="187">
        <v>0</v>
      </c>
      <c r="O51" s="186">
        <v>0</v>
      </c>
      <c r="P51" s="186">
        <v>0</v>
      </c>
      <c r="Q51" s="185">
        <v>0.14000000000000001</v>
      </c>
    </row>
    <row r="52" spans="1:17" x14ac:dyDescent="0.25">
      <c r="A52" s="184">
        <v>49</v>
      </c>
      <c r="B52" s="193" t="s">
        <v>373</v>
      </c>
      <c r="C52" s="192">
        <v>2.4710000000000001</v>
      </c>
      <c r="D52" s="191">
        <v>1</v>
      </c>
      <c r="E52" s="191">
        <v>0</v>
      </c>
      <c r="F52" s="191">
        <v>0</v>
      </c>
      <c r="G52" s="191">
        <v>6</v>
      </c>
      <c r="H52" s="190">
        <v>0</v>
      </c>
      <c r="I52" s="190">
        <v>0</v>
      </c>
      <c r="J52" s="190">
        <v>30</v>
      </c>
      <c r="K52" s="189">
        <v>0.16669999999999999</v>
      </c>
      <c r="L52" s="188">
        <v>0</v>
      </c>
      <c r="M52" s="188">
        <v>0</v>
      </c>
      <c r="N52" s="187">
        <v>0</v>
      </c>
      <c r="O52" s="186">
        <v>0</v>
      </c>
      <c r="P52" s="186">
        <v>0</v>
      </c>
      <c r="Q52" s="185">
        <v>0.12</v>
      </c>
    </row>
    <row r="53" spans="1:17" x14ac:dyDescent="0.25">
      <c r="A53" s="184">
        <v>50</v>
      </c>
      <c r="B53" s="193" t="s">
        <v>326</v>
      </c>
      <c r="C53" s="192">
        <v>5.7590000000000003</v>
      </c>
      <c r="D53" s="191">
        <v>1</v>
      </c>
      <c r="E53" s="191">
        <v>0</v>
      </c>
      <c r="F53" s="191">
        <v>0</v>
      </c>
      <c r="G53" s="191">
        <v>14</v>
      </c>
      <c r="H53" s="190">
        <v>0</v>
      </c>
      <c r="I53" s="190">
        <v>0</v>
      </c>
      <c r="J53" s="190">
        <v>5</v>
      </c>
      <c r="K53" s="189">
        <v>7.1400000000000005E-2</v>
      </c>
      <c r="L53" s="188">
        <v>0</v>
      </c>
      <c r="M53" s="188">
        <v>0</v>
      </c>
      <c r="N53" s="187">
        <v>0</v>
      </c>
      <c r="O53" s="186">
        <v>0</v>
      </c>
      <c r="P53" s="186">
        <v>0</v>
      </c>
      <c r="Q53" s="185">
        <v>0.08</v>
      </c>
    </row>
    <row r="54" spans="1:17" x14ac:dyDescent="0.25">
      <c r="A54" s="184">
        <v>51</v>
      </c>
      <c r="B54" s="193" t="s">
        <v>389</v>
      </c>
      <c r="C54" s="192">
        <v>3.9169999999999998</v>
      </c>
      <c r="D54" s="191">
        <v>1</v>
      </c>
      <c r="E54" s="191">
        <v>0</v>
      </c>
      <c r="F54" s="191">
        <v>0</v>
      </c>
      <c r="G54" s="191">
        <v>19</v>
      </c>
      <c r="H54" s="190">
        <v>0</v>
      </c>
      <c r="I54" s="190">
        <v>0</v>
      </c>
      <c r="J54" s="190">
        <v>10</v>
      </c>
      <c r="K54" s="189">
        <v>5.2600000000000001E-2</v>
      </c>
      <c r="L54" s="188">
        <v>0</v>
      </c>
      <c r="M54" s="188">
        <v>0</v>
      </c>
      <c r="N54" s="187">
        <v>0</v>
      </c>
      <c r="O54" s="186">
        <v>0</v>
      </c>
      <c r="P54" s="186">
        <v>0</v>
      </c>
      <c r="Q54" s="185">
        <v>7.0000000000000007E-2</v>
      </c>
    </row>
    <row r="55" spans="1:17" x14ac:dyDescent="0.25">
      <c r="A55" s="184">
        <v>52</v>
      </c>
      <c r="B55" s="193" t="s">
        <v>351</v>
      </c>
      <c r="C55" s="192">
        <v>2.2919999999999998</v>
      </c>
      <c r="D55" s="191">
        <v>0</v>
      </c>
      <c r="E55" s="191">
        <v>0</v>
      </c>
      <c r="F55" s="191">
        <v>0</v>
      </c>
      <c r="G55" s="191">
        <v>6</v>
      </c>
      <c r="H55" s="190">
        <v>0</v>
      </c>
      <c r="I55" s="190">
        <v>0</v>
      </c>
      <c r="J55" s="190">
        <v>0</v>
      </c>
      <c r="K55" s="189">
        <v>0</v>
      </c>
      <c r="L55" s="188">
        <v>0</v>
      </c>
      <c r="M55" s="188">
        <v>0</v>
      </c>
      <c r="N55" s="187">
        <v>0</v>
      </c>
      <c r="O55" s="186">
        <v>0</v>
      </c>
      <c r="P55" s="186">
        <v>0</v>
      </c>
      <c r="Q55" s="185">
        <v>0.01</v>
      </c>
    </row>
    <row r="56" spans="1:17" x14ac:dyDescent="0.25">
      <c r="A56" s="184">
        <v>53</v>
      </c>
      <c r="B56" s="193" t="s">
        <v>385</v>
      </c>
      <c r="C56" s="192">
        <v>8.1319999999999997</v>
      </c>
      <c r="D56" s="191">
        <v>0</v>
      </c>
      <c r="E56" s="191">
        <v>0</v>
      </c>
      <c r="F56" s="191">
        <v>0</v>
      </c>
      <c r="G56" s="191">
        <v>15</v>
      </c>
      <c r="H56" s="190">
        <v>0</v>
      </c>
      <c r="I56" s="190">
        <v>0</v>
      </c>
      <c r="J56" s="190">
        <v>0</v>
      </c>
      <c r="K56" s="189">
        <v>0</v>
      </c>
      <c r="L56" s="188">
        <v>0</v>
      </c>
      <c r="M56" s="188">
        <v>0</v>
      </c>
      <c r="N56" s="187">
        <v>0</v>
      </c>
      <c r="O56" s="186">
        <v>0</v>
      </c>
      <c r="P56" s="186">
        <v>0</v>
      </c>
      <c r="Q56" s="185">
        <v>0.01</v>
      </c>
    </row>
    <row r="57" spans="1:17" x14ac:dyDescent="0.25">
      <c r="A57" s="184">
        <v>54</v>
      </c>
      <c r="B57" s="193" t="s">
        <v>401</v>
      </c>
      <c r="C57" s="192">
        <v>2.6059999999999999</v>
      </c>
      <c r="D57" s="191">
        <v>0</v>
      </c>
      <c r="E57" s="191">
        <v>0</v>
      </c>
      <c r="F57" s="191">
        <v>0</v>
      </c>
      <c r="G57" s="191">
        <v>9</v>
      </c>
      <c r="H57" s="190">
        <v>0</v>
      </c>
      <c r="I57" s="190">
        <v>0</v>
      </c>
      <c r="J57" s="190">
        <v>0</v>
      </c>
      <c r="K57" s="189">
        <v>0</v>
      </c>
      <c r="L57" s="188">
        <v>0</v>
      </c>
      <c r="M57" s="188">
        <v>0</v>
      </c>
      <c r="N57" s="187">
        <v>0</v>
      </c>
      <c r="O57" s="186">
        <v>0</v>
      </c>
      <c r="P57" s="186">
        <v>0</v>
      </c>
      <c r="Q57" s="185">
        <v>0.01</v>
      </c>
    </row>
    <row r="58" spans="1:17" x14ac:dyDescent="0.25">
      <c r="A58" s="184">
        <v>55</v>
      </c>
      <c r="B58" s="193" t="s">
        <v>355</v>
      </c>
      <c r="C58" s="192">
        <v>0.68100000000000005</v>
      </c>
      <c r="D58" s="191">
        <v>0</v>
      </c>
      <c r="E58" s="191">
        <v>0</v>
      </c>
      <c r="F58" s="191">
        <v>0</v>
      </c>
      <c r="G58" s="191">
        <v>0</v>
      </c>
      <c r="H58" s="190">
        <v>0</v>
      </c>
      <c r="I58" s="190">
        <v>0</v>
      </c>
      <c r="J58" s="190">
        <v>0</v>
      </c>
      <c r="K58" s="189">
        <v>0</v>
      </c>
      <c r="L58" s="188">
        <v>0</v>
      </c>
      <c r="M58" s="188">
        <v>0</v>
      </c>
      <c r="N58" s="187">
        <v>0</v>
      </c>
      <c r="O58" s="186">
        <v>0</v>
      </c>
      <c r="P58" s="186">
        <v>0</v>
      </c>
      <c r="Q58" s="185">
        <v>0.01</v>
      </c>
    </row>
    <row r="59" spans="1:17" x14ac:dyDescent="0.25">
      <c r="A59" s="184">
        <v>56</v>
      </c>
      <c r="B59" s="193" t="s">
        <v>316</v>
      </c>
      <c r="C59" s="192">
        <v>0.81799999999999995</v>
      </c>
      <c r="D59" s="191">
        <v>0</v>
      </c>
      <c r="E59" s="191">
        <v>0</v>
      </c>
      <c r="F59" s="191">
        <v>0</v>
      </c>
      <c r="G59" s="191">
        <v>1</v>
      </c>
      <c r="H59" s="190">
        <v>0</v>
      </c>
      <c r="I59" s="190">
        <v>0</v>
      </c>
      <c r="J59" s="190">
        <v>0</v>
      </c>
      <c r="K59" s="189">
        <v>0</v>
      </c>
      <c r="L59" s="188">
        <v>0</v>
      </c>
      <c r="M59" s="188">
        <v>0</v>
      </c>
      <c r="N59" s="187">
        <v>0</v>
      </c>
      <c r="O59" s="186">
        <v>0</v>
      </c>
      <c r="P59" s="186">
        <v>0</v>
      </c>
      <c r="Q59" s="185">
        <v>0.01</v>
      </c>
    </row>
    <row r="60" spans="1:17" x14ac:dyDescent="0.25">
      <c r="A60" s="184">
        <v>57</v>
      </c>
      <c r="B60" s="193" t="s">
        <v>314</v>
      </c>
      <c r="C60" s="192">
        <v>1.6739999999999999</v>
      </c>
      <c r="D60" s="191">
        <v>0</v>
      </c>
      <c r="E60" s="191">
        <v>0</v>
      </c>
      <c r="F60" s="191">
        <v>0</v>
      </c>
      <c r="G60" s="191">
        <v>7</v>
      </c>
      <c r="H60" s="190">
        <v>0</v>
      </c>
      <c r="I60" s="190">
        <v>0</v>
      </c>
      <c r="J60" s="190">
        <v>0</v>
      </c>
      <c r="K60" s="189">
        <v>0</v>
      </c>
      <c r="L60" s="188">
        <v>0</v>
      </c>
      <c r="M60" s="188">
        <v>0</v>
      </c>
      <c r="N60" s="187">
        <v>0</v>
      </c>
      <c r="O60" s="186">
        <v>0</v>
      </c>
      <c r="P60" s="186">
        <v>0</v>
      </c>
      <c r="Q60" s="185">
        <v>0.01</v>
      </c>
    </row>
    <row r="61" spans="1:17" x14ac:dyDescent="0.25">
      <c r="A61" s="184">
        <v>58</v>
      </c>
      <c r="B61" s="193" t="s">
        <v>370</v>
      </c>
      <c r="C61" s="192">
        <v>0.11899999999999999</v>
      </c>
      <c r="D61" s="191">
        <v>0</v>
      </c>
      <c r="E61" s="191">
        <v>0</v>
      </c>
      <c r="F61" s="191">
        <v>0</v>
      </c>
      <c r="G61" s="191">
        <v>1</v>
      </c>
      <c r="H61" s="190">
        <v>0</v>
      </c>
      <c r="I61" s="190">
        <v>0</v>
      </c>
      <c r="J61" s="190">
        <v>0</v>
      </c>
      <c r="K61" s="189">
        <v>0</v>
      </c>
      <c r="L61" s="188">
        <v>0</v>
      </c>
      <c r="M61" s="188">
        <v>0</v>
      </c>
      <c r="N61" s="187">
        <v>0</v>
      </c>
      <c r="O61" s="186">
        <v>0</v>
      </c>
      <c r="P61" s="186">
        <v>0</v>
      </c>
      <c r="Q61" s="185">
        <v>0.01</v>
      </c>
    </row>
    <row r="62" spans="1:17" x14ac:dyDescent="0.25">
      <c r="A62" s="184">
        <v>59</v>
      </c>
      <c r="B62" s="193" t="s">
        <v>353</v>
      </c>
      <c r="C62" s="192">
        <v>1.3180000000000001</v>
      </c>
      <c r="D62" s="191">
        <v>0</v>
      </c>
      <c r="E62" s="191">
        <v>0</v>
      </c>
      <c r="F62" s="191">
        <v>0</v>
      </c>
      <c r="G62" s="191">
        <v>1</v>
      </c>
      <c r="H62" s="190">
        <v>0</v>
      </c>
      <c r="I62" s="190">
        <v>0</v>
      </c>
      <c r="J62" s="190">
        <v>0</v>
      </c>
      <c r="K62" s="189">
        <v>0</v>
      </c>
      <c r="L62" s="188">
        <v>0</v>
      </c>
      <c r="M62" s="188">
        <v>0</v>
      </c>
      <c r="N62" s="187">
        <v>0</v>
      </c>
      <c r="O62" s="186">
        <v>0</v>
      </c>
      <c r="P62" s="186">
        <v>0</v>
      </c>
      <c r="Q62" s="185">
        <v>0.01</v>
      </c>
    </row>
    <row r="63" spans="1:17" x14ac:dyDescent="0.25">
      <c r="A63" s="184">
        <v>60</v>
      </c>
      <c r="B63" s="193" t="s">
        <v>324</v>
      </c>
      <c r="C63" s="192">
        <v>3.49</v>
      </c>
      <c r="D63" s="191">
        <v>0</v>
      </c>
      <c r="E63" s="191">
        <v>0</v>
      </c>
      <c r="F63" s="191">
        <v>0</v>
      </c>
      <c r="G63" s="191">
        <v>16</v>
      </c>
      <c r="H63" s="190">
        <v>0</v>
      </c>
      <c r="I63" s="190">
        <v>0</v>
      </c>
      <c r="J63" s="190">
        <v>0</v>
      </c>
      <c r="K63" s="189">
        <v>0</v>
      </c>
      <c r="L63" s="188">
        <v>0</v>
      </c>
      <c r="M63" s="188">
        <v>0</v>
      </c>
      <c r="N63" s="187">
        <v>0</v>
      </c>
      <c r="O63" s="186">
        <v>0</v>
      </c>
      <c r="P63" s="186">
        <v>0</v>
      </c>
      <c r="Q63" s="185">
        <v>0.01</v>
      </c>
    </row>
    <row r="64" spans="1:17" x14ac:dyDescent="0.25">
      <c r="A64" s="184">
        <v>61</v>
      </c>
      <c r="B64" s="193" t="s">
        <v>328</v>
      </c>
      <c r="C64" s="192">
        <v>1.304</v>
      </c>
      <c r="D64" s="191">
        <v>0</v>
      </c>
      <c r="E64" s="191">
        <v>0</v>
      </c>
      <c r="F64" s="191">
        <v>0</v>
      </c>
      <c r="G64" s="191">
        <v>2</v>
      </c>
      <c r="H64" s="190">
        <v>0</v>
      </c>
      <c r="I64" s="190">
        <v>0</v>
      </c>
      <c r="J64" s="190">
        <v>0</v>
      </c>
      <c r="K64" s="189">
        <v>0</v>
      </c>
      <c r="L64" s="188">
        <v>0</v>
      </c>
      <c r="M64" s="188">
        <v>0</v>
      </c>
      <c r="N64" s="187">
        <v>0</v>
      </c>
      <c r="O64" s="186">
        <v>0</v>
      </c>
      <c r="P64" s="186">
        <v>0</v>
      </c>
      <c r="Q64" s="185">
        <v>0.01</v>
      </c>
    </row>
    <row r="65" spans="1:17" x14ac:dyDescent="0.25">
      <c r="A65" s="184">
        <v>62</v>
      </c>
      <c r="B65" s="193" t="s">
        <v>354</v>
      </c>
      <c r="C65" s="192">
        <v>5.8550000000000004</v>
      </c>
      <c r="D65" s="191">
        <v>0</v>
      </c>
      <c r="E65" s="191">
        <v>0</v>
      </c>
      <c r="F65" s="191">
        <v>0</v>
      </c>
      <c r="G65" s="191">
        <v>14</v>
      </c>
      <c r="H65" s="190">
        <v>0</v>
      </c>
      <c r="I65" s="190">
        <v>0</v>
      </c>
      <c r="J65" s="190">
        <v>0</v>
      </c>
      <c r="K65" s="189">
        <v>0</v>
      </c>
      <c r="L65" s="188">
        <v>0</v>
      </c>
      <c r="M65" s="188">
        <v>0</v>
      </c>
      <c r="N65" s="187">
        <v>0</v>
      </c>
      <c r="O65" s="186">
        <v>0</v>
      </c>
      <c r="P65" s="186">
        <v>0</v>
      </c>
      <c r="Q65" s="185">
        <v>0.01</v>
      </c>
    </row>
    <row r="66" spans="1:17" x14ac:dyDescent="0.25">
      <c r="A66" s="184">
        <v>63</v>
      </c>
      <c r="B66" s="193" t="s">
        <v>288</v>
      </c>
      <c r="C66" s="192">
        <v>0.85</v>
      </c>
      <c r="D66" s="191">
        <v>0</v>
      </c>
      <c r="E66" s="191">
        <v>0</v>
      </c>
      <c r="F66" s="191">
        <v>0</v>
      </c>
      <c r="G66" s="191">
        <v>1</v>
      </c>
      <c r="H66" s="190">
        <v>0</v>
      </c>
      <c r="I66" s="190">
        <v>0</v>
      </c>
      <c r="J66" s="190">
        <v>0</v>
      </c>
      <c r="K66" s="189">
        <v>0</v>
      </c>
      <c r="L66" s="188">
        <v>0</v>
      </c>
      <c r="M66" s="188">
        <v>0</v>
      </c>
      <c r="N66" s="187">
        <v>0</v>
      </c>
      <c r="O66" s="186">
        <v>0</v>
      </c>
      <c r="P66" s="186">
        <v>0</v>
      </c>
      <c r="Q66" s="185">
        <v>0.01</v>
      </c>
    </row>
    <row r="67" spans="1:17" x14ac:dyDescent="0.25">
      <c r="A67" s="184">
        <v>64</v>
      </c>
      <c r="B67" s="193" t="s">
        <v>347</v>
      </c>
      <c r="C67" s="192">
        <v>4.5819999999999999</v>
      </c>
      <c r="D67" s="191">
        <v>0</v>
      </c>
      <c r="E67" s="191">
        <v>0</v>
      </c>
      <c r="F67" s="191">
        <v>0</v>
      </c>
      <c r="G67" s="191">
        <v>11</v>
      </c>
      <c r="H67" s="190">
        <v>0</v>
      </c>
      <c r="I67" s="190">
        <v>0</v>
      </c>
      <c r="J67" s="190">
        <v>0</v>
      </c>
      <c r="K67" s="189">
        <v>0</v>
      </c>
      <c r="L67" s="188">
        <v>0</v>
      </c>
      <c r="M67" s="188">
        <v>0</v>
      </c>
      <c r="N67" s="187">
        <v>0</v>
      </c>
      <c r="O67" s="186">
        <v>0</v>
      </c>
      <c r="P67" s="186">
        <v>0</v>
      </c>
      <c r="Q67" s="185">
        <v>0.01</v>
      </c>
    </row>
    <row r="68" spans="1:17" x14ac:dyDescent="0.25">
      <c r="A68" s="184">
        <v>65</v>
      </c>
      <c r="B68" s="193" t="s">
        <v>290</v>
      </c>
      <c r="C68" s="192">
        <v>1.1120000000000001</v>
      </c>
      <c r="D68" s="191">
        <v>0</v>
      </c>
      <c r="E68" s="191">
        <v>0</v>
      </c>
      <c r="F68" s="191">
        <v>0</v>
      </c>
      <c r="G68" s="191">
        <v>6</v>
      </c>
      <c r="H68" s="190">
        <v>0</v>
      </c>
      <c r="I68" s="190">
        <v>0</v>
      </c>
      <c r="J68" s="190">
        <v>0</v>
      </c>
      <c r="K68" s="189">
        <v>0</v>
      </c>
      <c r="L68" s="188">
        <v>0</v>
      </c>
      <c r="M68" s="188">
        <v>0</v>
      </c>
      <c r="N68" s="187">
        <v>0</v>
      </c>
      <c r="O68" s="186">
        <v>0</v>
      </c>
      <c r="P68" s="186">
        <v>0</v>
      </c>
      <c r="Q68" s="185">
        <v>0.01</v>
      </c>
    </row>
    <row r="69" spans="1:17" x14ac:dyDescent="0.25">
      <c r="A69" s="184">
        <v>66</v>
      </c>
      <c r="B69" s="193" t="s">
        <v>411</v>
      </c>
      <c r="C69" s="192">
        <v>2.0259999999999998</v>
      </c>
      <c r="D69" s="191">
        <v>0</v>
      </c>
      <c r="E69" s="191">
        <v>0</v>
      </c>
      <c r="F69" s="191">
        <v>0</v>
      </c>
      <c r="G69" s="191">
        <v>9</v>
      </c>
      <c r="H69" s="190">
        <v>0</v>
      </c>
      <c r="I69" s="190">
        <v>0</v>
      </c>
      <c r="J69" s="190">
        <v>0</v>
      </c>
      <c r="K69" s="189">
        <v>0</v>
      </c>
      <c r="L69" s="188">
        <v>0</v>
      </c>
      <c r="M69" s="188">
        <v>0</v>
      </c>
      <c r="N69" s="187">
        <v>0</v>
      </c>
      <c r="O69" s="186">
        <v>0</v>
      </c>
      <c r="P69" s="186">
        <v>0</v>
      </c>
      <c r="Q69" s="185">
        <v>0.01</v>
      </c>
    </row>
    <row r="70" spans="1:17" x14ac:dyDescent="0.25">
      <c r="A70" s="184">
        <v>67</v>
      </c>
      <c r="B70" s="193" t="s">
        <v>321</v>
      </c>
      <c r="C70" s="192">
        <v>2.1339999999999999</v>
      </c>
      <c r="D70" s="191">
        <v>0</v>
      </c>
      <c r="E70" s="191">
        <v>0</v>
      </c>
      <c r="F70" s="191">
        <v>0</v>
      </c>
      <c r="G70" s="191">
        <v>7</v>
      </c>
      <c r="H70" s="190">
        <v>0</v>
      </c>
      <c r="I70" s="190">
        <v>0</v>
      </c>
      <c r="J70" s="190">
        <v>0</v>
      </c>
      <c r="K70" s="189">
        <v>0</v>
      </c>
      <c r="L70" s="188">
        <v>0</v>
      </c>
      <c r="M70" s="188">
        <v>0</v>
      </c>
      <c r="N70" s="187">
        <v>0</v>
      </c>
      <c r="O70" s="186">
        <v>0</v>
      </c>
      <c r="P70" s="186">
        <v>0</v>
      </c>
      <c r="Q70" s="185">
        <v>0.01</v>
      </c>
    </row>
    <row r="71" spans="1:17" x14ac:dyDescent="0.25">
      <c r="A71" s="184">
        <v>68</v>
      </c>
      <c r="B71" s="193" t="s">
        <v>408</v>
      </c>
      <c r="C71" s="192">
        <v>1.3240000000000001</v>
      </c>
      <c r="D71" s="191">
        <v>0</v>
      </c>
      <c r="E71" s="191">
        <v>0</v>
      </c>
      <c r="F71" s="191">
        <v>0</v>
      </c>
      <c r="G71" s="191">
        <v>2</v>
      </c>
      <c r="H71" s="190">
        <v>0</v>
      </c>
      <c r="I71" s="190">
        <v>0</v>
      </c>
      <c r="J71" s="190">
        <v>0</v>
      </c>
      <c r="K71" s="189">
        <v>0</v>
      </c>
      <c r="L71" s="188">
        <v>0</v>
      </c>
      <c r="M71" s="188">
        <v>0</v>
      </c>
      <c r="N71" s="187">
        <v>0</v>
      </c>
      <c r="O71" s="186">
        <v>0</v>
      </c>
      <c r="P71" s="186">
        <v>0</v>
      </c>
      <c r="Q71" s="185">
        <v>0.01</v>
      </c>
    </row>
    <row r="72" spans="1:17" x14ac:dyDescent="0.25">
      <c r="A72" s="184" t="s">
        <v>171</v>
      </c>
      <c r="B72" s="183" t="s">
        <v>3</v>
      </c>
      <c r="C72" s="182">
        <v>290.69099999999997</v>
      </c>
      <c r="D72" s="181">
        <v>134</v>
      </c>
      <c r="E72" s="181">
        <v>93</v>
      </c>
      <c r="F72" s="181">
        <v>8</v>
      </c>
      <c r="G72" s="181">
        <v>902</v>
      </c>
      <c r="H72" s="180">
        <v>3205.18</v>
      </c>
      <c r="I72" s="180">
        <v>1260</v>
      </c>
      <c r="J72" s="180">
        <v>5745.18</v>
      </c>
      <c r="K72" s="179">
        <v>0.14860000000000001</v>
      </c>
      <c r="L72" s="178">
        <v>0.75370000000000004</v>
      </c>
      <c r="M72" s="178">
        <v>0.1951</v>
      </c>
      <c r="N72" s="177">
        <v>15.36</v>
      </c>
      <c r="O72" s="176">
        <v>0.35</v>
      </c>
      <c r="P72" s="176">
        <v>0.03</v>
      </c>
      <c r="Q72" s="175" t="s">
        <v>171</v>
      </c>
    </row>
  </sheetData>
  <mergeCells count="3">
    <mergeCell ref="F1:L1"/>
    <mergeCell ref="A2:A3"/>
    <mergeCell ref="B2:B3"/>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rgb="FFFF0000"/>
  </sheetPr>
  <dimension ref="A1:Q71"/>
  <sheetViews>
    <sheetView workbookViewId="0">
      <selection sqref="A1:Q22"/>
    </sheetView>
  </sheetViews>
  <sheetFormatPr defaultRowHeight="15" x14ac:dyDescent="0.25"/>
  <sheetData>
    <row r="1" spans="1:17" x14ac:dyDescent="0.25">
      <c r="A1" s="93"/>
      <c r="B1" s="94"/>
      <c r="C1" s="93"/>
      <c r="D1" s="93"/>
      <c r="E1" s="93"/>
      <c r="F1" s="610"/>
      <c r="G1" s="610"/>
      <c r="H1" s="610"/>
      <c r="I1" s="610"/>
      <c r="J1" s="610"/>
      <c r="K1" s="610"/>
      <c r="L1" s="610"/>
      <c r="M1" s="93"/>
      <c r="N1" s="93"/>
      <c r="O1" s="93"/>
      <c r="P1" s="93"/>
      <c r="Q1" s="93"/>
    </row>
    <row r="2" spans="1:17" x14ac:dyDescent="0.25">
      <c r="A2" s="606" t="s">
        <v>172</v>
      </c>
      <c r="B2" s="608" t="s">
        <v>7</v>
      </c>
      <c r="C2" s="199" t="s">
        <v>173</v>
      </c>
      <c r="D2" s="198" t="s">
        <v>3</v>
      </c>
      <c r="E2" s="198" t="s">
        <v>176</v>
      </c>
      <c r="F2" s="198" t="s">
        <v>166</v>
      </c>
      <c r="G2" s="198" t="s">
        <v>8</v>
      </c>
      <c r="H2" s="198" t="s">
        <v>176</v>
      </c>
      <c r="I2" s="198" t="s">
        <v>166</v>
      </c>
      <c r="J2" s="198" t="s">
        <v>3</v>
      </c>
      <c r="K2" s="198" t="s">
        <v>21</v>
      </c>
      <c r="L2" s="198" t="s">
        <v>164</v>
      </c>
      <c r="M2" s="198" t="s">
        <v>166</v>
      </c>
      <c r="N2" s="198" t="s">
        <v>164</v>
      </c>
      <c r="O2" s="198" t="s">
        <v>164</v>
      </c>
      <c r="P2" s="198" t="s">
        <v>166</v>
      </c>
      <c r="Q2" s="197" t="s">
        <v>169</v>
      </c>
    </row>
    <row r="3" spans="1:17" x14ac:dyDescent="0.25">
      <c r="A3" s="607"/>
      <c r="B3" s="609"/>
      <c r="C3" s="196" t="s">
        <v>174</v>
      </c>
      <c r="D3" s="195" t="s">
        <v>175</v>
      </c>
      <c r="E3" s="195" t="s">
        <v>175</v>
      </c>
      <c r="F3" s="195" t="s">
        <v>175</v>
      </c>
      <c r="G3" s="195" t="s">
        <v>12</v>
      </c>
      <c r="H3" s="195" t="s">
        <v>9</v>
      </c>
      <c r="I3" s="195" t="s">
        <v>9</v>
      </c>
      <c r="J3" s="195" t="s">
        <v>9</v>
      </c>
      <c r="K3" s="195" t="s">
        <v>13</v>
      </c>
      <c r="L3" s="195" t="s">
        <v>165</v>
      </c>
      <c r="M3" s="195" t="s">
        <v>165</v>
      </c>
      <c r="N3" s="195" t="s">
        <v>167</v>
      </c>
      <c r="O3" s="195" t="s">
        <v>168</v>
      </c>
      <c r="P3" s="195" t="s">
        <v>168</v>
      </c>
      <c r="Q3" s="194" t="s">
        <v>170</v>
      </c>
    </row>
    <row r="4" spans="1:17" x14ac:dyDescent="0.25">
      <c r="A4" s="184">
        <v>1</v>
      </c>
      <c r="B4" s="193" t="s">
        <v>392</v>
      </c>
      <c r="C4" s="192">
        <v>1.9019999999999999</v>
      </c>
      <c r="D4" s="191">
        <v>4</v>
      </c>
      <c r="E4" s="191">
        <v>2</v>
      </c>
      <c r="F4" s="191">
        <v>1</v>
      </c>
      <c r="G4" s="191">
        <v>8</v>
      </c>
      <c r="H4" s="190">
        <v>50</v>
      </c>
      <c r="I4" s="190">
        <v>60</v>
      </c>
      <c r="J4" s="190">
        <v>130</v>
      </c>
      <c r="K4" s="189">
        <v>0.5</v>
      </c>
      <c r="L4" s="188">
        <v>0.75</v>
      </c>
      <c r="M4" s="188">
        <v>0.5</v>
      </c>
      <c r="N4" s="187">
        <v>57.83</v>
      </c>
      <c r="O4" s="186">
        <v>1.58</v>
      </c>
      <c r="P4" s="186">
        <v>0.53</v>
      </c>
      <c r="Q4" s="185">
        <v>0.86</v>
      </c>
    </row>
    <row r="5" spans="1:17" x14ac:dyDescent="0.25">
      <c r="A5" s="184">
        <v>2</v>
      </c>
      <c r="B5" s="193" t="s">
        <v>317</v>
      </c>
      <c r="C5" s="192">
        <v>6.6820000000000004</v>
      </c>
      <c r="D5" s="191">
        <v>6</v>
      </c>
      <c r="E5" s="191">
        <v>4</v>
      </c>
      <c r="F5" s="191">
        <v>1</v>
      </c>
      <c r="G5" s="191">
        <v>28</v>
      </c>
      <c r="H5" s="190">
        <v>195</v>
      </c>
      <c r="I5" s="190">
        <v>120</v>
      </c>
      <c r="J5" s="190">
        <v>325</v>
      </c>
      <c r="K5" s="189">
        <v>0.21429999999999999</v>
      </c>
      <c r="L5" s="188">
        <v>0.83330000000000004</v>
      </c>
      <c r="M5" s="188">
        <v>0.5</v>
      </c>
      <c r="N5" s="187">
        <v>47.14</v>
      </c>
      <c r="O5" s="186">
        <v>0.75</v>
      </c>
      <c r="P5" s="186">
        <v>0.15</v>
      </c>
      <c r="Q5" s="185">
        <v>0.82</v>
      </c>
    </row>
    <row r="6" spans="1:17" x14ac:dyDescent="0.25">
      <c r="A6" s="184">
        <v>3</v>
      </c>
      <c r="B6" s="193" t="s">
        <v>430</v>
      </c>
      <c r="C6" s="192">
        <v>8.4589999999999996</v>
      </c>
      <c r="D6" s="191">
        <v>8</v>
      </c>
      <c r="E6" s="191">
        <v>5</v>
      </c>
      <c r="F6" s="191">
        <v>1</v>
      </c>
      <c r="G6" s="191">
        <v>30</v>
      </c>
      <c r="H6" s="190">
        <v>120</v>
      </c>
      <c r="I6" s="190">
        <v>120</v>
      </c>
      <c r="J6" s="190">
        <v>295</v>
      </c>
      <c r="K6" s="189">
        <v>0.26669999999999999</v>
      </c>
      <c r="L6" s="188">
        <v>0.75</v>
      </c>
      <c r="M6" s="188">
        <v>0.33329999999999999</v>
      </c>
      <c r="N6" s="187">
        <v>28.37</v>
      </c>
      <c r="O6" s="186">
        <v>0.71</v>
      </c>
      <c r="P6" s="186">
        <v>0.12</v>
      </c>
      <c r="Q6" s="185">
        <v>0.77</v>
      </c>
    </row>
    <row r="7" spans="1:17" x14ac:dyDescent="0.25">
      <c r="A7" s="184">
        <v>4</v>
      </c>
      <c r="B7" s="193" t="s">
        <v>279</v>
      </c>
      <c r="C7" s="192">
        <v>7.226</v>
      </c>
      <c r="D7" s="191">
        <v>3</v>
      </c>
      <c r="E7" s="191">
        <v>2</v>
      </c>
      <c r="F7" s="191">
        <v>1</v>
      </c>
      <c r="G7" s="191">
        <v>18</v>
      </c>
      <c r="H7" s="190">
        <v>1010</v>
      </c>
      <c r="I7" s="190">
        <v>120</v>
      </c>
      <c r="J7" s="190">
        <v>1130</v>
      </c>
      <c r="K7" s="189">
        <v>0.16669999999999999</v>
      </c>
      <c r="L7" s="188">
        <v>1</v>
      </c>
      <c r="M7" s="188">
        <v>1</v>
      </c>
      <c r="N7" s="187">
        <v>156.38</v>
      </c>
      <c r="O7" s="186">
        <v>0.42</v>
      </c>
      <c r="P7" s="186">
        <v>0.14000000000000001</v>
      </c>
      <c r="Q7" s="185">
        <v>0.75</v>
      </c>
    </row>
    <row r="8" spans="1:17" x14ac:dyDescent="0.25">
      <c r="A8" s="184">
        <v>5</v>
      </c>
      <c r="B8" s="193" t="s">
        <v>318</v>
      </c>
      <c r="C8" s="192">
        <v>6.5430000000000001</v>
      </c>
      <c r="D8" s="191">
        <v>4</v>
      </c>
      <c r="E8" s="191">
        <v>3</v>
      </c>
      <c r="F8" s="191">
        <v>1</v>
      </c>
      <c r="G8" s="191">
        <v>21</v>
      </c>
      <c r="H8" s="190">
        <v>15</v>
      </c>
      <c r="I8" s="190">
        <v>60</v>
      </c>
      <c r="J8" s="190">
        <v>75</v>
      </c>
      <c r="K8" s="189">
        <v>0.1905</v>
      </c>
      <c r="L8" s="188">
        <v>1</v>
      </c>
      <c r="M8" s="188">
        <v>1</v>
      </c>
      <c r="N8" s="187">
        <v>11.46</v>
      </c>
      <c r="O8" s="186">
        <v>0.61</v>
      </c>
      <c r="P8" s="186">
        <v>0.15</v>
      </c>
      <c r="Q8" s="185">
        <v>0.74</v>
      </c>
    </row>
    <row r="9" spans="1:17" x14ac:dyDescent="0.25">
      <c r="A9" s="184">
        <v>6</v>
      </c>
      <c r="B9" s="193" t="s">
        <v>366</v>
      </c>
      <c r="C9" s="192">
        <v>10.095000000000001</v>
      </c>
      <c r="D9" s="191">
        <v>9</v>
      </c>
      <c r="E9" s="191">
        <v>4</v>
      </c>
      <c r="F9" s="191">
        <v>1</v>
      </c>
      <c r="G9" s="191">
        <v>36</v>
      </c>
      <c r="H9" s="190">
        <v>615</v>
      </c>
      <c r="I9" s="190">
        <v>120</v>
      </c>
      <c r="J9" s="190">
        <v>1315</v>
      </c>
      <c r="K9" s="189">
        <v>0.25</v>
      </c>
      <c r="L9" s="188">
        <v>0.55559999999999998</v>
      </c>
      <c r="M9" s="188">
        <v>0.2</v>
      </c>
      <c r="N9" s="187">
        <v>72.81</v>
      </c>
      <c r="O9" s="186">
        <v>0.5</v>
      </c>
      <c r="P9" s="186">
        <v>0.1</v>
      </c>
      <c r="Q9" s="185">
        <v>0.73</v>
      </c>
    </row>
    <row r="10" spans="1:17" x14ac:dyDescent="0.25">
      <c r="A10" s="184">
        <v>7</v>
      </c>
      <c r="B10" s="193" t="s">
        <v>355</v>
      </c>
      <c r="C10" s="192">
        <v>0.31</v>
      </c>
      <c r="D10" s="191">
        <v>1</v>
      </c>
      <c r="E10" s="191">
        <v>1</v>
      </c>
      <c r="F10" s="191">
        <v>0</v>
      </c>
      <c r="G10" s="191">
        <v>1</v>
      </c>
      <c r="H10" s="190">
        <v>50</v>
      </c>
      <c r="I10" s="190">
        <v>0</v>
      </c>
      <c r="J10" s="190">
        <v>50</v>
      </c>
      <c r="K10" s="189">
        <v>1</v>
      </c>
      <c r="L10" s="188">
        <v>1</v>
      </c>
      <c r="M10" s="188">
        <v>0</v>
      </c>
      <c r="N10" s="187">
        <v>161.29</v>
      </c>
      <c r="O10" s="186">
        <v>3.23</v>
      </c>
      <c r="P10" s="186">
        <v>0</v>
      </c>
      <c r="Q10" s="185">
        <v>0.69</v>
      </c>
    </row>
    <row r="11" spans="1:17" x14ac:dyDescent="0.25">
      <c r="A11" s="184">
        <v>8</v>
      </c>
      <c r="B11" s="193" t="s">
        <v>324</v>
      </c>
      <c r="C11" s="192">
        <v>4.8449999999999998</v>
      </c>
      <c r="D11" s="191">
        <v>2</v>
      </c>
      <c r="E11" s="191">
        <v>1</v>
      </c>
      <c r="F11" s="191">
        <v>1</v>
      </c>
      <c r="G11" s="191">
        <v>16</v>
      </c>
      <c r="H11" s="190">
        <v>10</v>
      </c>
      <c r="I11" s="190">
        <v>120</v>
      </c>
      <c r="J11" s="190">
        <v>130</v>
      </c>
      <c r="K11" s="189">
        <v>0.125</v>
      </c>
      <c r="L11" s="188">
        <v>1</v>
      </c>
      <c r="M11" s="188">
        <v>1</v>
      </c>
      <c r="N11" s="187">
        <v>26.83</v>
      </c>
      <c r="O11" s="186">
        <v>0.41</v>
      </c>
      <c r="P11" s="186">
        <v>0.21</v>
      </c>
      <c r="Q11" s="185">
        <v>0.69</v>
      </c>
    </row>
    <row r="12" spans="1:17" x14ac:dyDescent="0.25">
      <c r="A12" s="184">
        <v>9</v>
      </c>
      <c r="B12" s="193" t="s">
        <v>282</v>
      </c>
      <c r="C12" s="192">
        <v>0.54400000000000004</v>
      </c>
      <c r="D12" s="191">
        <v>1</v>
      </c>
      <c r="E12" s="191">
        <v>1</v>
      </c>
      <c r="F12" s="191">
        <v>0</v>
      </c>
      <c r="G12" s="191">
        <v>1</v>
      </c>
      <c r="H12" s="190">
        <v>30</v>
      </c>
      <c r="I12" s="190">
        <v>0</v>
      </c>
      <c r="J12" s="190">
        <v>30</v>
      </c>
      <c r="K12" s="189">
        <v>1</v>
      </c>
      <c r="L12" s="188">
        <v>1</v>
      </c>
      <c r="M12" s="188">
        <v>0</v>
      </c>
      <c r="N12" s="187">
        <v>55.15</v>
      </c>
      <c r="O12" s="186">
        <v>1.84</v>
      </c>
      <c r="P12" s="186">
        <v>0</v>
      </c>
      <c r="Q12" s="185">
        <v>0.68</v>
      </c>
    </row>
    <row r="13" spans="1:17" x14ac:dyDescent="0.25">
      <c r="A13" s="184">
        <v>10</v>
      </c>
      <c r="B13" s="193" t="s">
        <v>360</v>
      </c>
      <c r="C13" s="192">
        <v>6.9569999999999999</v>
      </c>
      <c r="D13" s="191">
        <v>4</v>
      </c>
      <c r="E13" s="191">
        <v>2</v>
      </c>
      <c r="F13" s="191">
        <v>1</v>
      </c>
      <c r="G13" s="191">
        <v>33</v>
      </c>
      <c r="H13" s="190">
        <v>205</v>
      </c>
      <c r="I13" s="190">
        <v>120</v>
      </c>
      <c r="J13" s="190">
        <v>360</v>
      </c>
      <c r="K13" s="189">
        <v>0.1212</v>
      </c>
      <c r="L13" s="188">
        <v>0.75</v>
      </c>
      <c r="M13" s="188">
        <v>0.5</v>
      </c>
      <c r="N13" s="187">
        <v>46.72</v>
      </c>
      <c r="O13" s="186">
        <v>0.43</v>
      </c>
      <c r="P13" s="186">
        <v>0.14000000000000001</v>
      </c>
      <c r="Q13" s="185">
        <v>0.67</v>
      </c>
    </row>
    <row r="14" spans="1:17" x14ac:dyDescent="0.25">
      <c r="A14" s="184">
        <v>11</v>
      </c>
      <c r="B14" s="193" t="s">
        <v>295</v>
      </c>
      <c r="C14" s="192">
        <v>1.1579999999999999</v>
      </c>
      <c r="D14" s="191">
        <v>1</v>
      </c>
      <c r="E14" s="191">
        <v>1</v>
      </c>
      <c r="F14" s="191">
        <v>0</v>
      </c>
      <c r="G14" s="191">
        <v>4</v>
      </c>
      <c r="H14" s="190">
        <v>75</v>
      </c>
      <c r="I14" s="190">
        <v>0</v>
      </c>
      <c r="J14" s="190">
        <v>75</v>
      </c>
      <c r="K14" s="189">
        <v>0.25</v>
      </c>
      <c r="L14" s="188">
        <v>1</v>
      </c>
      <c r="M14" s="188">
        <v>0</v>
      </c>
      <c r="N14" s="187">
        <v>64.77</v>
      </c>
      <c r="O14" s="186">
        <v>0.86</v>
      </c>
      <c r="P14" s="186">
        <v>0</v>
      </c>
      <c r="Q14" s="185">
        <v>0.64</v>
      </c>
    </row>
    <row r="15" spans="1:17" x14ac:dyDescent="0.25">
      <c r="A15" s="184">
        <v>12</v>
      </c>
      <c r="B15" s="193" t="s">
        <v>435</v>
      </c>
      <c r="C15" s="192">
        <v>7.5179999999999998</v>
      </c>
      <c r="D15" s="191">
        <v>7</v>
      </c>
      <c r="E15" s="191">
        <v>2</v>
      </c>
      <c r="F15" s="191">
        <v>1</v>
      </c>
      <c r="G15" s="191">
        <v>40</v>
      </c>
      <c r="H15" s="190">
        <v>150</v>
      </c>
      <c r="I15" s="190">
        <v>120</v>
      </c>
      <c r="J15" s="190">
        <v>390</v>
      </c>
      <c r="K15" s="189">
        <v>0.17499999999999999</v>
      </c>
      <c r="L15" s="188">
        <v>0.42859999999999998</v>
      </c>
      <c r="M15" s="188">
        <v>0.2</v>
      </c>
      <c r="N15" s="187">
        <v>35.909999999999997</v>
      </c>
      <c r="O15" s="186">
        <v>0.4</v>
      </c>
      <c r="P15" s="186">
        <v>0.13</v>
      </c>
      <c r="Q15" s="185">
        <v>0.62</v>
      </c>
    </row>
    <row r="16" spans="1:17" x14ac:dyDescent="0.25">
      <c r="A16" s="184">
        <v>13</v>
      </c>
      <c r="B16" s="193" t="s">
        <v>403</v>
      </c>
      <c r="C16" s="192">
        <v>6.2450000000000001</v>
      </c>
      <c r="D16" s="191">
        <v>5</v>
      </c>
      <c r="E16" s="191">
        <v>4</v>
      </c>
      <c r="F16" s="191">
        <v>0</v>
      </c>
      <c r="G16" s="191">
        <v>13</v>
      </c>
      <c r="H16" s="190">
        <v>165</v>
      </c>
      <c r="I16" s="190">
        <v>0</v>
      </c>
      <c r="J16" s="190">
        <v>189</v>
      </c>
      <c r="K16" s="189">
        <v>0.3846</v>
      </c>
      <c r="L16" s="188">
        <v>0.8</v>
      </c>
      <c r="M16" s="188">
        <v>0</v>
      </c>
      <c r="N16" s="187">
        <v>26.42</v>
      </c>
      <c r="O16" s="186">
        <v>0.64</v>
      </c>
      <c r="P16" s="186">
        <v>0</v>
      </c>
      <c r="Q16" s="185">
        <v>0.61</v>
      </c>
    </row>
    <row r="17" spans="1:17" x14ac:dyDescent="0.25">
      <c r="A17" s="184">
        <v>14</v>
      </c>
      <c r="B17" s="193" t="s">
        <v>409</v>
      </c>
      <c r="C17" s="192">
        <v>7.1609999999999996</v>
      </c>
      <c r="D17" s="191">
        <v>2</v>
      </c>
      <c r="E17" s="191">
        <v>1</v>
      </c>
      <c r="F17" s="191">
        <v>1</v>
      </c>
      <c r="G17" s="191">
        <v>23</v>
      </c>
      <c r="H17" s="190">
        <v>100</v>
      </c>
      <c r="I17" s="190">
        <v>120</v>
      </c>
      <c r="J17" s="190">
        <v>220</v>
      </c>
      <c r="K17" s="189">
        <v>8.6999999999999994E-2</v>
      </c>
      <c r="L17" s="188">
        <v>1</v>
      </c>
      <c r="M17" s="188">
        <v>1</v>
      </c>
      <c r="N17" s="187">
        <v>30.72</v>
      </c>
      <c r="O17" s="186">
        <v>0.28000000000000003</v>
      </c>
      <c r="P17" s="186">
        <v>0.14000000000000001</v>
      </c>
      <c r="Q17" s="185">
        <v>0.6</v>
      </c>
    </row>
    <row r="18" spans="1:17" x14ac:dyDescent="0.25">
      <c r="A18" s="184">
        <v>15</v>
      </c>
      <c r="B18" s="193" t="s">
        <v>274</v>
      </c>
      <c r="C18" s="192">
        <v>3.218</v>
      </c>
      <c r="D18" s="191">
        <v>4</v>
      </c>
      <c r="E18" s="191">
        <v>3</v>
      </c>
      <c r="F18" s="191">
        <v>0</v>
      </c>
      <c r="G18" s="191">
        <v>13</v>
      </c>
      <c r="H18" s="190">
        <v>70</v>
      </c>
      <c r="I18" s="190">
        <v>0</v>
      </c>
      <c r="J18" s="190">
        <v>80</v>
      </c>
      <c r="K18" s="189">
        <v>0.30769999999999997</v>
      </c>
      <c r="L18" s="188">
        <v>0.75</v>
      </c>
      <c r="M18" s="188">
        <v>0</v>
      </c>
      <c r="N18" s="187">
        <v>21.75</v>
      </c>
      <c r="O18" s="186">
        <v>0.93</v>
      </c>
      <c r="P18" s="186">
        <v>0</v>
      </c>
      <c r="Q18" s="185">
        <v>0.59</v>
      </c>
    </row>
    <row r="19" spans="1:17" x14ac:dyDescent="0.25">
      <c r="A19" s="184">
        <v>16</v>
      </c>
      <c r="B19" s="193" t="s">
        <v>363</v>
      </c>
      <c r="C19" s="192">
        <v>9.5419999999999998</v>
      </c>
      <c r="D19" s="191">
        <v>4</v>
      </c>
      <c r="E19" s="191">
        <v>2</v>
      </c>
      <c r="F19" s="191">
        <v>1</v>
      </c>
      <c r="G19" s="191">
        <v>33</v>
      </c>
      <c r="H19" s="190">
        <v>75</v>
      </c>
      <c r="I19" s="190">
        <v>120</v>
      </c>
      <c r="J19" s="190">
        <v>295</v>
      </c>
      <c r="K19" s="189">
        <v>0.1212</v>
      </c>
      <c r="L19" s="188">
        <v>0.75</v>
      </c>
      <c r="M19" s="188">
        <v>0.5</v>
      </c>
      <c r="N19" s="187">
        <v>20.440000000000001</v>
      </c>
      <c r="O19" s="186">
        <v>0.31</v>
      </c>
      <c r="P19" s="186">
        <v>0.1</v>
      </c>
      <c r="Q19" s="185">
        <v>0.57999999999999996</v>
      </c>
    </row>
    <row r="20" spans="1:17" x14ac:dyDescent="0.25">
      <c r="A20" s="184">
        <v>17</v>
      </c>
      <c r="B20" s="193" t="s">
        <v>411</v>
      </c>
      <c r="C20" s="192">
        <v>7.2450000000000001</v>
      </c>
      <c r="D20" s="191">
        <v>4</v>
      </c>
      <c r="E20" s="191">
        <v>1</v>
      </c>
      <c r="F20" s="191">
        <v>1</v>
      </c>
      <c r="G20" s="191">
        <v>25</v>
      </c>
      <c r="H20" s="190">
        <v>120</v>
      </c>
      <c r="I20" s="190">
        <v>120</v>
      </c>
      <c r="J20" s="190">
        <v>460</v>
      </c>
      <c r="K20" s="189">
        <v>0.16</v>
      </c>
      <c r="L20" s="188">
        <v>0.5</v>
      </c>
      <c r="M20" s="188">
        <v>0.33329999999999999</v>
      </c>
      <c r="N20" s="187">
        <v>33.130000000000003</v>
      </c>
      <c r="O20" s="186">
        <v>0.28000000000000003</v>
      </c>
      <c r="P20" s="186">
        <v>0.14000000000000001</v>
      </c>
      <c r="Q20" s="185">
        <v>0.56999999999999995</v>
      </c>
    </row>
    <row r="21" spans="1:17" x14ac:dyDescent="0.25">
      <c r="A21" s="184">
        <v>18</v>
      </c>
      <c r="B21" s="193" t="s">
        <v>389</v>
      </c>
      <c r="C21" s="192">
        <v>9.9239999999999995</v>
      </c>
      <c r="D21" s="191">
        <v>6</v>
      </c>
      <c r="E21" s="191">
        <v>3</v>
      </c>
      <c r="F21" s="191">
        <v>1</v>
      </c>
      <c r="G21" s="191">
        <v>55</v>
      </c>
      <c r="H21" s="190">
        <v>120</v>
      </c>
      <c r="I21" s="190">
        <v>120</v>
      </c>
      <c r="J21" s="190">
        <v>300</v>
      </c>
      <c r="K21" s="189">
        <v>0.1091</v>
      </c>
      <c r="L21" s="188">
        <v>0.66669999999999996</v>
      </c>
      <c r="M21" s="188">
        <v>0.33329999999999999</v>
      </c>
      <c r="N21" s="187">
        <v>24.18</v>
      </c>
      <c r="O21" s="186">
        <v>0.4</v>
      </c>
      <c r="P21" s="186">
        <v>0.1</v>
      </c>
      <c r="Q21" s="185">
        <v>0.56000000000000005</v>
      </c>
    </row>
    <row r="22" spans="1:17" x14ac:dyDescent="0.25">
      <c r="A22" s="184">
        <v>19</v>
      </c>
      <c r="B22" s="193" t="s">
        <v>401</v>
      </c>
      <c r="C22" s="192">
        <v>6.7910000000000004</v>
      </c>
      <c r="D22" s="191">
        <v>2</v>
      </c>
      <c r="E22" s="191">
        <v>1</v>
      </c>
      <c r="F22" s="191">
        <v>1</v>
      </c>
      <c r="G22" s="191">
        <v>41</v>
      </c>
      <c r="H22" s="190">
        <v>5</v>
      </c>
      <c r="I22" s="190">
        <v>108</v>
      </c>
      <c r="J22" s="190">
        <v>113</v>
      </c>
      <c r="K22" s="189">
        <v>4.8800000000000003E-2</v>
      </c>
      <c r="L22" s="188">
        <v>1</v>
      </c>
      <c r="M22" s="188">
        <v>1</v>
      </c>
      <c r="N22" s="187">
        <v>16.64</v>
      </c>
      <c r="O22" s="186">
        <v>0.28999999999999998</v>
      </c>
      <c r="P22" s="186">
        <v>0.15</v>
      </c>
      <c r="Q22" s="185">
        <v>0.55000000000000004</v>
      </c>
    </row>
    <row r="23" spans="1:17" x14ac:dyDescent="0.25">
      <c r="A23" s="184">
        <v>20</v>
      </c>
      <c r="B23" s="193" t="s">
        <v>305</v>
      </c>
      <c r="C23" s="192">
        <v>6.9390000000000001</v>
      </c>
      <c r="D23" s="191">
        <v>5</v>
      </c>
      <c r="E23" s="191">
        <v>4</v>
      </c>
      <c r="F23" s="191">
        <v>0</v>
      </c>
      <c r="G23" s="191">
        <v>17</v>
      </c>
      <c r="H23" s="190">
        <v>80</v>
      </c>
      <c r="I23" s="190">
        <v>0</v>
      </c>
      <c r="J23" s="190">
        <v>130</v>
      </c>
      <c r="K23" s="189">
        <v>0.29409999999999997</v>
      </c>
      <c r="L23" s="188">
        <v>0.8</v>
      </c>
      <c r="M23" s="188">
        <v>0</v>
      </c>
      <c r="N23" s="187">
        <v>11.53</v>
      </c>
      <c r="O23" s="186">
        <v>0.57999999999999996</v>
      </c>
      <c r="P23" s="186">
        <v>0</v>
      </c>
      <c r="Q23" s="185">
        <v>0.55000000000000004</v>
      </c>
    </row>
    <row r="24" spans="1:17" x14ac:dyDescent="0.25">
      <c r="A24" s="184">
        <v>21</v>
      </c>
      <c r="B24" s="193" t="s">
        <v>398</v>
      </c>
      <c r="C24" s="192">
        <v>8.2390000000000008</v>
      </c>
      <c r="D24" s="191">
        <v>9</v>
      </c>
      <c r="E24" s="191">
        <v>2</v>
      </c>
      <c r="F24" s="191">
        <v>1</v>
      </c>
      <c r="G24" s="191">
        <v>56</v>
      </c>
      <c r="H24" s="190">
        <v>45</v>
      </c>
      <c r="I24" s="190">
        <v>180</v>
      </c>
      <c r="J24" s="190">
        <v>435</v>
      </c>
      <c r="K24" s="189">
        <v>0.16070000000000001</v>
      </c>
      <c r="L24" s="188">
        <v>0.33329999999999999</v>
      </c>
      <c r="M24" s="188">
        <v>0.1429</v>
      </c>
      <c r="N24" s="187">
        <v>27.31</v>
      </c>
      <c r="O24" s="186">
        <v>0.36</v>
      </c>
      <c r="P24" s="186">
        <v>0.12</v>
      </c>
      <c r="Q24" s="185">
        <v>0.55000000000000004</v>
      </c>
    </row>
    <row r="25" spans="1:17" x14ac:dyDescent="0.25">
      <c r="A25" s="184">
        <v>22</v>
      </c>
      <c r="B25" s="193" t="s">
        <v>373</v>
      </c>
      <c r="C25" s="192">
        <v>7.5380000000000003</v>
      </c>
      <c r="D25" s="191">
        <v>3</v>
      </c>
      <c r="E25" s="191">
        <v>1</v>
      </c>
      <c r="F25" s="191">
        <v>1</v>
      </c>
      <c r="G25" s="191">
        <v>33</v>
      </c>
      <c r="H25" s="190">
        <v>100</v>
      </c>
      <c r="I25" s="190">
        <v>120</v>
      </c>
      <c r="J25" s="190">
        <v>320</v>
      </c>
      <c r="K25" s="189">
        <v>9.0899999999999995E-2</v>
      </c>
      <c r="L25" s="188">
        <v>0.66669999999999996</v>
      </c>
      <c r="M25" s="188">
        <v>0.5</v>
      </c>
      <c r="N25" s="187">
        <v>29.19</v>
      </c>
      <c r="O25" s="186">
        <v>0.27</v>
      </c>
      <c r="P25" s="186">
        <v>0.13</v>
      </c>
      <c r="Q25" s="185">
        <v>0.53</v>
      </c>
    </row>
    <row r="26" spans="1:17" x14ac:dyDescent="0.25">
      <c r="A26" s="184">
        <v>23</v>
      </c>
      <c r="B26" s="193" t="s">
        <v>434</v>
      </c>
      <c r="C26" s="192">
        <v>6.343</v>
      </c>
      <c r="D26" s="191">
        <v>7</v>
      </c>
      <c r="E26" s="191">
        <v>4</v>
      </c>
      <c r="F26" s="191">
        <v>0</v>
      </c>
      <c r="G26" s="191">
        <v>28</v>
      </c>
      <c r="H26" s="190">
        <v>115</v>
      </c>
      <c r="I26" s="190">
        <v>0</v>
      </c>
      <c r="J26" s="190">
        <v>240</v>
      </c>
      <c r="K26" s="189">
        <v>0.25</v>
      </c>
      <c r="L26" s="188">
        <v>0.57140000000000002</v>
      </c>
      <c r="M26" s="188">
        <v>0</v>
      </c>
      <c r="N26" s="187">
        <v>18.13</v>
      </c>
      <c r="O26" s="186">
        <v>0.63</v>
      </c>
      <c r="P26" s="186">
        <v>0</v>
      </c>
      <c r="Q26" s="185">
        <v>0.53</v>
      </c>
    </row>
    <row r="27" spans="1:17" x14ac:dyDescent="0.25">
      <c r="A27" s="184">
        <v>24</v>
      </c>
      <c r="B27" s="193" t="s">
        <v>269</v>
      </c>
      <c r="C27" s="192">
        <v>4.0960000000000001</v>
      </c>
      <c r="D27" s="191">
        <v>2</v>
      </c>
      <c r="E27" s="191">
        <v>2</v>
      </c>
      <c r="F27" s="191">
        <v>0</v>
      </c>
      <c r="G27" s="191">
        <v>13</v>
      </c>
      <c r="H27" s="190">
        <v>125</v>
      </c>
      <c r="I27" s="190">
        <v>0</v>
      </c>
      <c r="J27" s="190">
        <v>125</v>
      </c>
      <c r="K27" s="189">
        <v>0.15379999999999999</v>
      </c>
      <c r="L27" s="188">
        <v>1</v>
      </c>
      <c r="M27" s="188">
        <v>0</v>
      </c>
      <c r="N27" s="187">
        <v>30.52</v>
      </c>
      <c r="O27" s="186">
        <v>0.49</v>
      </c>
      <c r="P27" s="186">
        <v>0</v>
      </c>
      <c r="Q27" s="185">
        <v>0.53</v>
      </c>
    </row>
    <row r="28" spans="1:17" x14ac:dyDescent="0.25">
      <c r="A28" s="184">
        <v>25</v>
      </c>
      <c r="B28" s="193" t="s">
        <v>277</v>
      </c>
      <c r="C28" s="192">
        <v>14.513</v>
      </c>
      <c r="D28" s="191">
        <v>10</v>
      </c>
      <c r="E28" s="191">
        <v>7</v>
      </c>
      <c r="F28" s="191">
        <v>0</v>
      </c>
      <c r="G28" s="191">
        <v>61</v>
      </c>
      <c r="H28" s="190">
        <v>500</v>
      </c>
      <c r="I28" s="190">
        <v>0</v>
      </c>
      <c r="J28" s="190">
        <v>515</v>
      </c>
      <c r="K28" s="189">
        <v>0.16389999999999999</v>
      </c>
      <c r="L28" s="188">
        <v>0.7</v>
      </c>
      <c r="M28" s="188">
        <v>0</v>
      </c>
      <c r="N28" s="187">
        <v>34.450000000000003</v>
      </c>
      <c r="O28" s="186">
        <v>0.48</v>
      </c>
      <c r="P28" s="186">
        <v>0</v>
      </c>
      <c r="Q28" s="185">
        <v>0.52</v>
      </c>
    </row>
    <row r="29" spans="1:17" x14ac:dyDescent="0.25">
      <c r="A29" s="184">
        <v>26</v>
      </c>
      <c r="B29" s="193" t="s">
        <v>336</v>
      </c>
      <c r="C29" s="192">
        <v>6.8090000000000002</v>
      </c>
      <c r="D29" s="191">
        <v>3</v>
      </c>
      <c r="E29" s="191">
        <v>1</v>
      </c>
      <c r="F29" s="191">
        <v>1</v>
      </c>
      <c r="G29" s="191">
        <v>39</v>
      </c>
      <c r="H29" s="190">
        <v>5</v>
      </c>
      <c r="I29" s="190">
        <v>108</v>
      </c>
      <c r="J29" s="190">
        <v>138</v>
      </c>
      <c r="K29" s="189">
        <v>7.6899999999999996E-2</v>
      </c>
      <c r="L29" s="188">
        <v>0.66669999999999996</v>
      </c>
      <c r="M29" s="188">
        <v>0.5</v>
      </c>
      <c r="N29" s="187">
        <v>16.600000000000001</v>
      </c>
      <c r="O29" s="186">
        <v>0.28999999999999998</v>
      </c>
      <c r="P29" s="186">
        <v>0.15</v>
      </c>
      <c r="Q29" s="185">
        <v>0.51</v>
      </c>
    </row>
    <row r="30" spans="1:17" x14ac:dyDescent="0.25">
      <c r="A30" s="184">
        <v>27</v>
      </c>
      <c r="B30" s="193" t="s">
        <v>341</v>
      </c>
      <c r="C30" s="192">
        <v>4.8780000000000001</v>
      </c>
      <c r="D30" s="191">
        <v>2</v>
      </c>
      <c r="E30" s="191">
        <v>2</v>
      </c>
      <c r="F30" s="191">
        <v>0</v>
      </c>
      <c r="G30" s="191">
        <v>14</v>
      </c>
      <c r="H30" s="190">
        <v>400</v>
      </c>
      <c r="I30" s="190">
        <v>0</v>
      </c>
      <c r="J30" s="190">
        <v>400</v>
      </c>
      <c r="K30" s="189">
        <v>0.1429</v>
      </c>
      <c r="L30" s="188">
        <v>1</v>
      </c>
      <c r="M30" s="188">
        <v>0</v>
      </c>
      <c r="N30" s="187">
        <v>82</v>
      </c>
      <c r="O30" s="186">
        <v>0.41</v>
      </c>
      <c r="P30" s="186">
        <v>0</v>
      </c>
      <c r="Q30" s="185">
        <v>0.51</v>
      </c>
    </row>
    <row r="31" spans="1:17" x14ac:dyDescent="0.25">
      <c r="A31" s="184">
        <v>28</v>
      </c>
      <c r="B31" s="193" t="s">
        <v>405</v>
      </c>
      <c r="C31" s="192">
        <v>9.3350000000000009</v>
      </c>
      <c r="D31" s="191">
        <v>2</v>
      </c>
      <c r="E31" s="191">
        <v>1</v>
      </c>
      <c r="F31" s="191">
        <v>1</v>
      </c>
      <c r="G31" s="191">
        <v>30</v>
      </c>
      <c r="H31" s="190">
        <v>20</v>
      </c>
      <c r="I31" s="190">
        <v>60</v>
      </c>
      <c r="J31" s="190">
        <v>80</v>
      </c>
      <c r="K31" s="189">
        <v>6.6699999999999995E-2</v>
      </c>
      <c r="L31" s="188">
        <v>1</v>
      </c>
      <c r="M31" s="188">
        <v>1</v>
      </c>
      <c r="N31" s="187">
        <v>8.57</v>
      </c>
      <c r="O31" s="186">
        <v>0.21</v>
      </c>
      <c r="P31" s="186">
        <v>0.11</v>
      </c>
      <c r="Q31" s="185">
        <v>0.5</v>
      </c>
    </row>
    <row r="32" spans="1:17" x14ac:dyDescent="0.25">
      <c r="A32" s="184">
        <v>29</v>
      </c>
      <c r="B32" s="193" t="s">
        <v>374</v>
      </c>
      <c r="C32" s="192">
        <v>9.875</v>
      </c>
      <c r="D32" s="191">
        <v>4</v>
      </c>
      <c r="E32" s="191">
        <v>1</v>
      </c>
      <c r="F32" s="191">
        <v>1</v>
      </c>
      <c r="G32" s="191">
        <v>32</v>
      </c>
      <c r="H32" s="190">
        <v>25</v>
      </c>
      <c r="I32" s="190">
        <v>120</v>
      </c>
      <c r="J32" s="190">
        <v>240</v>
      </c>
      <c r="K32" s="189">
        <v>0.125</v>
      </c>
      <c r="L32" s="188">
        <v>0.5</v>
      </c>
      <c r="M32" s="188">
        <v>0.33329999999999999</v>
      </c>
      <c r="N32" s="187">
        <v>14.68</v>
      </c>
      <c r="O32" s="186">
        <v>0.2</v>
      </c>
      <c r="P32" s="186">
        <v>0.1</v>
      </c>
      <c r="Q32" s="185">
        <v>0.47</v>
      </c>
    </row>
    <row r="33" spans="1:17" x14ac:dyDescent="0.25">
      <c r="A33" s="184">
        <v>30</v>
      </c>
      <c r="B33" s="193" t="s">
        <v>369</v>
      </c>
      <c r="C33" s="192">
        <v>6.7290000000000001</v>
      </c>
      <c r="D33" s="191">
        <v>3</v>
      </c>
      <c r="E33" s="191">
        <v>3</v>
      </c>
      <c r="F33" s="191">
        <v>0</v>
      </c>
      <c r="G33" s="191">
        <v>18</v>
      </c>
      <c r="H33" s="190">
        <v>50</v>
      </c>
      <c r="I33" s="190">
        <v>0</v>
      </c>
      <c r="J33" s="190">
        <v>50</v>
      </c>
      <c r="K33" s="189">
        <v>0.16669999999999999</v>
      </c>
      <c r="L33" s="188">
        <v>1</v>
      </c>
      <c r="M33" s="188">
        <v>0</v>
      </c>
      <c r="N33" s="187">
        <v>7.43</v>
      </c>
      <c r="O33" s="186">
        <v>0.45</v>
      </c>
      <c r="P33" s="186">
        <v>0</v>
      </c>
      <c r="Q33" s="185">
        <v>0.47</v>
      </c>
    </row>
    <row r="34" spans="1:17" x14ac:dyDescent="0.25">
      <c r="A34" s="184">
        <v>31</v>
      </c>
      <c r="B34" s="193" t="s">
        <v>291</v>
      </c>
      <c r="C34" s="192">
        <v>2.355</v>
      </c>
      <c r="D34" s="191">
        <v>1</v>
      </c>
      <c r="E34" s="191">
        <v>1</v>
      </c>
      <c r="F34" s="191">
        <v>0</v>
      </c>
      <c r="G34" s="191">
        <v>10</v>
      </c>
      <c r="H34" s="190">
        <v>100</v>
      </c>
      <c r="I34" s="190">
        <v>0</v>
      </c>
      <c r="J34" s="190">
        <v>100</v>
      </c>
      <c r="K34" s="189">
        <v>0.1</v>
      </c>
      <c r="L34" s="188">
        <v>1</v>
      </c>
      <c r="M34" s="188">
        <v>0</v>
      </c>
      <c r="N34" s="187">
        <v>42.46</v>
      </c>
      <c r="O34" s="186">
        <v>0.42</v>
      </c>
      <c r="P34" s="186">
        <v>0</v>
      </c>
      <c r="Q34" s="185">
        <v>0.47</v>
      </c>
    </row>
    <row r="35" spans="1:17" x14ac:dyDescent="0.25">
      <c r="A35" s="184">
        <v>32</v>
      </c>
      <c r="B35" s="193" t="s">
        <v>332</v>
      </c>
      <c r="C35" s="192">
        <v>7.0679999999999996</v>
      </c>
      <c r="D35" s="191">
        <v>3</v>
      </c>
      <c r="E35" s="191">
        <v>3</v>
      </c>
      <c r="F35" s="191">
        <v>0</v>
      </c>
      <c r="G35" s="191">
        <v>29</v>
      </c>
      <c r="H35" s="190">
        <v>210</v>
      </c>
      <c r="I35" s="190">
        <v>0</v>
      </c>
      <c r="J35" s="190">
        <v>210</v>
      </c>
      <c r="K35" s="189">
        <v>0.10340000000000001</v>
      </c>
      <c r="L35" s="188">
        <v>1</v>
      </c>
      <c r="M35" s="188">
        <v>0</v>
      </c>
      <c r="N35" s="187">
        <v>29.71</v>
      </c>
      <c r="O35" s="186">
        <v>0.42</v>
      </c>
      <c r="P35" s="186">
        <v>0</v>
      </c>
      <c r="Q35" s="185">
        <v>0.45</v>
      </c>
    </row>
    <row r="36" spans="1:17" x14ac:dyDescent="0.25">
      <c r="A36" s="184">
        <v>33</v>
      </c>
      <c r="B36" s="193" t="s">
        <v>359</v>
      </c>
      <c r="C36" s="192">
        <v>7.2030000000000003</v>
      </c>
      <c r="D36" s="191">
        <v>6</v>
      </c>
      <c r="E36" s="191">
        <v>3</v>
      </c>
      <c r="F36" s="191">
        <v>0</v>
      </c>
      <c r="G36" s="191">
        <v>27</v>
      </c>
      <c r="H36" s="190">
        <v>135</v>
      </c>
      <c r="I36" s="190">
        <v>0</v>
      </c>
      <c r="J36" s="190">
        <v>215</v>
      </c>
      <c r="K36" s="189">
        <v>0.22220000000000001</v>
      </c>
      <c r="L36" s="188">
        <v>0.5</v>
      </c>
      <c r="M36" s="188">
        <v>0</v>
      </c>
      <c r="N36" s="187">
        <v>18.739999999999998</v>
      </c>
      <c r="O36" s="186">
        <v>0.42</v>
      </c>
      <c r="P36" s="186">
        <v>0</v>
      </c>
      <c r="Q36" s="185">
        <v>0.45</v>
      </c>
    </row>
    <row r="37" spans="1:17" x14ac:dyDescent="0.25">
      <c r="A37" s="184">
        <v>34</v>
      </c>
      <c r="B37" s="193" t="s">
        <v>356</v>
      </c>
      <c r="C37" s="192">
        <v>6.4</v>
      </c>
      <c r="D37" s="191">
        <v>7</v>
      </c>
      <c r="E37" s="191">
        <v>3</v>
      </c>
      <c r="F37" s="191">
        <v>0</v>
      </c>
      <c r="G37" s="191">
        <v>33</v>
      </c>
      <c r="H37" s="190">
        <v>85</v>
      </c>
      <c r="I37" s="190">
        <v>0</v>
      </c>
      <c r="J37" s="190">
        <v>245</v>
      </c>
      <c r="K37" s="189">
        <v>0.21210000000000001</v>
      </c>
      <c r="L37" s="188">
        <v>0.42859999999999998</v>
      </c>
      <c r="M37" s="188">
        <v>0</v>
      </c>
      <c r="N37" s="187">
        <v>13.28</v>
      </c>
      <c r="O37" s="186">
        <v>0.47</v>
      </c>
      <c r="P37" s="186">
        <v>0</v>
      </c>
      <c r="Q37" s="185">
        <v>0.44</v>
      </c>
    </row>
    <row r="38" spans="1:17" x14ac:dyDescent="0.25">
      <c r="A38" s="184">
        <v>35</v>
      </c>
      <c r="B38" s="193" t="s">
        <v>390</v>
      </c>
      <c r="C38" s="192">
        <v>7.56</v>
      </c>
      <c r="D38" s="191">
        <v>4</v>
      </c>
      <c r="E38" s="191">
        <v>4</v>
      </c>
      <c r="F38" s="191">
        <v>0</v>
      </c>
      <c r="G38" s="191">
        <v>46</v>
      </c>
      <c r="H38" s="190">
        <v>90</v>
      </c>
      <c r="I38" s="190">
        <v>0</v>
      </c>
      <c r="J38" s="190">
        <v>90</v>
      </c>
      <c r="K38" s="189">
        <v>8.6999999999999994E-2</v>
      </c>
      <c r="L38" s="188">
        <v>1</v>
      </c>
      <c r="M38" s="188">
        <v>0</v>
      </c>
      <c r="N38" s="187">
        <v>11.9</v>
      </c>
      <c r="O38" s="186">
        <v>0.53</v>
      </c>
      <c r="P38" s="186">
        <v>0</v>
      </c>
      <c r="Q38" s="185">
        <v>0.43</v>
      </c>
    </row>
    <row r="39" spans="1:17" x14ac:dyDescent="0.25">
      <c r="A39" s="184">
        <v>36</v>
      </c>
      <c r="B39" s="193" t="s">
        <v>271</v>
      </c>
      <c r="C39" s="192">
        <v>6.5490000000000004</v>
      </c>
      <c r="D39" s="191">
        <v>6</v>
      </c>
      <c r="E39" s="191">
        <v>3</v>
      </c>
      <c r="F39" s="191">
        <v>0</v>
      </c>
      <c r="G39" s="191">
        <v>36</v>
      </c>
      <c r="H39" s="190">
        <v>100</v>
      </c>
      <c r="I39" s="190">
        <v>0</v>
      </c>
      <c r="J39" s="190">
        <v>255</v>
      </c>
      <c r="K39" s="189">
        <v>0.16669999999999999</v>
      </c>
      <c r="L39" s="188">
        <v>0.5</v>
      </c>
      <c r="M39" s="188">
        <v>0</v>
      </c>
      <c r="N39" s="187">
        <v>15.27</v>
      </c>
      <c r="O39" s="186">
        <v>0.46</v>
      </c>
      <c r="P39" s="186">
        <v>0</v>
      </c>
      <c r="Q39" s="185">
        <v>0.42</v>
      </c>
    </row>
    <row r="40" spans="1:17" x14ac:dyDescent="0.25">
      <c r="A40" s="184">
        <v>37</v>
      </c>
      <c r="B40" s="193" t="s">
        <v>281</v>
      </c>
      <c r="C40" s="192">
        <v>8.7989999999999995</v>
      </c>
      <c r="D40" s="191">
        <v>4</v>
      </c>
      <c r="E40" s="191">
        <v>3</v>
      </c>
      <c r="F40" s="191">
        <v>0</v>
      </c>
      <c r="G40" s="191">
        <v>27</v>
      </c>
      <c r="H40" s="190">
        <v>130</v>
      </c>
      <c r="I40" s="190">
        <v>0</v>
      </c>
      <c r="J40" s="190">
        <v>155</v>
      </c>
      <c r="K40" s="189">
        <v>0.14810000000000001</v>
      </c>
      <c r="L40" s="188">
        <v>0.75</v>
      </c>
      <c r="M40" s="188">
        <v>0</v>
      </c>
      <c r="N40" s="187">
        <v>14.77</v>
      </c>
      <c r="O40" s="186">
        <v>0.34</v>
      </c>
      <c r="P40" s="186">
        <v>0</v>
      </c>
      <c r="Q40" s="185">
        <v>0.41</v>
      </c>
    </row>
    <row r="41" spans="1:17" x14ac:dyDescent="0.25">
      <c r="A41" s="184">
        <v>38</v>
      </c>
      <c r="B41" s="193" t="s">
        <v>272</v>
      </c>
      <c r="C41" s="192">
        <v>10.852</v>
      </c>
      <c r="D41" s="191">
        <v>7</v>
      </c>
      <c r="E41" s="191">
        <v>5</v>
      </c>
      <c r="F41" s="191">
        <v>0</v>
      </c>
      <c r="G41" s="191">
        <v>51</v>
      </c>
      <c r="H41" s="190">
        <v>65</v>
      </c>
      <c r="I41" s="190">
        <v>0</v>
      </c>
      <c r="J41" s="190">
        <v>235</v>
      </c>
      <c r="K41" s="189">
        <v>0.13730000000000001</v>
      </c>
      <c r="L41" s="188">
        <v>0.71430000000000005</v>
      </c>
      <c r="M41" s="188">
        <v>0</v>
      </c>
      <c r="N41" s="187">
        <v>5.99</v>
      </c>
      <c r="O41" s="186">
        <v>0.46</v>
      </c>
      <c r="P41" s="186">
        <v>0</v>
      </c>
      <c r="Q41" s="185">
        <v>0.41</v>
      </c>
    </row>
    <row r="42" spans="1:17" x14ac:dyDescent="0.25">
      <c r="A42" s="184">
        <v>39</v>
      </c>
      <c r="B42" s="193" t="s">
        <v>328</v>
      </c>
      <c r="C42" s="192">
        <v>7.7990000000000004</v>
      </c>
      <c r="D42" s="191">
        <v>3</v>
      </c>
      <c r="E42" s="191">
        <v>0</v>
      </c>
      <c r="F42" s="191">
        <v>1</v>
      </c>
      <c r="G42" s="191">
        <v>25</v>
      </c>
      <c r="H42" s="190">
        <v>0</v>
      </c>
      <c r="I42" s="190">
        <v>60</v>
      </c>
      <c r="J42" s="190">
        <v>130</v>
      </c>
      <c r="K42" s="189">
        <v>0.12</v>
      </c>
      <c r="L42" s="188">
        <v>0.33329999999999999</v>
      </c>
      <c r="M42" s="188">
        <v>0.33329999999999999</v>
      </c>
      <c r="N42" s="187">
        <v>7.69</v>
      </c>
      <c r="O42" s="186">
        <v>0.13</v>
      </c>
      <c r="P42" s="186">
        <v>0.13</v>
      </c>
      <c r="Q42" s="185">
        <v>0.4</v>
      </c>
    </row>
    <row r="43" spans="1:17" x14ac:dyDescent="0.25">
      <c r="A43" s="184">
        <v>40</v>
      </c>
      <c r="B43" s="193" t="s">
        <v>351</v>
      </c>
      <c r="C43" s="192">
        <v>5.6609999999999996</v>
      </c>
      <c r="D43" s="191">
        <v>4</v>
      </c>
      <c r="E43" s="191">
        <v>2</v>
      </c>
      <c r="F43" s="191">
        <v>0</v>
      </c>
      <c r="G43" s="191">
        <v>18</v>
      </c>
      <c r="H43" s="190">
        <v>40</v>
      </c>
      <c r="I43" s="190">
        <v>0</v>
      </c>
      <c r="J43" s="190">
        <v>565</v>
      </c>
      <c r="K43" s="189">
        <v>0.22220000000000001</v>
      </c>
      <c r="L43" s="188">
        <v>0.5</v>
      </c>
      <c r="M43" s="188">
        <v>0</v>
      </c>
      <c r="N43" s="187">
        <v>7.07</v>
      </c>
      <c r="O43" s="186">
        <v>0.35</v>
      </c>
      <c r="P43" s="186">
        <v>0</v>
      </c>
      <c r="Q43" s="185">
        <v>0.39</v>
      </c>
    </row>
    <row r="44" spans="1:17" x14ac:dyDescent="0.25">
      <c r="A44" s="184">
        <v>41</v>
      </c>
      <c r="B44" s="193" t="s">
        <v>397</v>
      </c>
      <c r="C44" s="192">
        <v>6.9290000000000003</v>
      </c>
      <c r="D44" s="191">
        <v>1</v>
      </c>
      <c r="E44" s="191">
        <v>1</v>
      </c>
      <c r="F44" s="191">
        <v>0</v>
      </c>
      <c r="G44" s="191">
        <v>3</v>
      </c>
      <c r="H44" s="190">
        <v>5</v>
      </c>
      <c r="I44" s="190">
        <v>0</v>
      </c>
      <c r="J44" s="190">
        <v>5</v>
      </c>
      <c r="K44" s="189">
        <v>0.33329999999999999</v>
      </c>
      <c r="L44" s="188">
        <v>1</v>
      </c>
      <c r="M44" s="188">
        <v>0</v>
      </c>
      <c r="N44" s="187">
        <v>0.72</v>
      </c>
      <c r="O44" s="186">
        <v>0.14000000000000001</v>
      </c>
      <c r="P44" s="186">
        <v>0</v>
      </c>
      <c r="Q44" s="185">
        <v>0.39</v>
      </c>
    </row>
    <row r="45" spans="1:17" x14ac:dyDescent="0.25">
      <c r="A45" s="184">
        <v>42</v>
      </c>
      <c r="B45" s="193" t="s">
        <v>308</v>
      </c>
      <c r="C45" s="192">
        <v>6.8949999999999996</v>
      </c>
      <c r="D45" s="191">
        <v>4</v>
      </c>
      <c r="E45" s="191">
        <v>2</v>
      </c>
      <c r="F45" s="191">
        <v>0</v>
      </c>
      <c r="G45" s="191">
        <v>19</v>
      </c>
      <c r="H45" s="190">
        <v>80</v>
      </c>
      <c r="I45" s="190">
        <v>0</v>
      </c>
      <c r="J45" s="190">
        <v>100</v>
      </c>
      <c r="K45" s="189">
        <v>0.21049999999999999</v>
      </c>
      <c r="L45" s="188">
        <v>0.5</v>
      </c>
      <c r="M45" s="188">
        <v>0</v>
      </c>
      <c r="N45" s="187">
        <v>11.6</v>
      </c>
      <c r="O45" s="186">
        <v>0.28999999999999998</v>
      </c>
      <c r="P45" s="186">
        <v>0</v>
      </c>
      <c r="Q45" s="185">
        <v>0.37</v>
      </c>
    </row>
    <row r="46" spans="1:17" x14ac:dyDescent="0.25">
      <c r="A46" s="184">
        <v>43</v>
      </c>
      <c r="B46" s="193" t="s">
        <v>314</v>
      </c>
      <c r="C46" s="192">
        <v>5.258</v>
      </c>
      <c r="D46" s="191">
        <v>3</v>
      </c>
      <c r="E46" s="191">
        <v>2</v>
      </c>
      <c r="F46" s="191">
        <v>0</v>
      </c>
      <c r="G46" s="191">
        <v>24</v>
      </c>
      <c r="H46" s="190">
        <v>45</v>
      </c>
      <c r="I46" s="190">
        <v>0</v>
      </c>
      <c r="J46" s="190">
        <v>95</v>
      </c>
      <c r="K46" s="189">
        <v>0.125</v>
      </c>
      <c r="L46" s="188">
        <v>0.66669999999999996</v>
      </c>
      <c r="M46" s="188">
        <v>0</v>
      </c>
      <c r="N46" s="187">
        <v>8.56</v>
      </c>
      <c r="O46" s="186">
        <v>0.38</v>
      </c>
      <c r="P46" s="186">
        <v>0</v>
      </c>
      <c r="Q46" s="185">
        <v>0.36</v>
      </c>
    </row>
    <row r="47" spans="1:17" x14ac:dyDescent="0.25">
      <c r="A47" s="184">
        <v>44</v>
      </c>
      <c r="B47" s="193" t="s">
        <v>290</v>
      </c>
      <c r="C47" s="192">
        <v>2.3050000000000002</v>
      </c>
      <c r="D47" s="191">
        <v>1</v>
      </c>
      <c r="E47" s="191">
        <v>1</v>
      </c>
      <c r="F47" s="191">
        <v>0</v>
      </c>
      <c r="G47" s="191">
        <v>17</v>
      </c>
      <c r="H47" s="190">
        <v>10</v>
      </c>
      <c r="I47" s="190">
        <v>0</v>
      </c>
      <c r="J47" s="190">
        <v>10</v>
      </c>
      <c r="K47" s="189">
        <v>5.8799999999999998E-2</v>
      </c>
      <c r="L47" s="188">
        <v>1</v>
      </c>
      <c r="M47" s="188">
        <v>0</v>
      </c>
      <c r="N47" s="187">
        <v>4.34</v>
      </c>
      <c r="O47" s="186">
        <v>0.43</v>
      </c>
      <c r="P47" s="186">
        <v>0</v>
      </c>
      <c r="Q47" s="185">
        <v>0.35</v>
      </c>
    </row>
    <row r="48" spans="1:17" x14ac:dyDescent="0.25">
      <c r="A48" s="184">
        <v>45</v>
      </c>
      <c r="B48" s="193" t="s">
        <v>371</v>
      </c>
      <c r="C48" s="192">
        <v>12.148999999999999</v>
      </c>
      <c r="D48" s="191">
        <v>6</v>
      </c>
      <c r="E48" s="191">
        <v>4</v>
      </c>
      <c r="F48" s="191">
        <v>0</v>
      </c>
      <c r="G48" s="191">
        <v>64</v>
      </c>
      <c r="H48" s="190">
        <v>165</v>
      </c>
      <c r="I48" s="190">
        <v>0</v>
      </c>
      <c r="J48" s="190">
        <v>225</v>
      </c>
      <c r="K48" s="189">
        <v>9.3799999999999994E-2</v>
      </c>
      <c r="L48" s="188">
        <v>0.66669999999999996</v>
      </c>
      <c r="M48" s="188">
        <v>0</v>
      </c>
      <c r="N48" s="187">
        <v>13.58</v>
      </c>
      <c r="O48" s="186">
        <v>0.33</v>
      </c>
      <c r="P48" s="186">
        <v>0</v>
      </c>
      <c r="Q48" s="185">
        <v>0.34</v>
      </c>
    </row>
    <row r="49" spans="1:17" x14ac:dyDescent="0.25">
      <c r="A49" s="184">
        <v>46</v>
      </c>
      <c r="B49" s="193" t="s">
        <v>301</v>
      </c>
      <c r="C49" s="192">
        <v>6.6660000000000004</v>
      </c>
      <c r="D49" s="191">
        <v>8</v>
      </c>
      <c r="E49" s="191">
        <v>2</v>
      </c>
      <c r="F49" s="191">
        <v>0</v>
      </c>
      <c r="G49" s="191">
        <v>31</v>
      </c>
      <c r="H49" s="190">
        <v>15</v>
      </c>
      <c r="I49" s="190">
        <v>0</v>
      </c>
      <c r="J49" s="190">
        <v>260</v>
      </c>
      <c r="K49" s="189">
        <v>0.2581</v>
      </c>
      <c r="L49" s="188">
        <v>0.25</v>
      </c>
      <c r="M49" s="188">
        <v>0</v>
      </c>
      <c r="N49" s="187">
        <v>2.25</v>
      </c>
      <c r="O49" s="186">
        <v>0.3</v>
      </c>
      <c r="P49" s="186">
        <v>0</v>
      </c>
      <c r="Q49" s="185">
        <v>0.33</v>
      </c>
    </row>
    <row r="50" spans="1:17" x14ac:dyDescent="0.25">
      <c r="A50" s="184">
        <v>47</v>
      </c>
      <c r="B50" s="193" t="s">
        <v>365</v>
      </c>
      <c r="C50" s="192">
        <v>9.9220000000000006</v>
      </c>
      <c r="D50" s="191">
        <v>3</v>
      </c>
      <c r="E50" s="191">
        <v>3</v>
      </c>
      <c r="F50" s="191">
        <v>0</v>
      </c>
      <c r="G50" s="191">
        <v>55</v>
      </c>
      <c r="H50" s="190">
        <v>55</v>
      </c>
      <c r="I50" s="190">
        <v>0</v>
      </c>
      <c r="J50" s="190">
        <v>55</v>
      </c>
      <c r="K50" s="189">
        <v>5.45E-2</v>
      </c>
      <c r="L50" s="188">
        <v>1</v>
      </c>
      <c r="M50" s="188">
        <v>0</v>
      </c>
      <c r="N50" s="187">
        <v>5.54</v>
      </c>
      <c r="O50" s="186">
        <v>0.3</v>
      </c>
      <c r="P50" s="186">
        <v>0</v>
      </c>
      <c r="Q50" s="185">
        <v>0.31</v>
      </c>
    </row>
    <row r="51" spans="1:17" x14ac:dyDescent="0.25">
      <c r="A51" s="184">
        <v>48</v>
      </c>
      <c r="B51" s="193" t="s">
        <v>400</v>
      </c>
      <c r="C51" s="192">
        <v>6.7629999999999999</v>
      </c>
      <c r="D51" s="191">
        <v>2</v>
      </c>
      <c r="E51" s="191">
        <v>2</v>
      </c>
      <c r="F51" s="191">
        <v>0</v>
      </c>
      <c r="G51" s="191">
        <v>26</v>
      </c>
      <c r="H51" s="190">
        <v>10</v>
      </c>
      <c r="I51" s="190">
        <v>0</v>
      </c>
      <c r="J51" s="190">
        <v>10</v>
      </c>
      <c r="K51" s="189">
        <v>7.6899999999999996E-2</v>
      </c>
      <c r="L51" s="188">
        <v>1</v>
      </c>
      <c r="M51" s="188">
        <v>0</v>
      </c>
      <c r="N51" s="187">
        <v>1.48</v>
      </c>
      <c r="O51" s="186">
        <v>0.3</v>
      </c>
      <c r="P51" s="186">
        <v>0</v>
      </c>
      <c r="Q51" s="185">
        <v>0.3</v>
      </c>
    </row>
    <row r="52" spans="1:17" x14ac:dyDescent="0.25">
      <c r="A52" s="184">
        <v>49</v>
      </c>
      <c r="B52" s="193" t="s">
        <v>347</v>
      </c>
      <c r="C52" s="192">
        <v>7.2060000000000004</v>
      </c>
      <c r="D52" s="191">
        <v>4</v>
      </c>
      <c r="E52" s="191">
        <v>2</v>
      </c>
      <c r="F52" s="191">
        <v>0</v>
      </c>
      <c r="G52" s="191">
        <v>37</v>
      </c>
      <c r="H52" s="190">
        <v>120</v>
      </c>
      <c r="I52" s="190">
        <v>0</v>
      </c>
      <c r="J52" s="190">
        <v>220</v>
      </c>
      <c r="K52" s="189">
        <v>0.1081</v>
      </c>
      <c r="L52" s="188">
        <v>0.5</v>
      </c>
      <c r="M52" s="188">
        <v>0</v>
      </c>
      <c r="N52" s="187">
        <v>16.649999999999999</v>
      </c>
      <c r="O52" s="186">
        <v>0.28000000000000003</v>
      </c>
      <c r="P52" s="186">
        <v>0</v>
      </c>
      <c r="Q52" s="185">
        <v>0.3</v>
      </c>
    </row>
    <row r="53" spans="1:17" x14ac:dyDescent="0.25">
      <c r="A53" s="184">
        <v>50</v>
      </c>
      <c r="B53" s="193" t="s">
        <v>325</v>
      </c>
      <c r="C53" s="192">
        <v>6.4589999999999996</v>
      </c>
      <c r="D53" s="191">
        <v>3</v>
      </c>
      <c r="E53" s="191">
        <v>1</v>
      </c>
      <c r="F53" s="191">
        <v>0</v>
      </c>
      <c r="G53" s="191">
        <v>18</v>
      </c>
      <c r="H53" s="190">
        <v>50</v>
      </c>
      <c r="I53" s="190">
        <v>0</v>
      </c>
      <c r="J53" s="190">
        <v>70</v>
      </c>
      <c r="K53" s="189">
        <v>0.16669999999999999</v>
      </c>
      <c r="L53" s="188">
        <v>0.33329999999999999</v>
      </c>
      <c r="M53" s="188">
        <v>0</v>
      </c>
      <c r="N53" s="187">
        <v>7.74</v>
      </c>
      <c r="O53" s="186">
        <v>0.15</v>
      </c>
      <c r="P53" s="186">
        <v>0</v>
      </c>
      <c r="Q53" s="185">
        <v>0.28000000000000003</v>
      </c>
    </row>
    <row r="54" spans="1:17" x14ac:dyDescent="0.25">
      <c r="A54" s="184">
        <v>51</v>
      </c>
      <c r="B54" s="193" t="s">
        <v>299</v>
      </c>
      <c r="C54" s="192">
        <v>5.83</v>
      </c>
      <c r="D54" s="191">
        <v>1</v>
      </c>
      <c r="E54" s="191">
        <v>1</v>
      </c>
      <c r="F54" s="191">
        <v>0</v>
      </c>
      <c r="G54" s="191">
        <v>24</v>
      </c>
      <c r="H54" s="190">
        <v>10</v>
      </c>
      <c r="I54" s="190">
        <v>0</v>
      </c>
      <c r="J54" s="190">
        <v>10</v>
      </c>
      <c r="K54" s="189">
        <v>4.1700000000000001E-2</v>
      </c>
      <c r="L54" s="188">
        <v>1</v>
      </c>
      <c r="M54" s="188">
        <v>0</v>
      </c>
      <c r="N54" s="187">
        <v>1.72</v>
      </c>
      <c r="O54" s="186">
        <v>0.17</v>
      </c>
      <c r="P54" s="186">
        <v>0</v>
      </c>
      <c r="Q54" s="185">
        <v>0.26</v>
      </c>
    </row>
    <row r="55" spans="1:17" x14ac:dyDescent="0.25">
      <c r="A55" s="184">
        <v>52</v>
      </c>
      <c r="B55" s="193" t="s">
        <v>357</v>
      </c>
      <c r="C55" s="192">
        <v>8.4909999999999997</v>
      </c>
      <c r="D55" s="191">
        <v>6</v>
      </c>
      <c r="E55" s="191">
        <v>1</v>
      </c>
      <c r="F55" s="191">
        <v>0</v>
      </c>
      <c r="G55" s="191">
        <v>31</v>
      </c>
      <c r="H55" s="190">
        <v>50</v>
      </c>
      <c r="I55" s="190">
        <v>0</v>
      </c>
      <c r="J55" s="190">
        <v>210</v>
      </c>
      <c r="K55" s="189">
        <v>0.19350000000000001</v>
      </c>
      <c r="L55" s="188">
        <v>0.16669999999999999</v>
      </c>
      <c r="M55" s="188">
        <v>0</v>
      </c>
      <c r="N55" s="187">
        <v>5.89</v>
      </c>
      <c r="O55" s="186">
        <v>0.12</v>
      </c>
      <c r="P55" s="186">
        <v>0</v>
      </c>
      <c r="Q55" s="185">
        <v>0.26</v>
      </c>
    </row>
    <row r="56" spans="1:17" x14ac:dyDescent="0.25">
      <c r="A56" s="184">
        <v>53</v>
      </c>
      <c r="B56" s="193" t="s">
        <v>379</v>
      </c>
      <c r="C56" s="192">
        <v>7.2169999999999996</v>
      </c>
      <c r="D56" s="191">
        <v>3</v>
      </c>
      <c r="E56" s="191">
        <v>1</v>
      </c>
      <c r="F56" s="191">
        <v>0</v>
      </c>
      <c r="G56" s="191">
        <v>17</v>
      </c>
      <c r="H56" s="190">
        <v>10</v>
      </c>
      <c r="I56" s="190">
        <v>0</v>
      </c>
      <c r="J56" s="190">
        <v>80</v>
      </c>
      <c r="K56" s="189">
        <v>0.17649999999999999</v>
      </c>
      <c r="L56" s="188">
        <v>0.33329999999999999</v>
      </c>
      <c r="M56" s="188">
        <v>0</v>
      </c>
      <c r="N56" s="187">
        <v>1.39</v>
      </c>
      <c r="O56" s="186">
        <v>0.14000000000000001</v>
      </c>
      <c r="P56" s="186">
        <v>0</v>
      </c>
      <c r="Q56" s="185">
        <v>0.25</v>
      </c>
    </row>
    <row r="57" spans="1:17" x14ac:dyDescent="0.25">
      <c r="A57" s="184">
        <v>54</v>
      </c>
      <c r="B57" s="193" t="s">
        <v>280</v>
      </c>
      <c r="C57" s="192">
        <v>6.6369999999999996</v>
      </c>
      <c r="D57" s="191">
        <v>3</v>
      </c>
      <c r="E57" s="191">
        <v>1</v>
      </c>
      <c r="F57" s="191">
        <v>0</v>
      </c>
      <c r="G57" s="191">
        <v>20</v>
      </c>
      <c r="H57" s="190">
        <v>5</v>
      </c>
      <c r="I57" s="190">
        <v>0</v>
      </c>
      <c r="J57" s="190">
        <v>455</v>
      </c>
      <c r="K57" s="189">
        <v>0.15</v>
      </c>
      <c r="L57" s="188">
        <v>0.33329999999999999</v>
      </c>
      <c r="M57" s="188">
        <v>0</v>
      </c>
      <c r="N57" s="187">
        <v>0.75</v>
      </c>
      <c r="O57" s="186">
        <v>0.15</v>
      </c>
      <c r="P57" s="186">
        <v>0</v>
      </c>
      <c r="Q57" s="185">
        <v>0.23</v>
      </c>
    </row>
    <row r="58" spans="1:17" x14ac:dyDescent="0.25">
      <c r="A58" s="184">
        <v>55</v>
      </c>
      <c r="B58" s="193" t="s">
        <v>354</v>
      </c>
      <c r="C58" s="192">
        <v>6.9370000000000003</v>
      </c>
      <c r="D58" s="191">
        <v>3</v>
      </c>
      <c r="E58" s="191">
        <v>1</v>
      </c>
      <c r="F58" s="191">
        <v>0</v>
      </c>
      <c r="G58" s="191">
        <v>19</v>
      </c>
      <c r="H58" s="190">
        <v>30</v>
      </c>
      <c r="I58" s="190">
        <v>0</v>
      </c>
      <c r="J58" s="190">
        <v>160</v>
      </c>
      <c r="K58" s="189">
        <v>0.15790000000000001</v>
      </c>
      <c r="L58" s="188">
        <v>0.33329999999999999</v>
      </c>
      <c r="M58" s="188">
        <v>0</v>
      </c>
      <c r="N58" s="187">
        <v>4.32</v>
      </c>
      <c r="O58" s="186">
        <v>0.14000000000000001</v>
      </c>
      <c r="P58" s="186">
        <v>0</v>
      </c>
      <c r="Q58" s="185">
        <v>0.23</v>
      </c>
    </row>
    <row r="59" spans="1:17" x14ac:dyDescent="0.25">
      <c r="A59" s="184">
        <v>56</v>
      </c>
      <c r="B59" s="193" t="s">
        <v>286</v>
      </c>
      <c r="C59" s="192">
        <v>7.2830000000000004</v>
      </c>
      <c r="D59" s="191">
        <v>2</v>
      </c>
      <c r="E59" s="191">
        <v>1</v>
      </c>
      <c r="F59" s="191">
        <v>0</v>
      </c>
      <c r="G59" s="191">
        <v>19</v>
      </c>
      <c r="H59" s="190">
        <v>25</v>
      </c>
      <c r="I59" s="190">
        <v>0</v>
      </c>
      <c r="J59" s="190">
        <v>50</v>
      </c>
      <c r="K59" s="189">
        <v>0.1053</v>
      </c>
      <c r="L59" s="188">
        <v>0.5</v>
      </c>
      <c r="M59" s="188">
        <v>0</v>
      </c>
      <c r="N59" s="187">
        <v>3.43</v>
      </c>
      <c r="O59" s="186">
        <v>0.14000000000000001</v>
      </c>
      <c r="P59" s="186">
        <v>0</v>
      </c>
      <c r="Q59" s="185">
        <v>0.21</v>
      </c>
    </row>
    <row r="60" spans="1:17" x14ac:dyDescent="0.25">
      <c r="A60" s="184">
        <v>57</v>
      </c>
      <c r="B60" s="193" t="s">
        <v>288</v>
      </c>
      <c r="C60" s="192">
        <v>0.64500000000000002</v>
      </c>
      <c r="D60" s="191">
        <v>1</v>
      </c>
      <c r="E60" s="191">
        <v>0</v>
      </c>
      <c r="F60" s="191">
        <v>0</v>
      </c>
      <c r="G60" s="191">
        <v>2</v>
      </c>
      <c r="H60" s="190">
        <v>0</v>
      </c>
      <c r="I60" s="190">
        <v>0</v>
      </c>
      <c r="J60" s="190">
        <v>10</v>
      </c>
      <c r="K60" s="189">
        <v>0.5</v>
      </c>
      <c r="L60" s="188">
        <v>0</v>
      </c>
      <c r="M60" s="188">
        <v>0</v>
      </c>
      <c r="N60" s="187">
        <v>0</v>
      </c>
      <c r="O60" s="186">
        <v>0</v>
      </c>
      <c r="P60" s="186">
        <v>0</v>
      </c>
      <c r="Q60" s="185">
        <v>0.2</v>
      </c>
    </row>
    <row r="61" spans="1:17" x14ac:dyDescent="0.25">
      <c r="A61" s="184">
        <v>58</v>
      </c>
      <c r="B61" s="193" t="s">
        <v>375</v>
      </c>
      <c r="C61" s="192">
        <v>9.7469999999999999</v>
      </c>
      <c r="D61" s="191">
        <v>3</v>
      </c>
      <c r="E61" s="191">
        <v>1</v>
      </c>
      <c r="F61" s="191">
        <v>0</v>
      </c>
      <c r="G61" s="191">
        <v>26</v>
      </c>
      <c r="H61" s="190">
        <v>50</v>
      </c>
      <c r="I61" s="190">
        <v>0</v>
      </c>
      <c r="J61" s="190">
        <v>100</v>
      </c>
      <c r="K61" s="189">
        <v>0.1154</v>
      </c>
      <c r="L61" s="188">
        <v>0.33329999999999999</v>
      </c>
      <c r="M61" s="188">
        <v>0</v>
      </c>
      <c r="N61" s="187">
        <v>5.13</v>
      </c>
      <c r="O61" s="186">
        <v>0.1</v>
      </c>
      <c r="P61" s="186">
        <v>0</v>
      </c>
      <c r="Q61" s="185">
        <v>0.19</v>
      </c>
    </row>
    <row r="62" spans="1:17" x14ac:dyDescent="0.25">
      <c r="A62" s="184">
        <v>59</v>
      </c>
      <c r="B62" s="193" t="s">
        <v>385</v>
      </c>
      <c r="C62" s="192">
        <v>7.3490000000000002</v>
      </c>
      <c r="D62" s="191">
        <v>3</v>
      </c>
      <c r="E62" s="191">
        <v>0</v>
      </c>
      <c r="F62" s="191">
        <v>0</v>
      </c>
      <c r="G62" s="191">
        <v>15</v>
      </c>
      <c r="H62" s="190">
        <v>0</v>
      </c>
      <c r="I62" s="190">
        <v>0</v>
      </c>
      <c r="J62" s="190">
        <v>160</v>
      </c>
      <c r="K62" s="189">
        <v>0.2</v>
      </c>
      <c r="L62" s="188">
        <v>0</v>
      </c>
      <c r="M62" s="188">
        <v>0</v>
      </c>
      <c r="N62" s="187">
        <v>0</v>
      </c>
      <c r="O62" s="186">
        <v>0</v>
      </c>
      <c r="P62" s="186">
        <v>0</v>
      </c>
      <c r="Q62" s="185">
        <v>0.16</v>
      </c>
    </row>
    <row r="63" spans="1:17" x14ac:dyDescent="0.25">
      <c r="A63" s="184">
        <v>60</v>
      </c>
      <c r="B63" s="193" t="s">
        <v>326</v>
      </c>
      <c r="C63" s="192">
        <v>7.0339999999999998</v>
      </c>
      <c r="D63" s="191">
        <v>1</v>
      </c>
      <c r="E63" s="191">
        <v>0</v>
      </c>
      <c r="F63" s="191">
        <v>0</v>
      </c>
      <c r="G63" s="191">
        <v>12</v>
      </c>
      <c r="H63" s="190">
        <v>0</v>
      </c>
      <c r="I63" s="190">
        <v>0</v>
      </c>
      <c r="J63" s="190">
        <v>25</v>
      </c>
      <c r="K63" s="189">
        <v>8.3299999999999999E-2</v>
      </c>
      <c r="L63" s="188">
        <v>0</v>
      </c>
      <c r="M63" s="188">
        <v>0</v>
      </c>
      <c r="N63" s="187">
        <v>0</v>
      </c>
      <c r="O63" s="186">
        <v>0</v>
      </c>
      <c r="P63" s="186">
        <v>0</v>
      </c>
      <c r="Q63" s="185">
        <v>0.05</v>
      </c>
    </row>
    <row r="64" spans="1:17" x14ac:dyDescent="0.25">
      <c r="A64" s="184">
        <v>61</v>
      </c>
      <c r="B64" s="193" t="s">
        <v>321</v>
      </c>
      <c r="C64" s="192">
        <v>4.4240000000000004</v>
      </c>
      <c r="D64" s="191">
        <v>1</v>
      </c>
      <c r="E64" s="191">
        <v>0</v>
      </c>
      <c r="F64" s="191">
        <v>0</v>
      </c>
      <c r="G64" s="191">
        <v>12</v>
      </c>
      <c r="H64" s="190">
        <v>0</v>
      </c>
      <c r="I64" s="190">
        <v>0</v>
      </c>
      <c r="J64" s="190">
        <v>50</v>
      </c>
      <c r="K64" s="189">
        <v>8.3299999999999999E-2</v>
      </c>
      <c r="L64" s="188">
        <v>0</v>
      </c>
      <c r="M64" s="188">
        <v>0</v>
      </c>
      <c r="N64" s="187">
        <v>0</v>
      </c>
      <c r="O64" s="186">
        <v>0</v>
      </c>
      <c r="P64" s="186">
        <v>0</v>
      </c>
      <c r="Q64" s="185">
        <v>0.05</v>
      </c>
    </row>
    <row r="65" spans="1:17" x14ac:dyDescent="0.25">
      <c r="A65" s="184">
        <v>62</v>
      </c>
      <c r="B65" s="193" t="s">
        <v>408</v>
      </c>
      <c r="C65" s="192">
        <v>2.173</v>
      </c>
      <c r="D65" s="191">
        <v>1</v>
      </c>
      <c r="E65" s="191">
        <v>0</v>
      </c>
      <c r="F65" s="191">
        <v>0</v>
      </c>
      <c r="G65" s="191">
        <v>13</v>
      </c>
      <c r="H65" s="190">
        <v>0</v>
      </c>
      <c r="I65" s="190">
        <v>0</v>
      </c>
      <c r="J65" s="190">
        <v>50</v>
      </c>
      <c r="K65" s="189">
        <v>7.6899999999999996E-2</v>
      </c>
      <c r="L65" s="188">
        <v>0</v>
      </c>
      <c r="M65" s="188">
        <v>0</v>
      </c>
      <c r="N65" s="187">
        <v>0</v>
      </c>
      <c r="O65" s="186">
        <v>0</v>
      </c>
      <c r="P65" s="186">
        <v>0</v>
      </c>
      <c r="Q65" s="185">
        <v>0.04</v>
      </c>
    </row>
    <row r="66" spans="1:17" x14ac:dyDescent="0.25">
      <c r="A66" s="184">
        <v>63</v>
      </c>
      <c r="B66" s="193" t="s">
        <v>432</v>
      </c>
      <c r="C66" s="192">
        <v>3.1659999999999999</v>
      </c>
      <c r="D66" s="191">
        <v>0</v>
      </c>
      <c r="E66" s="191">
        <v>0</v>
      </c>
      <c r="F66" s="191">
        <v>0</v>
      </c>
      <c r="G66" s="191">
        <v>10</v>
      </c>
      <c r="H66" s="190">
        <v>0</v>
      </c>
      <c r="I66" s="190">
        <v>0</v>
      </c>
      <c r="J66" s="190">
        <v>0</v>
      </c>
      <c r="K66" s="189">
        <v>0</v>
      </c>
      <c r="L66" s="188">
        <v>0</v>
      </c>
      <c r="M66" s="188">
        <v>0</v>
      </c>
      <c r="N66" s="187">
        <v>0</v>
      </c>
      <c r="O66" s="186">
        <v>0</v>
      </c>
      <c r="P66" s="186">
        <v>0</v>
      </c>
      <c r="Q66" s="185">
        <v>0.01</v>
      </c>
    </row>
    <row r="67" spans="1:17" x14ac:dyDescent="0.25">
      <c r="A67" s="184">
        <v>64</v>
      </c>
      <c r="B67" s="193" t="s">
        <v>330</v>
      </c>
      <c r="C67" s="192">
        <v>2.3849999999999998</v>
      </c>
      <c r="D67" s="191">
        <v>0</v>
      </c>
      <c r="E67" s="191">
        <v>0</v>
      </c>
      <c r="F67" s="191">
        <v>0</v>
      </c>
      <c r="G67" s="191">
        <v>6</v>
      </c>
      <c r="H67" s="190">
        <v>0</v>
      </c>
      <c r="I67" s="190">
        <v>0</v>
      </c>
      <c r="J67" s="190">
        <v>0</v>
      </c>
      <c r="K67" s="189">
        <v>0</v>
      </c>
      <c r="L67" s="188">
        <v>0</v>
      </c>
      <c r="M67" s="188">
        <v>0</v>
      </c>
      <c r="N67" s="187">
        <v>0</v>
      </c>
      <c r="O67" s="186">
        <v>0</v>
      </c>
      <c r="P67" s="186">
        <v>0</v>
      </c>
      <c r="Q67" s="185">
        <v>0.01</v>
      </c>
    </row>
    <row r="68" spans="1:17" x14ac:dyDescent="0.25">
      <c r="A68" s="184">
        <v>65</v>
      </c>
      <c r="B68" s="193" t="s">
        <v>316</v>
      </c>
      <c r="C68" s="192">
        <v>6.6760000000000002</v>
      </c>
      <c r="D68" s="191">
        <v>0</v>
      </c>
      <c r="E68" s="191">
        <v>0</v>
      </c>
      <c r="F68" s="191">
        <v>0</v>
      </c>
      <c r="G68" s="191">
        <v>3</v>
      </c>
      <c r="H68" s="190">
        <v>0</v>
      </c>
      <c r="I68" s="190">
        <v>0</v>
      </c>
      <c r="J68" s="190">
        <v>0</v>
      </c>
      <c r="K68" s="189">
        <v>0</v>
      </c>
      <c r="L68" s="188">
        <v>0</v>
      </c>
      <c r="M68" s="188">
        <v>0</v>
      </c>
      <c r="N68" s="187">
        <v>0</v>
      </c>
      <c r="O68" s="186">
        <v>0</v>
      </c>
      <c r="P68" s="186">
        <v>0</v>
      </c>
      <c r="Q68" s="185">
        <v>0.01</v>
      </c>
    </row>
    <row r="69" spans="1:17" x14ac:dyDescent="0.25">
      <c r="A69" s="184">
        <v>66</v>
      </c>
      <c r="B69" s="193" t="s">
        <v>353</v>
      </c>
      <c r="C69" s="192">
        <v>4.1520000000000001</v>
      </c>
      <c r="D69" s="191">
        <v>0</v>
      </c>
      <c r="E69" s="191">
        <v>0</v>
      </c>
      <c r="F69" s="191">
        <v>0</v>
      </c>
      <c r="G69" s="191">
        <v>3</v>
      </c>
      <c r="H69" s="190">
        <v>0</v>
      </c>
      <c r="I69" s="190">
        <v>0</v>
      </c>
      <c r="J69" s="190">
        <v>0</v>
      </c>
      <c r="K69" s="189">
        <v>0</v>
      </c>
      <c r="L69" s="188">
        <v>0</v>
      </c>
      <c r="M69" s="188">
        <v>0</v>
      </c>
      <c r="N69" s="187">
        <v>0</v>
      </c>
      <c r="O69" s="186">
        <v>0</v>
      </c>
      <c r="P69" s="186">
        <v>0</v>
      </c>
      <c r="Q69" s="185">
        <v>0.01</v>
      </c>
    </row>
    <row r="70" spans="1:17" x14ac:dyDescent="0.25">
      <c r="A70" s="184">
        <v>67</v>
      </c>
      <c r="B70" s="193" t="s">
        <v>420</v>
      </c>
      <c r="C70" s="192">
        <v>4.4279999999999999</v>
      </c>
      <c r="D70" s="191">
        <v>0</v>
      </c>
      <c r="E70" s="191">
        <v>0</v>
      </c>
      <c r="F70" s="191">
        <v>0</v>
      </c>
      <c r="G70" s="191">
        <v>6</v>
      </c>
      <c r="H70" s="190">
        <v>0</v>
      </c>
      <c r="I70" s="190">
        <v>0</v>
      </c>
      <c r="J70" s="190">
        <v>0</v>
      </c>
      <c r="K70" s="189">
        <v>0</v>
      </c>
      <c r="L70" s="188">
        <v>0</v>
      </c>
      <c r="M70" s="188">
        <v>0</v>
      </c>
      <c r="N70" s="187">
        <v>0</v>
      </c>
      <c r="O70" s="186">
        <v>0</v>
      </c>
      <c r="P70" s="186">
        <v>0</v>
      </c>
      <c r="Q70" s="185">
        <v>0.01</v>
      </c>
    </row>
    <row r="71" spans="1:17" x14ac:dyDescent="0.25">
      <c r="A71" s="184" t="s">
        <v>171</v>
      </c>
      <c r="B71" s="183" t="s">
        <v>3</v>
      </c>
      <c r="C71" s="182">
        <v>433.03100000000001</v>
      </c>
      <c r="D71" s="181">
        <v>235</v>
      </c>
      <c r="E71" s="181">
        <v>125</v>
      </c>
      <c r="F71" s="181">
        <v>20</v>
      </c>
      <c r="G71" s="200">
        <v>1614</v>
      </c>
      <c r="H71" s="180">
        <v>6335</v>
      </c>
      <c r="I71" s="180">
        <v>2196</v>
      </c>
      <c r="J71" s="180">
        <v>13245</v>
      </c>
      <c r="K71" s="179">
        <v>0.14560000000000001</v>
      </c>
      <c r="L71" s="178">
        <v>0.61699999999999999</v>
      </c>
      <c r="M71" s="178">
        <v>0.18179999999999999</v>
      </c>
      <c r="N71" s="177">
        <v>19.7</v>
      </c>
      <c r="O71" s="176">
        <v>0.33</v>
      </c>
      <c r="P71" s="176">
        <v>0.05</v>
      </c>
      <c r="Q71" s="175" t="s">
        <v>171</v>
      </c>
    </row>
  </sheetData>
  <mergeCells count="3">
    <mergeCell ref="F1:L1"/>
    <mergeCell ref="A2:A3"/>
    <mergeCell ref="B2:B3"/>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FF0000"/>
  </sheetPr>
  <dimension ref="A1:Q70"/>
  <sheetViews>
    <sheetView topLeftCell="A16" workbookViewId="0">
      <selection activeCell="B27" sqref="B27"/>
    </sheetView>
  </sheetViews>
  <sheetFormatPr defaultRowHeight="11.25" x14ac:dyDescent="0.25"/>
  <cols>
    <col min="1" max="1" width="6" style="93" bestFit="1" customWidth="1"/>
    <col min="2" max="2" width="22.42578125" style="94" bestFit="1" customWidth="1"/>
    <col min="3" max="3" width="8.28515625" style="93" bestFit="1" customWidth="1"/>
    <col min="4" max="4" width="6" style="93" bestFit="1" customWidth="1"/>
    <col min="5" max="5" width="10.28515625" style="93" bestFit="1" customWidth="1"/>
    <col min="6" max="6" width="10.42578125" style="93" bestFit="1" customWidth="1"/>
    <col min="7" max="7" width="8.42578125" style="93" bestFit="1" customWidth="1"/>
    <col min="8" max="8" width="12" style="93" bestFit="1" customWidth="1"/>
    <col min="9" max="9" width="10.42578125" style="93" bestFit="1" customWidth="1"/>
    <col min="10" max="10" width="12" style="93" bestFit="1" customWidth="1"/>
    <col min="11" max="11" width="13.42578125" style="93" bestFit="1" customWidth="1"/>
    <col min="12" max="12" width="11.42578125" style="93" bestFit="1" customWidth="1"/>
    <col min="13" max="13" width="10.42578125" style="93" bestFit="1" customWidth="1"/>
    <col min="14" max="14" width="11.85546875" style="93" bestFit="1" customWidth="1"/>
    <col min="15" max="15" width="11.42578125" style="93" bestFit="1" customWidth="1"/>
    <col min="16" max="16" width="10.42578125" style="93" bestFit="1" customWidth="1"/>
    <col min="17" max="17" width="12.28515625" style="93" bestFit="1" customWidth="1"/>
    <col min="18" max="16384" width="9.140625" style="93"/>
  </cols>
  <sheetData>
    <row r="1" spans="1:17" ht="22.5" customHeight="1" x14ac:dyDescent="0.25">
      <c r="F1" s="610"/>
      <c r="G1" s="610"/>
      <c r="H1" s="610"/>
      <c r="I1" s="610"/>
      <c r="J1" s="610"/>
      <c r="K1" s="610"/>
      <c r="L1" s="610"/>
    </row>
    <row r="2" spans="1:17" ht="22.5" customHeight="1" x14ac:dyDescent="0.25">
      <c r="A2" s="606" t="s">
        <v>172</v>
      </c>
      <c r="B2" s="608" t="s">
        <v>7</v>
      </c>
      <c r="C2" s="199" t="s">
        <v>173</v>
      </c>
      <c r="D2" s="198" t="s">
        <v>3</v>
      </c>
      <c r="E2" s="198" t="s">
        <v>176</v>
      </c>
      <c r="F2" s="198" t="s">
        <v>166</v>
      </c>
      <c r="G2" s="198" t="s">
        <v>8</v>
      </c>
      <c r="H2" s="198" t="s">
        <v>176</v>
      </c>
      <c r="I2" s="198" t="s">
        <v>166</v>
      </c>
      <c r="J2" s="198" t="s">
        <v>3</v>
      </c>
      <c r="K2" s="198" t="s">
        <v>21</v>
      </c>
      <c r="L2" s="198" t="s">
        <v>164</v>
      </c>
      <c r="M2" s="198" t="s">
        <v>166</v>
      </c>
      <c r="N2" s="198" t="s">
        <v>164</v>
      </c>
      <c r="O2" s="198" t="s">
        <v>164</v>
      </c>
      <c r="P2" s="198" t="s">
        <v>166</v>
      </c>
      <c r="Q2" s="197" t="s">
        <v>169</v>
      </c>
    </row>
    <row r="3" spans="1:17" ht="22.5" customHeight="1" x14ac:dyDescent="0.25">
      <c r="A3" s="607"/>
      <c r="B3" s="609"/>
      <c r="C3" s="196" t="s">
        <v>174</v>
      </c>
      <c r="D3" s="195" t="s">
        <v>175</v>
      </c>
      <c r="E3" s="195" t="s">
        <v>175</v>
      </c>
      <c r="F3" s="195" t="s">
        <v>175</v>
      </c>
      <c r="G3" s="195" t="s">
        <v>12</v>
      </c>
      <c r="H3" s="195" t="s">
        <v>9</v>
      </c>
      <c r="I3" s="195" t="s">
        <v>9</v>
      </c>
      <c r="J3" s="195" t="s">
        <v>9</v>
      </c>
      <c r="K3" s="195" t="s">
        <v>13</v>
      </c>
      <c r="L3" s="195" t="s">
        <v>165</v>
      </c>
      <c r="M3" s="195" t="s">
        <v>165</v>
      </c>
      <c r="N3" s="195" t="s">
        <v>167</v>
      </c>
      <c r="O3" s="195" t="s">
        <v>168</v>
      </c>
      <c r="P3" s="195" t="s">
        <v>168</v>
      </c>
      <c r="Q3" s="194" t="s">
        <v>170</v>
      </c>
    </row>
    <row r="4" spans="1:17" ht="22.5" customHeight="1" x14ac:dyDescent="0.25">
      <c r="A4" s="184">
        <v>1</v>
      </c>
      <c r="B4" s="193" t="s">
        <v>430</v>
      </c>
      <c r="C4" s="192">
        <v>6.5110000000000001</v>
      </c>
      <c r="D4" s="191">
        <v>10</v>
      </c>
      <c r="E4" s="191">
        <v>5</v>
      </c>
      <c r="F4" s="191">
        <v>2</v>
      </c>
      <c r="G4" s="191">
        <v>15</v>
      </c>
      <c r="H4" s="190">
        <v>110</v>
      </c>
      <c r="I4" s="190">
        <v>180</v>
      </c>
      <c r="J4" s="190">
        <v>440</v>
      </c>
      <c r="K4" s="189">
        <v>0.66669999999999996</v>
      </c>
      <c r="L4" s="188">
        <v>0.7</v>
      </c>
      <c r="M4" s="188">
        <v>0.4</v>
      </c>
      <c r="N4" s="187">
        <v>44.54</v>
      </c>
      <c r="O4" s="186">
        <v>1.08</v>
      </c>
      <c r="P4" s="186">
        <v>0.31</v>
      </c>
      <c r="Q4" s="185">
        <v>0.88</v>
      </c>
    </row>
    <row r="5" spans="1:17" ht="22.5" customHeight="1" x14ac:dyDescent="0.25">
      <c r="A5" s="184">
        <v>2</v>
      </c>
      <c r="B5" s="193" t="s">
        <v>400</v>
      </c>
      <c r="C5" s="192">
        <v>4.3609999999999998</v>
      </c>
      <c r="D5" s="191">
        <v>4</v>
      </c>
      <c r="E5" s="191">
        <v>2</v>
      </c>
      <c r="F5" s="191">
        <v>1</v>
      </c>
      <c r="G5" s="191">
        <v>10</v>
      </c>
      <c r="H5" s="190">
        <v>145</v>
      </c>
      <c r="I5" s="190">
        <v>120</v>
      </c>
      <c r="J5" s="190">
        <v>275</v>
      </c>
      <c r="K5" s="189">
        <v>0.4</v>
      </c>
      <c r="L5" s="188">
        <v>0.75</v>
      </c>
      <c r="M5" s="188">
        <v>0.5</v>
      </c>
      <c r="N5" s="187">
        <v>60.77</v>
      </c>
      <c r="O5" s="186">
        <v>0.69</v>
      </c>
      <c r="P5" s="186">
        <v>0.23</v>
      </c>
      <c r="Q5" s="185">
        <v>0.87</v>
      </c>
    </row>
    <row r="6" spans="1:17" ht="22.5" customHeight="1" x14ac:dyDescent="0.25">
      <c r="A6" s="184">
        <v>3</v>
      </c>
      <c r="B6" s="193" t="s">
        <v>272</v>
      </c>
      <c r="C6" s="192">
        <v>9.2390000000000008</v>
      </c>
      <c r="D6" s="191">
        <v>8</v>
      </c>
      <c r="E6" s="191">
        <v>5</v>
      </c>
      <c r="F6" s="191">
        <v>1</v>
      </c>
      <c r="G6" s="191">
        <v>33</v>
      </c>
      <c r="H6" s="190">
        <v>385</v>
      </c>
      <c r="I6" s="190">
        <v>36</v>
      </c>
      <c r="J6" s="190">
        <v>496</v>
      </c>
      <c r="K6" s="189">
        <v>0.2424</v>
      </c>
      <c r="L6" s="188">
        <v>0.75</v>
      </c>
      <c r="M6" s="188">
        <v>0.33329999999999999</v>
      </c>
      <c r="N6" s="187">
        <v>45.57</v>
      </c>
      <c r="O6" s="186">
        <v>0.65</v>
      </c>
      <c r="P6" s="186">
        <v>0.11</v>
      </c>
      <c r="Q6" s="185">
        <v>0.81</v>
      </c>
    </row>
    <row r="7" spans="1:17" ht="22.5" customHeight="1" x14ac:dyDescent="0.25">
      <c r="A7" s="184">
        <v>4</v>
      </c>
      <c r="B7" s="193" t="s">
        <v>405</v>
      </c>
      <c r="C7" s="192">
        <v>4.2039999999999997</v>
      </c>
      <c r="D7" s="191">
        <v>2</v>
      </c>
      <c r="E7" s="191">
        <v>1</v>
      </c>
      <c r="F7" s="191">
        <v>1</v>
      </c>
      <c r="G7" s="191">
        <v>15</v>
      </c>
      <c r="H7" s="190">
        <v>100</v>
      </c>
      <c r="I7" s="190">
        <v>120</v>
      </c>
      <c r="J7" s="190">
        <v>220</v>
      </c>
      <c r="K7" s="189">
        <v>0.1333</v>
      </c>
      <c r="L7" s="188">
        <v>1</v>
      </c>
      <c r="M7" s="188">
        <v>1</v>
      </c>
      <c r="N7" s="187">
        <v>52.33</v>
      </c>
      <c r="O7" s="186">
        <v>0.48</v>
      </c>
      <c r="P7" s="186">
        <v>0.24</v>
      </c>
      <c r="Q7" s="185">
        <v>0.79</v>
      </c>
    </row>
    <row r="8" spans="1:17" ht="22.5" customHeight="1" x14ac:dyDescent="0.25">
      <c r="A8" s="184">
        <v>5</v>
      </c>
      <c r="B8" s="193" t="s">
        <v>325</v>
      </c>
      <c r="C8" s="192">
        <v>5.7469999999999999</v>
      </c>
      <c r="D8" s="191">
        <v>6</v>
      </c>
      <c r="E8" s="191">
        <v>2</v>
      </c>
      <c r="F8" s="191">
        <v>1</v>
      </c>
      <c r="G8" s="191">
        <v>14</v>
      </c>
      <c r="H8" s="190">
        <v>105</v>
      </c>
      <c r="I8" s="190">
        <v>60</v>
      </c>
      <c r="J8" s="190">
        <v>235</v>
      </c>
      <c r="K8" s="189">
        <v>0.42859999999999998</v>
      </c>
      <c r="L8" s="188">
        <v>0.5</v>
      </c>
      <c r="M8" s="188">
        <v>0.25</v>
      </c>
      <c r="N8" s="187">
        <v>28.71</v>
      </c>
      <c r="O8" s="186">
        <v>0.52</v>
      </c>
      <c r="P8" s="186">
        <v>0.17</v>
      </c>
      <c r="Q8" s="185">
        <v>0.79</v>
      </c>
    </row>
    <row r="9" spans="1:17" ht="22.5" customHeight="1" x14ac:dyDescent="0.25">
      <c r="A9" s="184">
        <v>6</v>
      </c>
      <c r="B9" s="193" t="s">
        <v>314</v>
      </c>
      <c r="C9" s="192">
        <v>4.33</v>
      </c>
      <c r="D9" s="191">
        <v>1</v>
      </c>
      <c r="E9" s="191">
        <v>0</v>
      </c>
      <c r="F9" s="191">
        <v>1</v>
      </c>
      <c r="G9" s="191">
        <v>6</v>
      </c>
      <c r="H9" s="190">
        <v>0</v>
      </c>
      <c r="I9" s="190">
        <v>120</v>
      </c>
      <c r="J9" s="190">
        <v>120</v>
      </c>
      <c r="K9" s="189">
        <v>0.16669999999999999</v>
      </c>
      <c r="L9" s="188">
        <v>1</v>
      </c>
      <c r="M9" s="188">
        <v>1</v>
      </c>
      <c r="N9" s="187">
        <v>27.71</v>
      </c>
      <c r="O9" s="186">
        <v>0.23</v>
      </c>
      <c r="P9" s="186">
        <v>0.23</v>
      </c>
      <c r="Q9" s="185">
        <v>0.74</v>
      </c>
    </row>
    <row r="10" spans="1:17" ht="22.5" customHeight="1" x14ac:dyDescent="0.25">
      <c r="A10" s="184">
        <v>7</v>
      </c>
      <c r="B10" s="193" t="s">
        <v>409</v>
      </c>
      <c r="C10" s="192">
        <v>6.2930000000000001</v>
      </c>
      <c r="D10" s="191">
        <v>4</v>
      </c>
      <c r="E10" s="191">
        <v>2</v>
      </c>
      <c r="F10" s="191">
        <v>1</v>
      </c>
      <c r="G10" s="191">
        <v>20</v>
      </c>
      <c r="H10" s="190">
        <v>20</v>
      </c>
      <c r="I10" s="190">
        <v>24</v>
      </c>
      <c r="J10" s="190">
        <v>94</v>
      </c>
      <c r="K10" s="189">
        <v>0.2</v>
      </c>
      <c r="L10" s="188">
        <v>0.75</v>
      </c>
      <c r="M10" s="188">
        <v>0.5</v>
      </c>
      <c r="N10" s="187">
        <v>6.99</v>
      </c>
      <c r="O10" s="186">
        <v>0.48</v>
      </c>
      <c r="P10" s="186">
        <v>0.16</v>
      </c>
      <c r="Q10" s="185">
        <v>0.73</v>
      </c>
    </row>
    <row r="11" spans="1:17" ht="22.5" customHeight="1" x14ac:dyDescent="0.25">
      <c r="A11" s="184">
        <v>8</v>
      </c>
      <c r="B11" s="193" t="s">
        <v>336</v>
      </c>
      <c r="C11" s="192">
        <v>3.5459999999999998</v>
      </c>
      <c r="D11" s="191">
        <v>5</v>
      </c>
      <c r="E11" s="191">
        <v>4</v>
      </c>
      <c r="F11" s="191">
        <v>0</v>
      </c>
      <c r="G11" s="191">
        <v>10</v>
      </c>
      <c r="H11" s="190">
        <v>250</v>
      </c>
      <c r="I11" s="190">
        <v>0</v>
      </c>
      <c r="J11" s="190">
        <v>350</v>
      </c>
      <c r="K11" s="189">
        <v>0.5</v>
      </c>
      <c r="L11" s="188">
        <v>0.8</v>
      </c>
      <c r="M11" s="188">
        <v>0</v>
      </c>
      <c r="N11" s="187">
        <v>70.5</v>
      </c>
      <c r="O11" s="186">
        <v>1.1299999999999999</v>
      </c>
      <c r="P11" s="186">
        <v>0</v>
      </c>
      <c r="Q11" s="185">
        <v>0.69</v>
      </c>
    </row>
    <row r="12" spans="1:17" ht="22.5" customHeight="1" x14ac:dyDescent="0.25">
      <c r="A12" s="184">
        <v>9</v>
      </c>
      <c r="B12" s="193" t="s">
        <v>403</v>
      </c>
      <c r="C12" s="192">
        <v>1.216</v>
      </c>
      <c r="D12" s="191">
        <v>2</v>
      </c>
      <c r="E12" s="191">
        <v>2</v>
      </c>
      <c r="F12" s="191">
        <v>0</v>
      </c>
      <c r="G12" s="191">
        <v>6</v>
      </c>
      <c r="H12" s="190">
        <v>150</v>
      </c>
      <c r="I12" s="190">
        <v>0</v>
      </c>
      <c r="J12" s="190">
        <v>150</v>
      </c>
      <c r="K12" s="189">
        <v>0.33329999999999999</v>
      </c>
      <c r="L12" s="188">
        <v>1</v>
      </c>
      <c r="M12" s="188">
        <v>0</v>
      </c>
      <c r="N12" s="187">
        <v>123.36</v>
      </c>
      <c r="O12" s="186">
        <v>1.64</v>
      </c>
      <c r="P12" s="186">
        <v>0</v>
      </c>
      <c r="Q12" s="185">
        <v>0.67</v>
      </c>
    </row>
    <row r="13" spans="1:17" ht="22.5" customHeight="1" x14ac:dyDescent="0.25">
      <c r="A13" s="184">
        <v>10</v>
      </c>
      <c r="B13" s="193" t="s">
        <v>330</v>
      </c>
      <c r="C13" s="192">
        <v>4.3719999999999999</v>
      </c>
      <c r="D13" s="191">
        <v>7</v>
      </c>
      <c r="E13" s="191">
        <v>5</v>
      </c>
      <c r="F13" s="191">
        <v>0</v>
      </c>
      <c r="G13" s="191">
        <v>18</v>
      </c>
      <c r="H13" s="190">
        <v>195</v>
      </c>
      <c r="I13" s="190">
        <v>0</v>
      </c>
      <c r="J13" s="190">
        <v>270</v>
      </c>
      <c r="K13" s="189">
        <v>0.38890000000000002</v>
      </c>
      <c r="L13" s="188">
        <v>0.71430000000000005</v>
      </c>
      <c r="M13" s="188">
        <v>0</v>
      </c>
      <c r="N13" s="187">
        <v>44.6</v>
      </c>
      <c r="O13" s="186">
        <v>1.1399999999999999</v>
      </c>
      <c r="P13" s="186">
        <v>0</v>
      </c>
      <c r="Q13" s="185">
        <v>0.65</v>
      </c>
    </row>
    <row r="14" spans="1:17" ht="22.5" customHeight="1" x14ac:dyDescent="0.25">
      <c r="A14" s="184">
        <v>11</v>
      </c>
      <c r="B14" s="193" t="s">
        <v>389</v>
      </c>
      <c r="C14" s="192">
        <v>1.159</v>
      </c>
      <c r="D14" s="191">
        <v>1</v>
      </c>
      <c r="E14" s="191">
        <v>1</v>
      </c>
      <c r="F14" s="191">
        <v>0</v>
      </c>
      <c r="G14" s="191">
        <v>3</v>
      </c>
      <c r="H14" s="190">
        <v>40</v>
      </c>
      <c r="I14" s="190">
        <v>0</v>
      </c>
      <c r="J14" s="190">
        <v>40</v>
      </c>
      <c r="K14" s="189">
        <v>0.33329999999999999</v>
      </c>
      <c r="L14" s="188">
        <v>1</v>
      </c>
      <c r="M14" s="188">
        <v>0</v>
      </c>
      <c r="N14" s="187">
        <v>34.51</v>
      </c>
      <c r="O14" s="186">
        <v>0.86</v>
      </c>
      <c r="P14" s="186">
        <v>0</v>
      </c>
      <c r="Q14" s="185">
        <v>0.64</v>
      </c>
    </row>
    <row r="15" spans="1:17" ht="22.5" customHeight="1" x14ac:dyDescent="0.25">
      <c r="A15" s="184">
        <v>12</v>
      </c>
      <c r="B15" s="193" t="s">
        <v>321</v>
      </c>
      <c r="C15" s="192">
        <v>4.3029999999999999</v>
      </c>
      <c r="D15" s="191">
        <v>4</v>
      </c>
      <c r="E15" s="191">
        <v>3</v>
      </c>
      <c r="F15" s="191">
        <v>0</v>
      </c>
      <c r="G15" s="191">
        <v>9</v>
      </c>
      <c r="H15" s="190">
        <v>155</v>
      </c>
      <c r="I15" s="190">
        <v>0</v>
      </c>
      <c r="J15" s="190">
        <v>205</v>
      </c>
      <c r="K15" s="189">
        <v>0.44440000000000002</v>
      </c>
      <c r="L15" s="188">
        <v>0.75</v>
      </c>
      <c r="M15" s="188">
        <v>0</v>
      </c>
      <c r="N15" s="187">
        <v>36.020000000000003</v>
      </c>
      <c r="O15" s="186">
        <v>0.7</v>
      </c>
      <c r="P15" s="186">
        <v>0</v>
      </c>
      <c r="Q15" s="185">
        <v>0.64</v>
      </c>
    </row>
    <row r="16" spans="1:17" ht="22.5" customHeight="1" x14ac:dyDescent="0.25">
      <c r="A16" s="184">
        <v>13</v>
      </c>
      <c r="B16" s="193" t="s">
        <v>274</v>
      </c>
      <c r="C16" s="192">
        <v>1.3320000000000001</v>
      </c>
      <c r="D16" s="191">
        <v>1</v>
      </c>
      <c r="E16" s="191">
        <v>1</v>
      </c>
      <c r="F16" s="191">
        <v>0</v>
      </c>
      <c r="G16" s="191">
        <v>3</v>
      </c>
      <c r="H16" s="190">
        <v>10</v>
      </c>
      <c r="I16" s="190">
        <v>0</v>
      </c>
      <c r="J16" s="190">
        <v>10</v>
      </c>
      <c r="K16" s="189">
        <v>0.33329999999999999</v>
      </c>
      <c r="L16" s="188">
        <v>1</v>
      </c>
      <c r="M16" s="188">
        <v>0</v>
      </c>
      <c r="N16" s="187">
        <v>7.51</v>
      </c>
      <c r="O16" s="186">
        <v>0.75</v>
      </c>
      <c r="P16" s="186">
        <v>0</v>
      </c>
      <c r="Q16" s="185">
        <v>0.6</v>
      </c>
    </row>
    <row r="17" spans="1:17" ht="22.5" customHeight="1" x14ac:dyDescent="0.25">
      <c r="A17" s="184">
        <v>14</v>
      </c>
      <c r="B17" s="193" t="s">
        <v>332</v>
      </c>
      <c r="C17" s="192">
        <v>5.6769999999999996</v>
      </c>
      <c r="D17" s="191">
        <v>3</v>
      </c>
      <c r="E17" s="191">
        <v>3</v>
      </c>
      <c r="F17" s="191">
        <v>0</v>
      </c>
      <c r="G17" s="191">
        <v>14</v>
      </c>
      <c r="H17" s="190">
        <v>190</v>
      </c>
      <c r="I17" s="190">
        <v>0</v>
      </c>
      <c r="J17" s="190">
        <v>190</v>
      </c>
      <c r="K17" s="189">
        <v>0.21429999999999999</v>
      </c>
      <c r="L17" s="188">
        <v>1</v>
      </c>
      <c r="M17" s="188">
        <v>0</v>
      </c>
      <c r="N17" s="187">
        <v>33.47</v>
      </c>
      <c r="O17" s="186">
        <v>0.53</v>
      </c>
      <c r="P17" s="186">
        <v>0</v>
      </c>
      <c r="Q17" s="185">
        <v>0.57999999999999996</v>
      </c>
    </row>
    <row r="18" spans="1:17" ht="22.5" customHeight="1" x14ac:dyDescent="0.25">
      <c r="A18" s="184">
        <v>15</v>
      </c>
      <c r="B18" s="193" t="s">
        <v>369</v>
      </c>
      <c r="C18" s="192">
        <v>4.3810000000000002</v>
      </c>
      <c r="D18" s="191">
        <v>3</v>
      </c>
      <c r="E18" s="191">
        <v>2</v>
      </c>
      <c r="F18" s="191">
        <v>0</v>
      </c>
      <c r="G18" s="191">
        <v>14</v>
      </c>
      <c r="H18" s="190">
        <v>150</v>
      </c>
      <c r="I18" s="190">
        <v>0</v>
      </c>
      <c r="J18" s="190">
        <v>175</v>
      </c>
      <c r="K18" s="189">
        <v>0.21429999999999999</v>
      </c>
      <c r="L18" s="188">
        <v>0.66669999999999996</v>
      </c>
      <c r="M18" s="188">
        <v>0</v>
      </c>
      <c r="N18" s="187">
        <v>34.24</v>
      </c>
      <c r="O18" s="186">
        <v>0.46</v>
      </c>
      <c r="P18" s="186">
        <v>0</v>
      </c>
      <c r="Q18" s="185">
        <v>0.54</v>
      </c>
    </row>
    <row r="19" spans="1:17" ht="22.5" customHeight="1" x14ac:dyDescent="0.25">
      <c r="A19" s="184">
        <v>16</v>
      </c>
      <c r="B19" s="193" t="s">
        <v>366</v>
      </c>
      <c r="C19" s="192">
        <v>8.7840000000000007</v>
      </c>
      <c r="D19" s="191">
        <v>8</v>
      </c>
      <c r="E19" s="191">
        <v>4</v>
      </c>
      <c r="F19" s="191">
        <v>0</v>
      </c>
      <c r="G19" s="191">
        <v>26</v>
      </c>
      <c r="H19" s="190">
        <v>235</v>
      </c>
      <c r="I19" s="190">
        <v>0</v>
      </c>
      <c r="J19" s="190">
        <v>280</v>
      </c>
      <c r="K19" s="189">
        <v>0.30769999999999997</v>
      </c>
      <c r="L19" s="188">
        <v>0.5</v>
      </c>
      <c r="M19" s="188">
        <v>0</v>
      </c>
      <c r="N19" s="187">
        <v>26.75</v>
      </c>
      <c r="O19" s="186">
        <v>0.46</v>
      </c>
      <c r="P19" s="186">
        <v>0</v>
      </c>
      <c r="Q19" s="185">
        <v>0.53</v>
      </c>
    </row>
    <row r="20" spans="1:17" ht="22.5" customHeight="1" x14ac:dyDescent="0.25">
      <c r="A20" s="184">
        <v>17</v>
      </c>
      <c r="B20" s="193" t="s">
        <v>385</v>
      </c>
      <c r="C20" s="192">
        <v>5.1289999999999996</v>
      </c>
      <c r="D20" s="191">
        <v>3</v>
      </c>
      <c r="E20" s="191">
        <v>2</v>
      </c>
      <c r="F20" s="191">
        <v>0</v>
      </c>
      <c r="G20" s="191">
        <v>12</v>
      </c>
      <c r="H20" s="190">
        <v>125</v>
      </c>
      <c r="I20" s="190">
        <v>0</v>
      </c>
      <c r="J20" s="190">
        <v>130</v>
      </c>
      <c r="K20" s="189">
        <v>0.25</v>
      </c>
      <c r="L20" s="188">
        <v>0.66669999999999996</v>
      </c>
      <c r="M20" s="188">
        <v>0</v>
      </c>
      <c r="N20" s="187">
        <v>24.37</v>
      </c>
      <c r="O20" s="186">
        <v>0.39</v>
      </c>
      <c r="P20" s="186">
        <v>0</v>
      </c>
      <c r="Q20" s="185">
        <v>0.53</v>
      </c>
    </row>
    <row r="21" spans="1:17" ht="22.5" customHeight="1" x14ac:dyDescent="0.25">
      <c r="A21" s="184">
        <v>18</v>
      </c>
      <c r="B21" s="193" t="s">
        <v>356</v>
      </c>
      <c r="C21" s="192">
        <v>2.8570000000000002</v>
      </c>
      <c r="D21" s="191">
        <v>2</v>
      </c>
      <c r="E21" s="191">
        <v>2</v>
      </c>
      <c r="F21" s="191">
        <v>0</v>
      </c>
      <c r="G21" s="191">
        <v>10</v>
      </c>
      <c r="H21" s="190">
        <v>10</v>
      </c>
      <c r="I21" s="190">
        <v>0</v>
      </c>
      <c r="J21" s="190">
        <v>10</v>
      </c>
      <c r="K21" s="189">
        <v>0.2</v>
      </c>
      <c r="L21" s="188">
        <v>1</v>
      </c>
      <c r="M21" s="188">
        <v>0</v>
      </c>
      <c r="N21" s="187">
        <v>3.5</v>
      </c>
      <c r="O21" s="186">
        <v>0.7</v>
      </c>
      <c r="P21" s="186">
        <v>0</v>
      </c>
      <c r="Q21" s="185">
        <v>0.53</v>
      </c>
    </row>
    <row r="22" spans="1:17" ht="22.5" customHeight="1" x14ac:dyDescent="0.25">
      <c r="A22" s="184">
        <v>19</v>
      </c>
      <c r="B22" s="193" t="s">
        <v>280</v>
      </c>
      <c r="C22" s="192">
        <v>5.2919999999999998</v>
      </c>
      <c r="D22" s="191">
        <v>2</v>
      </c>
      <c r="E22" s="191">
        <v>2</v>
      </c>
      <c r="F22" s="191">
        <v>0</v>
      </c>
      <c r="G22" s="191">
        <v>19</v>
      </c>
      <c r="H22" s="190">
        <v>145</v>
      </c>
      <c r="I22" s="190">
        <v>0</v>
      </c>
      <c r="J22" s="190">
        <v>145</v>
      </c>
      <c r="K22" s="189">
        <v>0.1053</v>
      </c>
      <c r="L22" s="188">
        <v>1</v>
      </c>
      <c r="M22" s="188">
        <v>0</v>
      </c>
      <c r="N22" s="187">
        <v>27.4</v>
      </c>
      <c r="O22" s="186">
        <v>0.38</v>
      </c>
      <c r="P22" s="186">
        <v>0</v>
      </c>
      <c r="Q22" s="185">
        <v>0.51</v>
      </c>
    </row>
    <row r="23" spans="1:17" ht="22.5" customHeight="1" x14ac:dyDescent="0.25">
      <c r="A23" s="184">
        <v>20</v>
      </c>
      <c r="B23" s="193" t="s">
        <v>317</v>
      </c>
      <c r="C23" s="192">
        <v>6.7830000000000004</v>
      </c>
      <c r="D23" s="191">
        <v>6</v>
      </c>
      <c r="E23" s="191">
        <v>4</v>
      </c>
      <c r="F23" s="191">
        <v>0</v>
      </c>
      <c r="G23" s="191">
        <v>23</v>
      </c>
      <c r="H23" s="190">
        <v>20</v>
      </c>
      <c r="I23" s="190">
        <v>0</v>
      </c>
      <c r="J23" s="190">
        <v>50</v>
      </c>
      <c r="K23" s="189">
        <v>0.26090000000000002</v>
      </c>
      <c r="L23" s="188">
        <v>0.66669999999999996</v>
      </c>
      <c r="M23" s="188">
        <v>0</v>
      </c>
      <c r="N23" s="187">
        <v>2.95</v>
      </c>
      <c r="O23" s="186">
        <v>0.59</v>
      </c>
      <c r="P23" s="186">
        <v>0</v>
      </c>
      <c r="Q23" s="185">
        <v>0.51</v>
      </c>
    </row>
    <row r="24" spans="1:17" ht="22.5" customHeight="1" x14ac:dyDescent="0.25">
      <c r="A24" s="184">
        <v>21</v>
      </c>
      <c r="B24" s="193" t="s">
        <v>305</v>
      </c>
      <c r="C24" s="192">
        <v>7.1379999999999999</v>
      </c>
      <c r="D24" s="191">
        <v>4</v>
      </c>
      <c r="E24" s="191">
        <v>1</v>
      </c>
      <c r="F24" s="191">
        <v>0</v>
      </c>
      <c r="G24" s="191">
        <v>16</v>
      </c>
      <c r="H24" s="190">
        <v>1000</v>
      </c>
      <c r="I24" s="190">
        <v>0</v>
      </c>
      <c r="J24" s="190">
        <v>1080</v>
      </c>
      <c r="K24" s="189">
        <v>0.25</v>
      </c>
      <c r="L24" s="188">
        <v>0.25</v>
      </c>
      <c r="M24" s="188">
        <v>0</v>
      </c>
      <c r="N24" s="187">
        <v>140.1</v>
      </c>
      <c r="O24" s="186">
        <v>0.14000000000000001</v>
      </c>
      <c r="P24" s="186">
        <v>0</v>
      </c>
      <c r="Q24" s="185">
        <v>0.49</v>
      </c>
    </row>
    <row r="25" spans="1:17" ht="22.5" customHeight="1" x14ac:dyDescent="0.25">
      <c r="A25" s="184">
        <v>22</v>
      </c>
      <c r="B25" s="193" t="s">
        <v>328</v>
      </c>
      <c r="C25" s="192">
        <v>4.7519999999999998</v>
      </c>
      <c r="D25" s="191">
        <v>1</v>
      </c>
      <c r="E25" s="191">
        <v>1</v>
      </c>
      <c r="F25" s="191">
        <v>0</v>
      </c>
      <c r="G25" s="191">
        <v>4</v>
      </c>
      <c r="H25" s="190">
        <v>25</v>
      </c>
      <c r="I25" s="190">
        <v>0</v>
      </c>
      <c r="J25" s="190">
        <v>25</v>
      </c>
      <c r="K25" s="189">
        <v>0.25</v>
      </c>
      <c r="L25" s="188">
        <v>1</v>
      </c>
      <c r="M25" s="188">
        <v>0</v>
      </c>
      <c r="N25" s="187">
        <v>5.26</v>
      </c>
      <c r="O25" s="186">
        <v>0.21</v>
      </c>
      <c r="P25" s="186">
        <v>0</v>
      </c>
      <c r="Q25" s="185">
        <v>0.49</v>
      </c>
    </row>
    <row r="26" spans="1:17" ht="22.5" customHeight="1" x14ac:dyDescent="0.25">
      <c r="A26" s="184">
        <v>23</v>
      </c>
      <c r="B26" s="193" t="s">
        <v>308</v>
      </c>
      <c r="C26" s="192">
        <v>4.0819999999999999</v>
      </c>
      <c r="D26" s="191">
        <v>4</v>
      </c>
      <c r="E26" s="191">
        <v>1</v>
      </c>
      <c r="F26" s="191">
        <v>0</v>
      </c>
      <c r="G26" s="191">
        <v>12</v>
      </c>
      <c r="H26" s="190">
        <v>25</v>
      </c>
      <c r="I26" s="190">
        <v>0</v>
      </c>
      <c r="J26" s="190">
        <v>65</v>
      </c>
      <c r="K26" s="189">
        <v>0.33329999999999999</v>
      </c>
      <c r="L26" s="188">
        <v>0.25</v>
      </c>
      <c r="M26" s="188">
        <v>0</v>
      </c>
      <c r="N26" s="187">
        <v>6.12</v>
      </c>
      <c r="O26" s="186">
        <v>0.24</v>
      </c>
      <c r="P26" s="186">
        <v>0</v>
      </c>
      <c r="Q26" s="185">
        <v>0.48</v>
      </c>
    </row>
    <row r="27" spans="1:17" ht="22.5" customHeight="1" x14ac:dyDescent="0.25">
      <c r="A27" s="184">
        <v>24</v>
      </c>
      <c r="B27" s="193" t="s">
        <v>269</v>
      </c>
      <c r="C27" s="192">
        <v>7.7830000000000004</v>
      </c>
      <c r="D27" s="191">
        <v>2</v>
      </c>
      <c r="E27" s="191">
        <v>2</v>
      </c>
      <c r="F27" s="191">
        <v>0</v>
      </c>
      <c r="G27" s="191">
        <v>22</v>
      </c>
      <c r="H27" s="190">
        <v>140</v>
      </c>
      <c r="I27" s="190">
        <v>0</v>
      </c>
      <c r="J27" s="190">
        <v>140</v>
      </c>
      <c r="K27" s="189">
        <v>9.0899999999999995E-2</v>
      </c>
      <c r="L27" s="188">
        <v>1</v>
      </c>
      <c r="M27" s="188">
        <v>0</v>
      </c>
      <c r="N27" s="187">
        <v>17.989999999999998</v>
      </c>
      <c r="O27" s="186">
        <v>0.26</v>
      </c>
      <c r="P27" s="186">
        <v>0</v>
      </c>
      <c r="Q27" s="185">
        <v>0.48</v>
      </c>
    </row>
    <row r="28" spans="1:17" ht="22.5" customHeight="1" x14ac:dyDescent="0.25">
      <c r="A28" s="184">
        <v>25</v>
      </c>
      <c r="B28" s="193" t="s">
        <v>398</v>
      </c>
      <c r="C28" s="192">
        <v>2.7749999999999999</v>
      </c>
      <c r="D28" s="191">
        <v>1</v>
      </c>
      <c r="E28" s="191">
        <v>1</v>
      </c>
      <c r="F28" s="191">
        <v>0</v>
      </c>
      <c r="G28" s="191">
        <v>12</v>
      </c>
      <c r="H28" s="190">
        <v>40</v>
      </c>
      <c r="I28" s="190">
        <v>0</v>
      </c>
      <c r="J28" s="190">
        <v>40</v>
      </c>
      <c r="K28" s="189">
        <v>8.3299999999999999E-2</v>
      </c>
      <c r="L28" s="188">
        <v>1</v>
      </c>
      <c r="M28" s="188">
        <v>0</v>
      </c>
      <c r="N28" s="187">
        <v>14.41</v>
      </c>
      <c r="O28" s="186">
        <v>0.36</v>
      </c>
      <c r="P28" s="186">
        <v>0</v>
      </c>
      <c r="Q28" s="185">
        <v>0.47</v>
      </c>
    </row>
    <row r="29" spans="1:17" ht="22.5" customHeight="1" x14ac:dyDescent="0.25">
      <c r="A29" s="184">
        <v>26</v>
      </c>
      <c r="B29" s="193" t="s">
        <v>351</v>
      </c>
      <c r="C29" s="192">
        <v>4.4210000000000003</v>
      </c>
      <c r="D29" s="191">
        <v>3</v>
      </c>
      <c r="E29" s="191">
        <v>1</v>
      </c>
      <c r="F29" s="191">
        <v>0</v>
      </c>
      <c r="G29" s="191">
        <v>13</v>
      </c>
      <c r="H29" s="190">
        <v>25</v>
      </c>
      <c r="I29" s="190">
        <v>0</v>
      </c>
      <c r="J29" s="190">
        <v>195</v>
      </c>
      <c r="K29" s="189">
        <v>0.23080000000000001</v>
      </c>
      <c r="L29" s="188">
        <v>0.33329999999999999</v>
      </c>
      <c r="M29" s="188">
        <v>0</v>
      </c>
      <c r="N29" s="187">
        <v>5.65</v>
      </c>
      <c r="O29" s="186">
        <v>0.23</v>
      </c>
      <c r="P29" s="186">
        <v>0</v>
      </c>
      <c r="Q29" s="185">
        <v>0.45</v>
      </c>
    </row>
    <row r="30" spans="1:17" ht="22.5" customHeight="1" x14ac:dyDescent="0.25">
      <c r="A30" s="184">
        <v>27</v>
      </c>
      <c r="B30" s="193" t="s">
        <v>286</v>
      </c>
      <c r="C30" s="192">
        <v>4.5549999999999997</v>
      </c>
      <c r="D30" s="191">
        <v>1</v>
      </c>
      <c r="E30" s="191">
        <v>1</v>
      </c>
      <c r="F30" s="191">
        <v>0</v>
      </c>
      <c r="G30" s="191">
        <v>10</v>
      </c>
      <c r="H30" s="190">
        <v>25</v>
      </c>
      <c r="I30" s="190">
        <v>0</v>
      </c>
      <c r="J30" s="190">
        <v>25</v>
      </c>
      <c r="K30" s="189">
        <v>0.1</v>
      </c>
      <c r="L30" s="188">
        <v>1</v>
      </c>
      <c r="M30" s="188">
        <v>0</v>
      </c>
      <c r="N30" s="187">
        <v>5.49</v>
      </c>
      <c r="O30" s="186">
        <v>0.22</v>
      </c>
      <c r="P30" s="186">
        <v>0</v>
      </c>
      <c r="Q30" s="185">
        <v>0.45</v>
      </c>
    </row>
    <row r="31" spans="1:17" ht="22.5" customHeight="1" x14ac:dyDescent="0.25">
      <c r="A31" s="184">
        <v>28</v>
      </c>
      <c r="B31" s="193" t="s">
        <v>359</v>
      </c>
      <c r="C31" s="192">
        <v>3.8610000000000002</v>
      </c>
      <c r="D31" s="191">
        <v>2</v>
      </c>
      <c r="E31" s="191">
        <v>1</v>
      </c>
      <c r="F31" s="191">
        <v>0</v>
      </c>
      <c r="G31" s="191">
        <v>13</v>
      </c>
      <c r="H31" s="190">
        <v>50</v>
      </c>
      <c r="I31" s="190">
        <v>0</v>
      </c>
      <c r="J31" s="190">
        <v>60</v>
      </c>
      <c r="K31" s="189">
        <v>0.15379999999999999</v>
      </c>
      <c r="L31" s="188">
        <v>0.5</v>
      </c>
      <c r="M31" s="188">
        <v>0</v>
      </c>
      <c r="N31" s="187">
        <v>12.95</v>
      </c>
      <c r="O31" s="186">
        <v>0.26</v>
      </c>
      <c r="P31" s="186">
        <v>0</v>
      </c>
      <c r="Q31" s="185">
        <v>0.45</v>
      </c>
    </row>
    <row r="32" spans="1:17" ht="22.5" customHeight="1" x14ac:dyDescent="0.25">
      <c r="A32" s="184">
        <v>29</v>
      </c>
      <c r="B32" s="193" t="s">
        <v>411</v>
      </c>
      <c r="C32" s="192">
        <v>5.1059999999999999</v>
      </c>
      <c r="D32" s="191">
        <v>1</v>
      </c>
      <c r="E32" s="191">
        <v>1</v>
      </c>
      <c r="F32" s="191">
        <v>0</v>
      </c>
      <c r="G32" s="191">
        <v>13</v>
      </c>
      <c r="H32" s="190">
        <v>125</v>
      </c>
      <c r="I32" s="190">
        <v>0</v>
      </c>
      <c r="J32" s="190">
        <v>125</v>
      </c>
      <c r="K32" s="189">
        <v>7.6899999999999996E-2</v>
      </c>
      <c r="L32" s="188">
        <v>1</v>
      </c>
      <c r="M32" s="188">
        <v>0</v>
      </c>
      <c r="N32" s="187">
        <v>24.48</v>
      </c>
      <c r="O32" s="186">
        <v>0.2</v>
      </c>
      <c r="P32" s="186">
        <v>0</v>
      </c>
      <c r="Q32" s="185">
        <v>0.45</v>
      </c>
    </row>
    <row r="33" spans="1:17" ht="22.5" customHeight="1" x14ac:dyDescent="0.25">
      <c r="A33" s="184">
        <v>30</v>
      </c>
      <c r="B33" s="193" t="s">
        <v>277</v>
      </c>
      <c r="C33" s="192">
        <v>4.8419999999999996</v>
      </c>
      <c r="D33" s="191">
        <v>2</v>
      </c>
      <c r="E33" s="191">
        <v>1</v>
      </c>
      <c r="F33" s="191">
        <v>0</v>
      </c>
      <c r="G33" s="191">
        <v>13</v>
      </c>
      <c r="H33" s="190">
        <v>100</v>
      </c>
      <c r="I33" s="190">
        <v>0</v>
      </c>
      <c r="J33" s="190">
        <v>110</v>
      </c>
      <c r="K33" s="189">
        <v>0.15379999999999999</v>
      </c>
      <c r="L33" s="188">
        <v>0.5</v>
      </c>
      <c r="M33" s="188">
        <v>0</v>
      </c>
      <c r="N33" s="187">
        <v>20.65</v>
      </c>
      <c r="O33" s="186">
        <v>0.21</v>
      </c>
      <c r="P33" s="186">
        <v>0</v>
      </c>
      <c r="Q33" s="185">
        <v>0.44</v>
      </c>
    </row>
    <row r="34" spans="1:17" ht="22.5" customHeight="1" x14ac:dyDescent="0.25">
      <c r="A34" s="184">
        <v>31</v>
      </c>
      <c r="B34" s="193" t="s">
        <v>301</v>
      </c>
      <c r="C34" s="192">
        <v>4.4630000000000001</v>
      </c>
      <c r="D34" s="191">
        <v>1</v>
      </c>
      <c r="E34" s="191">
        <v>1</v>
      </c>
      <c r="F34" s="191">
        <v>0</v>
      </c>
      <c r="G34" s="191">
        <v>11</v>
      </c>
      <c r="H34" s="190">
        <v>20</v>
      </c>
      <c r="I34" s="190">
        <v>0</v>
      </c>
      <c r="J34" s="190">
        <v>20</v>
      </c>
      <c r="K34" s="189">
        <v>9.0899999999999995E-2</v>
      </c>
      <c r="L34" s="188">
        <v>1</v>
      </c>
      <c r="M34" s="188">
        <v>0</v>
      </c>
      <c r="N34" s="187">
        <v>4.4800000000000004</v>
      </c>
      <c r="O34" s="186">
        <v>0.22</v>
      </c>
      <c r="P34" s="186">
        <v>0</v>
      </c>
      <c r="Q34" s="185">
        <v>0.43</v>
      </c>
    </row>
    <row r="35" spans="1:17" ht="22.5" customHeight="1" x14ac:dyDescent="0.25">
      <c r="A35" s="184">
        <v>32</v>
      </c>
      <c r="B35" s="193" t="s">
        <v>281</v>
      </c>
      <c r="C35" s="192">
        <v>6.0919999999999996</v>
      </c>
      <c r="D35" s="191">
        <v>2</v>
      </c>
      <c r="E35" s="191">
        <v>1</v>
      </c>
      <c r="F35" s="191">
        <v>0</v>
      </c>
      <c r="G35" s="191">
        <v>10</v>
      </c>
      <c r="H35" s="190">
        <v>100</v>
      </c>
      <c r="I35" s="190">
        <v>0</v>
      </c>
      <c r="J35" s="190">
        <v>120</v>
      </c>
      <c r="K35" s="189">
        <v>0.2</v>
      </c>
      <c r="L35" s="188">
        <v>0.5</v>
      </c>
      <c r="M35" s="188">
        <v>0</v>
      </c>
      <c r="N35" s="187">
        <v>16.41</v>
      </c>
      <c r="O35" s="186">
        <v>0.16</v>
      </c>
      <c r="P35" s="186">
        <v>0</v>
      </c>
      <c r="Q35" s="185">
        <v>0.43</v>
      </c>
    </row>
    <row r="36" spans="1:17" ht="22.5" customHeight="1" x14ac:dyDescent="0.25">
      <c r="A36" s="184">
        <v>33</v>
      </c>
      <c r="B36" s="193" t="s">
        <v>341</v>
      </c>
      <c r="C36" s="192">
        <v>5.7530000000000001</v>
      </c>
      <c r="D36" s="191">
        <v>1</v>
      </c>
      <c r="E36" s="191">
        <v>1</v>
      </c>
      <c r="F36" s="191">
        <v>0</v>
      </c>
      <c r="G36" s="191">
        <v>11</v>
      </c>
      <c r="H36" s="190">
        <v>40</v>
      </c>
      <c r="I36" s="190">
        <v>0</v>
      </c>
      <c r="J36" s="190">
        <v>40</v>
      </c>
      <c r="K36" s="189">
        <v>9.0899999999999995E-2</v>
      </c>
      <c r="L36" s="188">
        <v>1</v>
      </c>
      <c r="M36" s="188">
        <v>0</v>
      </c>
      <c r="N36" s="187">
        <v>6.95</v>
      </c>
      <c r="O36" s="186">
        <v>0.17</v>
      </c>
      <c r="P36" s="186">
        <v>0</v>
      </c>
      <c r="Q36" s="185">
        <v>0.43</v>
      </c>
    </row>
    <row r="37" spans="1:17" ht="22.5" customHeight="1" x14ac:dyDescent="0.25">
      <c r="A37" s="184">
        <v>34</v>
      </c>
      <c r="B37" s="193" t="s">
        <v>374</v>
      </c>
      <c r="C37" s="192">
        <v>6.5609999999999999</v>
      </c>
      <c r="D37" s="191">
        <v>1</v>
      </c>
      <c r="E37" s="191">
        <v>1</v>
      </c>
      <c r="F37" s="191">
        <v>0</v>
      </c>
      <c r="G37" s="191">
        <v>16</v>
      </c>
      <c r="H37" s="190">
        <v>50</v>
      </c>
      <c r="I37" s="190">
        <v>0</v>
      </c>
      <c r="J37" s="190">
        <v>50</v>
      </c>
      <c r="K37" s="189">
        <v>6.25E-2</v>
      </c>
      <c r="L37" s="188">
        <v>1</v>
      </c>
      <c r="M37" s="188">
        <v>0</v>
      </c>
      <c r="N37" s="187">
        <v>7.62</v>
      </c>
      <c r="O37" s="186">
        <v>0.15</v>
      </c>
      <c r="P37" s="186">
        <v>0</v>
      </c>
      <c r="Q37" s="185">
        <v>0.42</v>
      </c>
    </row>
    <row r="38" spans="1:17" ht="22.5" customHeight="1" x14ac:dyDescent="0.25">
      <c r="A38" s="184">
        <v>35</v>
      </c>
      <c r="B38" s="193" t="s">
        <v>375</v>
      </c>
      <c r="C38" s="192">
        <v>14.452999999999999</v>
      </c>
      <c r="D38" s="191">
        <v>5</v>
      </c>
      <c r="E38" s="191">
        <v>2</v>
      </c>
      <c r="F38" s="191">
        <v>0</v>
      </c>
      <c r="G38" s="191">
        <v>17</v>
      </c>
      <c r="H38" s="190">
        <v>45</v>
      </c>
      <c r="I38" s="190">
        <v>0</v>
      </c>
      <c r="J38" s="190">
        <v>180</v>
      </c>
      <c r="K38" s="189">
        <v>0.29409999999999997</v>
      </c>
      <c r="L38" s="188">
        <v>0.4</v>
      </c>
      <c r="M38" s="188">
        <v>0</v>
      </c>
      <c r="N38" s="187">
        <v>3.11</v>
      </c>
      <c r="O38" s="186">
        <v>0.14000000000000001</v>
      </c>
      <c r="P38" s="186">
        <v>0</v>
      </c>
      <c r="Q38" s="185">
        <v>0.42</v>
      </c>
    </row>
    <row r="39" spans="1:17" ht="22.5" customHeight="1" x14ac:dyDescent="0.25">
      <c r="A39" s="184">
        <v>36</v>
      </c>
      <c r="B39" s="193" t="s">
        <v>371</v>
      </c>
      <c r="C39" s="192">
        <v>7.9420000000000002</v>
      </c>
      <c r="D39" s="191">
        <v>2</v>
      </c>
      <c r="E39" s="191">
        <v>1</v>
      </c>
      <c r="F39" s="191">
        <v>0</v>
      </c>
      <c r="G39" s="191">
        <v>25</v>
      </c>
      <c r="H39" s="190">
        <v>25</v>
      </c>
      <c r="I39" s="190">
        <v>0</v>
      </c>
      <c r="J39" s="190">
        <v>75</v>
      </c>
      <c r="K39" s="189">
        <v>0.08</v>
      </c>
      <c r="L39" s="188">
        <v>0.5</v>
      </c>
      <c r="M39" s="188">
        <v>0</v>
      </c>
      <c r="N39" s="187">
        <v>3.15</v>
      </c>
      <c r="O39" s="186">
        <v>0.13</v>
      </c>
      <c r="P39" s="186">
        <v>0</v>
      </c>
      <c r="Q39" s="185">
        <v>0.34</v>
      </c>
    </row>
    <row r="40" spans="1:17" ht="22.5" customHeight="1" x14ac:dyDescent="0.25">
      <c r="A40" s="184">
        <v>37</v>
      </c>
      <c r="B40" s="193" t="s">
        <v>357</v>
      </c>
      <c r="C40" s="192">
        <v>4.5309999999999997</v>
      </c>
      <c r="D40" s="191">
        <v>5</v>
      </c>
      <c r="E40" s="191">
        <v>0</v>
      </c>
      <c r="F40" s="191">
        <v>0</v>
      </c>
      <c r="G40" s="191">
        <v>14</v>
      </c>
      <c r="H40" s="190">
        <v>0</v>
      </c>
      <c r="I40" s="190">
        <v>0</v>
      </c>
      <c r="J40" s="190">
        <v>160</v>
      </c>
      <c r="K40" s="189">
        <v>0.35709999999999997</v>
      </c>
      <c r="L40" s="188">
        <v>0</v>
      </c>
      <c r="M40" s="188">
        <v>0</v>
      </c>
      <c r="N40" s="187">
        <v>0</v>
      </c>
      <c r="O40" s="186">
        <v>0</v>
      </c>
      <c r="P40" s="186">
        <v>0</v>
      </c>
      <c r="Q40" s="185">
        <v>0.19</v>
      </c>
    </row>
    <row r="41" spans="1:17" ht="22.5" customHeight="1" x14ac:dyDescent="0.25">
      <c r="A41" s="184">
        <v>38</v>
      </c>
      <c r="B41" s="193" t="s">
        <v>434</v>
      </c>
      <c r="C41" s="192">
        <v>2.6779999999999999</v>
      </c>
      <c r="D41" s="191">
        <v>2</v>
      </c>
      <c r="E41" s="191">
        <v>0</v>
      </c>
      <c r="F41" s="191">
        <v>0</v>
      </c>
      <c r="G41" s="191">
        <v>6</v>
      </c>
      <c r="H41" s="190">
        <v>0</v>
      </c>
      <c r="I41" s="190">
        <v>0</v>
      </c>
      <c r="J41" s="190">
        <v>35</v>
      </c>
      <c r="K41" s="189">
        <v>0.33329999999999999</v>
      </c>
      <c r="L41" s="188">
        <v>0</v>
      </c>
      <c r="M41" s="188">
        <v>0</v>
      </c>
      <c r="N41" s="187">
        <v>0</v>
      </c>
      <c r="O41" s="186">
        <v>0</v>
      </c>
      <c r="P41" s="186">
        <v>0</v>
      </c>
      <c r="Q41" s="185">
        <v>0.18</v>
      </c>
    </row>
    <row r="42" spans="1:17" ht="22.5" customHeight="1" x14ac:dyDescent="0.25">
      <c r="A42" s="184">
        <v>39</v>
      </c>
      <c r="B42" s="193" t="s">
        <v>291</v>
      </c>
      <c r="C42" s="192">
        <v>1.8009999999999999</v>
      </c>
      <c r="D42" s="191">
        <v>1</v>
      </c>
      <c r="E42" s="191">
        <v>0</v>
      </c>
      <c r="F42" s="191">
        <v>0</v>
      </c>
      <c r="G42" s="191">
        <v>5</v>
      </c>
      <c r="H42" s="190">
        <v>0</v>
      </c>
      <c r="I42" s="190">
        <v>0</v>
      </c>
      <c r="J42" s="190">
        <v>50</v>
      </c>
      <c r="K42" s="189">
        <v>0.2</v>
      </c>
      <c r="L42" s="188">
        <v>0</v>
      </c>
      <c r="M42" s="188">
        <v>0</v>
      </c>
      <c r="N42" s="187">
        <v>0</v>
      </c>
      <c r="O42" s="186">
        <v>0</v>
      </c>
      <c r="P42" s="186">
        <v>0</v>
      </c>
      <c r="Q42" s="185">
        <v>0.13</v>
      </c>
    </row>
    <row r="43" spans="1:17" ht="22.5" customHeight="1" x14ac:dyDescent="0.25">
      <c r="A43" s="184">
        <v>40</v>
      </c>
      <c r="B43" s="193" t="s">
        <v>365</v>
      </c>
      <c r="C43" s="192">
        <v>6.4589999999999996</v>
      </c>
      <c r="D43" s="191">
        <v>2</v>
      </c>
      <c r="E43" s="191">
        <v>0</v>
      </c>
      <c r="F43" s="191">
        <v>0</v>
      </c>
      <c r="G43" s="191">
        <v>14</v>
      </c>
      <c r="H43" s="190">
        <v>0</v>
      </c>
      <c r="I43" s="190">
        <v>0</v>
      </c>
      <c r="J43" s="190">
        <v>70</v>
      </c>
      <c r="K43" s="189">
        <v>0.1429</v>
      </c>
      <c r="L43" s="188">
        <v>0</v>
      </c>
      <c r="M43" s="188">
        <v>0</v>
      </c>
      <c r="N43" s="187">
        <v>0</v>
      </c>
      <c r="O43" s="186">
        <v>0</v>
      </c>
      <c r="P43" s="186">
        <v>0</v>
      </c>
      <c r="Q43" s="185">
        <v>0.12</v>
      </c>
    </row>
    <row r="44" spans="1:17" ht="22.5" customHeight="1" x14ac:dyDescent="0.25">
      <c r="A44" s="184">
        <v>41</v>
      </c>
      <c r="B44" s="193" t="s">
        <v>316</v>
      </c>
      <c r="C44" s="192">
        <v>3.9420000000000002</v>
      </c>
      <c r="D44" s="191">
        <v>1</v>
      </c>
      <c r="E44" s="191">
        <v>0</v>
      </c>
      <c r="F44" s="191">
        <v>0</v>
      </c>
      <c r="G44" s="191">
        <v>8</v>
      </c>
      <c r="H44" s="190">
        <v>0</v>
      </c>
      <c r="I44" s="190">
        <v>0</v>
      </c>
      <c r="J44" s="190">
        <v>20</v>
      </c>
      <c r="K44" s="189">
        <v>0.125</v>
      </c>
      <c r="L44" s="188">
        <v>0</v>
      </c>
      <c r="M44" s="188">
        <v>0</v>
      </c>
      <c r="N44" s="187">
        <v>0</v>
      </c>
      <c r="O44" s="186">
        <v>0</v>
      </c>
      <c r="P44" s="186">
        <v>0</v>
      </c>
      <c r="Q44" s="185">
        <v>0.11</v>
      </c>
    </row>
    <row r="45" spans="1:17" ht="22.5" customHeight="1" x14ac:dyDescent="0.25">
      <c r="A45" s="184">
        <v>42</v>
      </c>
      <c r="B45" s="193" t="s">
        <v>363</v>
      </c>
      <c r="C45" s="192">
        <v>3.6659999999999999</v>
      </c>
      <c r="D45" s="191">
        <v>1</v>
      </c>
      <c r="E45" s="191">
        <v>0</v>
      </c>
      <c r="F45" s="191">
        <v>0</v>
      </c>
      <c r="G45" s="191">
        <v>9</v>
      </c>
      <c r="H45" s="190">
        <v>0</v>
      </c>
      <c r="I45" s="190">
        <v>0</v>
      </c>
      <c r="J45" s="190">
        <v>40</v>
      </c>
      <c r="K45" s="189">
        <v>0.1111</v>
      </c>
      <c r="L45" s="188">
        <v>0</v>
      </c>
      <c r="M45" s="188">
        <v>0</v>
      </c>
      <c r="N45" s="187">
        <v>0</v>
      </c>
      <c r="O45" s="186">
        <v>0</v>
      </c>
      <c r="P45" s="186">
        <v>0</v>
      </c>
      <c r="Q45" s="185">
        <v>0.11</v>
      </c>
    </row>
    <row r="46" spans="1:17" ht="22.5" customHeight="1" x14ac:dyDescent="0.25">
      <c r="A46" s="184">
        <v>43</v>
      </c>
      <c r="B46" s="193" t="s">
        <v>401</v>
      </c>
      <c r="C46" s="192">
        <v>7.4180000000000001</v>
      </c>
      <c r="D46" s="191">
        <v>1</v>
      </c>
      <c r="E46" s="191">
        <v>0</v>
      </c>
      <c r="F46" s="191">
        <v>0</v>
      </c>
      <c r="G46" s="191">
        <v>10</v>
      </c>
      <c r="H46" s="190">
        <v>0</v>
      </c>
      <c r="I46" s="190">
        <v>0</v>
      </c>
      <c r="J46" s="190">
        <v>20</v>
      </c>
      <c r="K46" s="189">
        <v>0.1</v>
      </c>
      <c r="L46" s="188">
        <v>0</v>
      </c>
      <c r="M46" s="188">
        <v>0</v>
      </c>
      <c r="N46" s="187">
        <v>0</v>
      </c>
      <c r="O46" s="186">
        <v>0</v>
      </c>
      <c r="P46" s="186">
        <v>0</v>
      </c>
      <c r="Q46" s="185">
        <v>0.1</v>
      </c>
    </row>
    <row r="47" spans="1:17" ht="22.5" customHeight="1" x14ac:dyDescent="0.25">
      <c r="A47" s="184">
        <v>44</v>
      </c>
      <c r="B47" s="193" t="s">
        <v>373</v>
      </c>
      <c r="C47" s="192">
        <v>8.7140000000000004</v>
      </c>
      <c r="D47" s="191">
        <v>3</v>
      </c>
      <c r="E47" s="191">
        <v>0</v>
      </c>
      <c r="F47" s="191">
        <v>0</v>
      </c>
      <c r="G47" s="191">
        <v>36</v>
      </c>
      <c r="H47" s="190">
        <v>0</v>
      </c>
      <c r="I47" s="190">
        <v>0</v>
      </c>
      <c r="J47" s="190">
        <v>130</v>
      </c>
      <c r="K47" s="189">
        <v>8.3299999999999999E-2</v>
      </c>
      <c r="L47" s="188">
        <v>0</v>
      </c>
      <c r="M47" s="188">
        <v>0</v>
      </c>
      <c r="N47" s="187">
        <v>0</v>
      </c>
      <c r="O47" s="186">
        <v>0</v>
      </c>
      <c r="P47" s="186">
        <v>0</v>
      </c>
      <c r="Q47" s="185">
        <v>0.09</v>
      </c>
    </row>
    <row r="48" spans="1:17" ht="22.5" customHeight="1" x14ac:dyDescent="0.25">
      <c r="A48" s="184">
        <v>45</v>
      </c>
      <c r="B48" s="193" t="s">
        <v>299</v>
      </c>
      <c r="C48" s="192">
        <v>4.6109999999999998</v>
      </c>
      <c r="D48" s="191">
        <v>0</v>
      </c>
      <c r="E48" s="191">
        <v>0</v>
      </c>
      <c r="F48" s="191">
        <v>0</v>
      </c>
      <c r="G48" s="191">
        <v>19</v>
      </c>
      <c r="H48" s="190">
        <v>0</v>
      </c>
      <c r="I48" s="190">
        <v>0</v>
      </c>
      <c r="J48" s="190">
        <v>0</v>
      </c>
      <c r="K48" s="189">
        <v>0</v>
      </c>
      <c r="L48" s="188">
        <v>0</v>
      </c>
      <c r="M48" s="188">
        <v>0</v>
      </c>
      <c r="N48" s="187">
        <v>0</v>
      </c>
      <c r="O48" s="186">
        <v>0</v>
      </c>
      <c r="P48" s="186">
        <v>0</v>
      </c>
      <c r="Q48" s="185">
        <v>0.02</v>
      </c>
    </row>
    <row r="49" spans="1:17" ht="22.5" customHeight="1" x14ac:dyDescent="0.25">
      <c r="A49" s="184">
        <v>46</v>
      </c>
      <c r="B49" s="193" t="s">
        <v>392</v>
      </c>
      <c r="C49" s="192">
        <v>1.881</v>
      </c>
      <c r="D49" s="191">
        <v>0</v>
      </c>
      <c r="E49" s="191">
        <v>0</v>
      </c>
      <c r="F49" s="191">
        <v>0</v>
      </c>
      <c r="G49" s="191">
        <v>4</v>
      </c>
      <c r="H49" s="190">
        <v>0</v>
      </c>
      <c r="I49" s="190">
        <v>0</v>
      </c>
      <c r="J49" s="190">
        <v>0</v>
      </c>
      <c r="K49" s="189">
        <v>0</v>
      </c>
      <c r="L49" s="188">
        <v>0</v>
      </c>
      <c r="M49" s="188">
        <v>0</v>
      </c>
      <c r="N49" s="187">
        <v>0</v>
      </c>
      <c r="O49" s="186">
        <v>0</v>
      </c>
      <c r="P49" s="186">
        <v>0</v>
      </c>
      <c r="Q49" s="185">
        <v>0.02</v>
      </c>
    </row>
    <row r="50" spans="1:17" ht="22.5" customHeight="1" x14ac:dyDescent="0.25">
      <c r="A50" s="184">
        <v>47</v>
      </c>
      <c r="B50" s="193" t="s">
        <v>315</v>
      </c>
      <c r="C50" s="192">
        <v>2.4700000000000002</v>
      </c>
      <c r="D50" s="191">
        <v>0</v>
      </c>
      <c r="E50" s="191">
        <v>0</v>
      </c>
      <c r="F50" s="191">
        <v>0</v>
      </c>
      <c r="G50" s="191">
        <v>4</v>
      </c>
      <c r="H50" s="190">
        <v>0</v>
      </c>
      <c r="I50" s="190">
        <v>0</v>
      </c>
      <c r="J50" s="190">
        <v>0</v>
      </c>
      <c r="K50" s="189">
        <v>0</v>
      </c>
      <c r="L50" s="188">
        <v>0</v>
      </c>
      <c r="M50" s="188">
        <v>0</v>
      </c>
      <c r="N50" s="187">
        <v>0</v>
      </c>
      <c r="O50" s="186">
        <v>0</v>
      </c>
      <c r="P50" s="186">
        <v>0</v>
      </c>
      <c r="Q50" s="185">
        <v>0.02</v>
      </c>
    </row>
    <row r="51" spans="1:17" ht="22.5" customHeight="1" x14ac:dyDescent="0.25">
      <c r="A51" s="184">
        <v>48</v>
      </c>
      <c r="B51" s="193" t="s">
        <v>279</v>
      </c>
      <c r="C51" s="192">
        <v>5.077</v>
      </c>
      <c r="D51" s="191">
        <v>0</v>
      </c>
      <c r="E51" s="191">
        <v>0</v>
      </c>
      <c r="F51" s="191">
        <v>0</v>
      </c>
      <c r="G51" s="191">
        <v>13</v>
      </c>
      <c r="H51" s="190">
        <v>0</v>
      </c>
      <c r="I51" s="190">
        <v>0</v>
      </c>
      <c r="J51" s="190">
        <v>0</v>
      </c>
      <c r="K51" s="189">
        <v>0</v>
      </c>
      <c r="L51" s="188">
        <v>0</v>
      </c>
      <c r="M51" s="188">
        <v>0</v>
      </c>
      <c r="N51" s="187">
        <v>0</v>
      </c>
      <c r="O51" s="186">
        <v>0</v>
      </c>
      <c r="P51" s="186">
        <v>0</v>
      </c>
      <c r="Q51" s="185">
        <v>0.02</v>
      </c>
    </row>
    <row r="52" spans="1:17" ht="22.5" customHeight="1" x14ac:dyDescent="0.25">
      <c r="A52" s="184">
        <v>49</v>
      </c>
      <c r="B52" s="193" t="s">
        <v>295</v>
      </c>
      <c r="C52" s="192">
        <v>0.29099999999999998</v>
      </c>
      <c r="D52" s="191">
        <v>0</v>
      </c>
      <c r="E52" s="191">
        <v>0</v>
      </c>
      <c r="F52" s="191">
        <v>0</v>
      </c>
      <c r="G52" s="191">
        <v>0</v>
      </c>
      <c r="H52" s="190">
        <v>0</v>
      </c>
      <c r="I52" s="190">
        <v>0</v>
      </c>
      <c r="J52" s="190">
        <v>0</v>
      </c>
      <c r="K52" s="189">
        <v>0</v>
      </c>
      <c r="L52" s="188">
        <v>0</v>
      </c>
      <c r="M52" s="188">
        <v>0</v>
      </c>
      <c r="N52" s="187">
        <v>0</v>
      </c>
      <c r="O52" s="186">
        <v>0</v>
      </c>
      <c r="P52" s="186">
        <v>0</v>
      </c>
      <c r="Q52" s="185">
        <v>0.02</v>
      </c>
    </row>
    <row r="53" spans="1:17" ht="22.5" customHeight="1" x14ac:dyDescent="0.25">
      <c r="A53" s="184">
        <v>50</v>
      </c>
      <c r="B53" s="193" t="s">
        <v>432</v>
      </c>
      <c r="C53" s="192">
        <v>1.034</v>
      </c>
      <c r="D53" s="191">
        <v>0</v>
      </c>
      <c r="E53" s="191">
        <v>0</v>
      </c>
      <c r="F53" s="191">
        <v>0</v>
      </c>
      <c r="G53" s="191">
        <v>3</v>
      </c>
      <c r="H53" s="190">
        <v>0</v>
      </c>
      <c r="I53" s="190">
        <v>0</v>
      </c>
      <c r="J53" s="190">
        <v>0</v>
      </c>
      <c r="K53" s="189">
        <v>0</v>
      </c>
      <c r="L53" s="188">
        <v>0</v>
      </c>
      <c r="M53" s="188">
        <v>0</v>
      </c>
      <c r="N53" s="187">
        <v>0</v>
      </c>
      <c r="O53" s="186">
        <v>0</v>
      </c>
      <c r="P53" s="186">
        <v>0</v>
      </c>
      <c r="Q53" s="185">
        <v>0.02</v>
      </c>
    </row>
    <row r="54" spans="1:17" ht="22.5" customHeight="1" x14ac:dyDescent="0.25">
      <c r="A54" s="184">
        <v>51</v>
      </c>
      <c r="B54" s="193" t="s">
        <v>318</v>
      </c>
      <c r="C54" s="192">
        <v>2.625</v>
      </c>
      <c r="D54" s="191">
        <v>0</v>
      </c>
      <c r="E54" s="191">
        <v>0</v>
      </c>
      <c r="F54" s="191">
        <v>0</v>
      </c>
      <c r="G54" s="191">
        <v>6</v>
      </c>
      <c r="H54" s="190">
        <v>0</v>
      </c>
      <c r="I54" s="190">
        <v>0</v>
      </c>
      <c r="J54" s="190">
        <v>0</v>
      </c>
      <c r="K54" s="189">
        <v>0</v>
      </c>
      <c r="L54" s="188">
        <v>0</v>
      </c>
      <c r="M54" s="188">
        <v>0</v>
      </c>
      <c r="N54" s="187">
        <v>0</v>
      </c>
      <c r="O54" s="186">
        <v>0</v>
      </c>
      <c r="P54" s="186">
        <v>0</v>
      </c>
      <c r="Q54" s="185">
        <v>0.02</v>
      </c>
    </row>
    <row r="55" spans="1:17" ht="22.5" customHeight="1" x14ac:dyDescent="0.25">
      <c r="A55" s="184">
        <v>52</v>
      </c>
      <c r="B55" s="193" t="s">
        <v>355</v>
      </c>
      <c r="C55" s="192">
        <v>1.4079999999999999</v>
      </c>
      <c r="D55" s="191">
        <v>0</v>
      </c>
      <c r="E55" s="191">
        <v>0</v>
      </c>
      <c r="F55" s="191">
        <v>0</v>
      </c>
      <c r="G55" s="191">
        <v>4</v>
      </c>
      <c r="H55" s="190">
        <v>0</v>
      </c>
      <c r="I55" s="190">
        <v>0</v>
      </c>
      <c r="J55" s="190">
        <v>0</v>
      </c>
      <c r="K55" s="189">
        <v>0</v>
      </c>
      <c r="L55" s="188">
        <v>0</v>
      </c>
      <c r="M55" s="188">
        <v>0</v>
      </c>
      <c r="N55" s="187">
        <v>0</v>
      </c>
      <c r="O55" s="186">
        <v>0</v>
      </c>
      <c r="P55" s="186">
        <v>0</v>
      </c>
      <c r="Q55" s="185">
        <v>0.02</v>
      </c>
    </row>
    <row r="56" spans="1:17" ht="22.5" customHeight="1" x14ac:dyDescent="0.25">
      <c r="A56" s="184">
        <v>53</v>
      </c>
      <c r="B56" s="193" t="s">
        <v>370</v>
      </c>
      <c r="C56" s="192">
        <v>0.53300000000000003</v>
      </c>
      <c r="D56" s="191">
        <v>0</v>
      </c>
      <c r="E56" s="191">
        <v>0</v>
      </c>
      <c r="F56" s="191">
        <v>0</v>
      </c>
      <c r="G56" s="191">
        <v>0</v>
      </c>
      <c r="H56" s="190">
        <v>0</v>
      </c>
      <c r="I56" s="190">
        <v>0</v>
      </c>
      <c r="J56" s="190">
        <v>0</v>
      </c>
      <c r="K56" s="189">
        <v>0</v>
      </c>
      <c r="L56" s="188">
        <v>0</v>
      </c>
      <c r="M56" s="188">
        <v>0</v>
      </c>
      <c r="N56" s="187">
        <v>0</v>
      </c>
      <c r="O56" s="186">
        <v>0</v>
      </c>
      <c r="P56" s="186">
        <v>0</v>
      </c>
      <c r="Q56" s="185">
        <v>0.02</v>
      </c>
    </row>
    <row r="57" spans="1:17" ht="22.5" customHeight="1" x14ac:dyDescent="0.25">
      <c r="A57" s="184">
        <v>54</v>
      </c>
      <c r="B57" s="193" t="s">
        <v>353</v>
      </c>
      <c r="C57" s="192">
        <v>1.2470000000000001</v>
      </c>
      <c r="D57" s="191">
        <v>0</v>
      </c>
      <c r="E57" s="191">
        <v>0</v>
      </c>
      <c r="F57" s="191">
        <v>0</v>
      </c>
      <c r="G57" s="191">
        <v>0</v>
      </c>
      <c r="H57" s="190">
        <v>0</v>
      </c>
      <c r="I57" s="190">
        <v>0</v>
      </c>
      <c r="J57" s="190">
        <v>0</v>
      </c>
      <c r="K57" s="189">
        <v>0</v>
      </c>
      <c r="L57" s="188">
        <v>0</v>
      </c>
      <c r="M57" s="188">
        <v>0</v>
      </c>
      <c r="N57" s="187">
        <v>0</v>
      </c>
      <c r="O57" s="186">
        <v>0</v>
      </c>
      <c r="P57" s="186">
        <v>0</v>
      </c>
      <c r="Q57" s="185">
        <v>0.02</v>
      </c>
    </row>
    <row r="58" spans="1:17" ht="22.5" customHeight="1" x14ac:dyDescent="0.25">
      <c r="A58" s="184">
        <v>55</v>
      </c>
      <c r="B58" s="193" t="s">
        <v>271</v>
      </c>
      <c r="C58" s="192">
        <v>3.714</v>
      </c>
      <c r="D58" s="191">
        <v>0</v>
      </c>
      <c r="E58" s="191">
        <v>0</v>
      </c>
      <c r="F58" s="191">
        <v>0</v>
      </c>
      <c r="G58" s="191">
        <v>11</v>
      </c>
      <c r="H58" s="190">
        <v>0</v>
      </c>
      <c r="I58" s="190">
        <v>0</v>
      </c>
      <c r="J58" s="190">
        <v>0</v>
      </c>
      <c r="K58" s="189">
        <v>0</v>
      </c>
      <c r="L58" s="188">
        <v>0</v>
      </c>
      <c r="M58" s="188">
        <v>0</v>
      </c>
      <c r="N58" s="187">
        <v>0</v>
      </c>
      <c r="O58" s="186">
        <v>0</v>
      </c>
      <c r="P58" s="186">
        <v>0</v>
      </c>
      <c r="Q58" s="185">
        <v>0.02</v>
      </c>
    </row>
    <row r="59" spans="1:17" ht="22.5" customHeight="1" x14ac:dyDescent="0.25">
      <c r="A59" s="184">
        <v>56</v>
      </c>
      <c r="B59" s="193" t="s">
        <v>324</v>
      </c>
      <c r="C59" s="192">
        <v>2.569</v>
      </c>
      <c r="D59" s="191">
        <v>0</v>
      </c>
      <c r="E59" s="191">
        <v>0</v>
      </c>
      <c r="F59" s="191">
        <v>0</v>
      </c>
      <c r="G59" s="191">
        <v>4</v>
      </c>
      <c r="H59" s="190">
        <v>0</v>
      </c>
      <c r="I59" s="190">
        <v>0</v>
      </c>
      <c r="J59" s="190">
        <v>0</v>
      </c>
      <c r="K59" s="189">
        <v>0</v>
      </c>
      <c r="L59" s="188">
        <v>0</v>
      </c>
      <c r="M59" s="188">
        <v>0</v>
      </c>
      <c r="N59" s="187">
        <v>0</v>
      </c>
      <c r="O59" s="186">
        <v>0</v>
      </c>
      <c r="P59" s="186">
        <v>0</v>
      </c>
      <c r="Q59" s="185">
        <v>0.02</v>
      </c>
    </row>
    <row r="60" spans="1:17" ht="22.5" customHeight="1" x14ac:dyDescent="0.25">
      <c r="A60" s="184">
        <v>57</v>
      </c>
      <c r="B60" s="193" t="s">
        <v>360</v>
      </c>
      <c r="C60" s="192">
        <v>6.4210000000000003</v>
      </c>
      <c r="D60" s="191">
        <v>0</v>
      </c>
      <c r="E60" s="191">
        <v>0</v>
      </c>
      <c r="F60" s="191">
        <v>0</v>
      </c>
      <c r="G60" s="191">
        <v>12</v>
      </c>
      <c r="H60" s="190">
        <v>0</v>
      </c>
      <c r="I60" s="190">
        <v>0</v>
      </c>
      <c r="J60" s="190">
        <v>0</v>
      </c>
      <c r="K60" s="189">
        <v>0</v>
      </c>
      <c r="L60" s="188">
        <v>0</v>
      </c>
      <c r="M60" s="188">
        <v>0</v>
      </c>
      <c r="N60" s="187">
        <v>0</v>
      </c>
      <c r="O60" s="186">
        <v>0</v>
      </c>
      <c r="P60" s="186">
        <v>0</v>
      </c>
      <c r="Q60" s="185">
        <v>0.02</v>
      </c>
    </row>
    <row r="61" spans="1:17" ht="22.5" customHeight="1" x14ac:dyDescent="0.25">
      <c r="A61" s="184">
        <v>58</v>
      </c>
      <c r="B61" s="193" t="s">
        <v>354</v>
      </c>
      <c r="C61" s="192">
        <v>5.1840000000000002</v>
      </c>
      <c r="D61" s="191">
        <v>0</v>
      </c>
      <c r="E61" s="191">
        <v>0</v>
      </c>
      <c r="F61" s="191">
        <v>0</v>
      </c>
      <c r="G61" s="191">
        <v>13</v>
      </c>
      <c r="H61" s="190">
        <v>0</v>
      </c>
      <c r="I61" s="190">
        <v>0</v>
      </c>
      <c r="J61" s="190">
        <v>0</v>
      </c>
      <c r="K61" s="189">
        <v>0</v>
      </c>
      <c r="L61" s="188">
        <v>0</v>
      </c>
      <c r="M61" s="188">
        <v>0</v>
      </c>
      <c r="N61" s="187">
        <v>0</v>
      </c>
      <c r="O61" s="186">
        <v>0</v>
      </c>
      <c r="P61" s="186">
        <v>0</v>
      </c>
      <c r="Q61" s="185">
        <v>0.02</v>
      </c>
    </row>
    <row r="62" spans="1:17" ht="22.5" customHeight="1" x14ac:dyDescent="0.25">
      <c r="A62" s="184">
        <v>59</v>
      </c>
      <c r="B62" s="193" t="s">
        <v>347</v>
      </c>
      <c r="C62" s="192">
        <v>4.7130000000000001</v>
      </c>
      <c r="D62" s="191">
        <v>0</v>
      </c>
      <c r="E62" s="191">
        <v>0</v>
      </c>
      <c r="F62" s="191">
        <v>0</v>
      </c>
      <c r="G62" s="191">
        <v>11</v>
      </c>
      <c r="H62" s="190">
        <v>0</v>
      </c>
      <c r="I62" s="190">
        <v>0</v>
      </c>
      <c r="J62" s="190">
        <v>0</v>
      </c>
      <c r="K62" s="189">
        <v>0</v>
      </c>
      <c r="L62" s="188">
        <v>0</v>
      </c>
      <c r="M62" s="188">
        <v>0</v>
      </c>
      <c r="N62" s="187">
        <v>0</v>
      </c>
      <c r="O62" s="186">
        <v>0</v>
      </c>
      <c r="P62" s="186">
        <v>0</v>
      </c>
      <c r="Q62" s="185">
        <v>0.02</v>
      </c>
    </row>
    <row r="63" spans="1:17" ht="22.5" customHeight="1" x14ac:dyDescent="0.25">
      <c r="A63" s="184">
        <v>60</v>
      </c>
      <c r="B63" s="193" t="s">
        <v>379</v>
      </c>
      <c r="C63" s="192">
        <v>2.4670000000000001</v>
      </c>
      <c r="D63" s="191">
        <v>0</v>
      </c>
      <c r="E63" s="191">
        <v>0</v>
      </c>
      <c r="F63" s="191">
        <v>0</v>
      </c>
      <c r="G63" s="191">
        <v>4</v>
      </c>
      <c r="H63" s="190">
        <v>0</v>
      </c>
      <c r="I63" s="190">
        <v>0</v>
      </c>
      <c r="J63" s="190">
        <v>0</v>
      </c>
      <c r="K63" s="189">
        <v>0</v>
      </c>
      <c r="L63" s="188">
        <v>0</v>
      </c>
      <c r="M63" s="188">
        <v>0</v>
      </c>
      <c r="N63" s="187">
        <v>0</v>
      </c>
      <c r="O63" s="186">
        <v>0</v>
      </c>
      <c r="P63" s="186">
        <v>0</v>
      </c>
      <c r="Q63" s="185">
        <v>0.02</v>
      </c>
    </row>
    <row r="64" spans="1:17" ht="22.5" customHeight="1" x14ac:dyDescent="0.25">
      <c r="A64" s="184">
        <v>61</v>
      </c>
      <c r="B64" s="193" t="s">
        <v>290</v>
      </c>
      <c r="C64" s="192">
        <v>0.23</v>
      </c>
      <c r="D64" s="191">
        <v>0</v>
      </c>
      <c r="E64" s="191">
        <v>0</v>
      </c>
      <c r="F64" s="191">
        <v>0</v>
      </c>
      <c r="G64" s="191">
        <v>0</v>
      </c>
      <c r="H64" s="190">
        <v>0</v>
      </c>
      <c r="I64" s="190">
        <v>0</v>
      </c>
      <c r="J64" s="190">
        <v>0</v>
      </c>
      <c r="K64" s="189">
        <v>0</v>
      </c>
      <c r="L64" s="188">
        <v>0</v>
      </c>
      <c r="M64" s="188">
        <v>0</v>
      </c>
      <c r="N64" s="187">
        <v>0</v>
      </c>
      <c r="O64" s="186">
        <v>0</v>
      </c>
      <c r="P64" s="186">
        <v>0</v>
      </c>
      <c r="Q64" s="185">
        <v>0.02</v>
      </c>
    </row>
    <row r="65" spans="1:17" ht="22.5" customHeight="1" x14ac:dyDescent="0.25">
      <c r="A65" s="184">
        <v>62</v>
      </c>
      <c r="B65" s="193" t="s">
        <v>326</v>
      </c>
      <c r="C65" s="192">
        <v>4.4290000000000003</v>
      </c>
      <c r="D65" s="191">
        <v>0</v>
      </c>
      <c r="E65" s="191">
        <v>0</v>
      </c>
      <c r="F65" s="191">
        <v>0</v>
      </c>
      <c r="G65" s="191">
        <v>9</v>
      </c>
      <c r="H65" s="190">
        <v>0</v>
      </c>
      <c r="I65" s="190">
        <v>0</v>
      </c>
      <c r="J65" s="190">
        <v>0</v>
      </c>
      <c r="K65" s="189">
        <v>0</v>
      </c>
      <c r="L65" s="188">
        <v>0</v>
      </c>
      <c r="M65" s="188">
        <v>0</v>
      </c>
      <c r="N65" s="187">
        <v>0</v>
      </c>
      <c r="O65" s="186">
        <v>0</v>
      </c>
      <c r="P65" s="186">
        <v>0</v>
      </c>
      <c r="Q65" s="185">
        <v>0.02</v>
      </c>
    </row>
    <row r="66" spans="1:17" ht="22.5" customHeight="1" x14ac:dyDescent="0.25">
      <c r="A66" s="184">
        <v>63</v>
      </c>
      <c r="B66" s="193" t="s">
        <v>435</v>
      </c>
      <c r="C66" s="192">
        <v>5.3520000000000003</v>
      </c>
      <c r="D66" s="191">
        <v>0</v>
      </c>
      <c r="E66" s="191">
        <v>0</v>
      </c>
      <c r="F66" s="191">
        <v>0</v>
      </c>
      <c r="G66" s="191">
        <v>8</v>
      </c>
      <c r="H66" s="190">
        <v>0</v>
      </c>
      <c r="I66" s="190">
        <v>0</v>
      </c>
      <c r="J66" s="190">
        <v>0</v>
      </c>
      <c r="K66" s="189">
        <v>0</v>
      </c>
      <c r="L66" s="188">
        <v>0</v>
      </c>
      <c r="M66" s="188">
        <v>0</v>
      </c>
      <c r="N66" s="187">
        <v>0</v>
      </c>
      <c r="O66" s="186">
        <v>0</v>
      </c>
      <c r="P66" s="186">
        <v>0</v>
      </c>
      <c r="Q66" s="185">
        <v>0.02</v>
      </c>
    </row>
    <row r="67" spans="1:17" ht="22.5" customHeight="1" x14ac:dyDescent="0.25">
      <c r="A67" s="184">
        <v>64</v>
      </c>
      <c r="B67" s="193" t="s">
        <v>408</v>
      </c>
      <c r="C67" s="192">
        <v>0.14399999999999999</v>
      </c>
      <c r="D67" s="191">
        <v>0</v>
      </c>
      <c r="E67" s="191">
        <v>0</v>
      </c>
      <c r="F67" s="191">
        <v>0</v>
      </c>
      <c r="G67" s="191">
        <v>0</v>
      </c>
      <c r="H67" s="190">
        <v>0</v>
      </c>
      <c r="I67" s="190">
        <v>0</v>
      </c>
      <c r="J67" s="190">
        <v>0</v>
      </c>
      <c r="K67" s="189">
        <v>0</v>
      </c>
      <c r="L67" s="188">
        <v>0</v>
      </c>
      <c r="M67" s="188">
        <v>0</v>
      </c>
      <c r="N67" s="187">
        <v>0</v>
      </c>
      <c r="O67" s="186">
        <v>0</v>
      </c>
      <c r="P67" s="186">
        <v>0</v>
      </c>
      <c r="Q67" s="185">
        <v>0.02</v>
      </c>
    </row>
    <row r="68" spans="1:17" ht="22.5" customHeight="1" x14ac:dyDescent="0.25">
      <c r="A68" s="184" t="s">
        <v>171</v>
      </c>
      <c r="B68" s="183" t="s">
        <v>3</v>
      </c>
      <c r="C68" s="182">
        <v>285.70299999999997</v>
      </c>
      <c r="D68" s="181">
        <v>131</v>
      </c>
      <c r="E68" s="181">
        <v>70</v>
      </c>
      <c r="F68" s="181">
        <v>8</v>
      </c>
      <c r="G68" s="181">
        <v>725</v>
      </c>
      <c r="H68" s="180">
        <v>4375</v>
      </c>
      <c r="I68" s="180">
        <v>660</v>
      </c>
      <c r="J68" s="180">
        <v>6760</v>
      </c>
      <c r="K68" s="179">
        <v>0.1807</v>
      </c>
      <c r="L68" s="178">
        <v>0.59540000000000004</v>
      </c>
      <c r="M68" s="178">
        <v>0.13109999999999999</v>
      </c>
      <c r="N68" s="177">
        <v>17.62</v>
      </c>
      <c r="O68" s="176">
        <v>0.27</v>
      </c>
      <c r="P68" s="176">
        <v>0.03</v>
      </c>
      <c r="Q68" s="175" t="s">
        <v>171</v>
      </c>
    </row>
    <row r="69" spans="1:17" ht="22.5" customHeight="1" x14ac:dyDescent="0.25"/>
    <row r="70" spans="1:17" ht="22.5" customHeight="1" x14ac:dyDescent="0.25"/>
  </sheetData>
  <mergeCells count="3">
    <mergeCell ref="F1:L1"/>
    <mergeCell ref="A2:A3"/>
    <mergeCell ref="B2:B3"/>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FF0000"/>
  </sheetPr>
  <dimension ref="A1:Q22"/>
  <sheetViews>
    <sheetView workbookViewId="0">
      <selection activeCell="H22" sqref="H22"/>
    </sheetView>
  </sheetViews>
  <sheetFormatPr defaultRowHeight="15" x14ac:dyDescent="0.25"/>
  <sheetData>
    <row r="1" spans="1:17" x14ac:dyDescent="0.25">
      <c r="A1" s="93"/>
      <c r="B1" s="94"/>
      <c r="C1" s="93"/>
      <c r="D1" s="93"/>
      <c r="E1" s="93"/>
      <c r="F1" s="610"/>
      <c r="G1" s="610"/>
      <c r="H1" s="610"/>
      <c r="I1" s="610"/>
      <c r="J1" s="610"/>
      <c r="K1" s="610"/>
      <c r="L1" s="610"/>
      <c r="M1" s="93"/>
      <c r="N1" s="93"/>
      <c r="O1" s="93"/>
      <c r="P1" s="93"/>
      <c r="Q1" s="93"/>
    </row>
    <row r="2" spans="1:17" x14ac:dyDescent="0.25">
      <c r="A2" s="606" t="s">
        <v>172</v>
      </c>
      <c r="B2" s="608" t="s">
        <v>7</v>
      </c>
      <c r="C2" s="199" t="s">
        <v>173</v>
      </c>
      <c r="D2" s="198" t="s">
        <v>3</v>
      </c>
      <c r="E2" s="198" t="s">
        <v>176</v>
      </c>
      <c r="F2" s="198" t="s">
        <v>166</v>
      </c>
      <c r="G2" s="198" t="s">
        <v>8</v>
      </c>
      <c r="H2" s="198" t="s">
        <v>176</v>
      </c>
      <c r="I2" s="198" t="s">
        <v>166</v>
      </c>
      <c r="J2" s="198" t="s">
        <v>3</v>
      </c>
      <c r="K2" s="198" t="s">
        <v>21</v>
      </c>
      <c r="L2" s="198" t="s">
        <v>164</v>
      </c>
      <c r="M2" s="198" t="s">
        <v>166</v>
      </c>
      <c r="N2" s="198" t="s">
        <v>164</v>
      </c>
      <c r="O2" s="198" t="s">
        <v>164</v>
      </c>
      <c r="P2" s="198" t="s">
        <v>166</v>
      </c>
      <c r="Q2" s="197" t="s">
        <v>169</v>
      </c>
    </row>
    <row r="3" spans="1:17" x14ac:dyDescent="0.25">
      <c r="A3" s="607"/>
      <c r="B3" s="609"/>
      <c r="C3" s="196" t="s">
        <v>174</v>
      </c>
      <c r="D3" s="195" t="s">
        <v>175</v>
      </c>
      <c r="E3" s="195" t="s">
        <v>175</v>
      </c>
      <c r="F3" s="195" t="s">
        <v>175</v>
      </c>
      <c r="G3" s="195" t="s">
        <v>12</v>
      </c>
      <c r="H3" s="195" t="s">
        <v>9</v>
      </c>
      <c r="I3" s="195" t="s">
        <v>9</v>
      </c>
      <c r="J3" s="195" t="s">
        <v>9</v>
      </c>
      <c r="K3" s="195" t="s">
        <v>13</v>
      </c>
      <c r="L3" s="195" t="s">
        <v>165</v>
      </c>
      <c r="M3" s="195" t="s">
        <v>165</v>
      </c>
      <c r="N3" s="195" t="s">
        <v>167</v>
      </c>
      <c r="O3" s="195" t="s">
        <v>168</v>
      </c>
      <c r="P3" s="195" t="s">
        <v>168</v>
      </c>
      <c r="Q3" s="194" t="s">
        <v>170</v>
      </c>
    </row>
    <row r="4" spans="1:17" x14ac:dyDescent="0.25">
      <c r="A4" s="184">
        <v>1</v>
      </c>
      <c r="B4" s="193" t="s">
        <v>366</v>
      </c>
      <c r="C4" s="192">
        <v>3.8039999999999998</v>
      </c>
      <c r="D4" s="191">
        <v>3</v>
      </c>
      <c r="E4" s="191">
        <v>3</v>
      </c>
      <c r="F4" s="191">
        <v>0</v>
      </c>
      <c r="G4" s="191">
        <v>6</v>
      </c>
      <c r="H4" s="190">
        <v>175</v>
      </c>
      <c r="I4" s="190">
        <v>0</v>
      </c>
      <c r="J4" s="190">
        <v>175</v>
      </c>
      <c r="K4" s="189">
        <v>0.5</v>
      </c>
      <c r="L4" s="188">
        <v>1</v>
      </c>
      <c r="M4" s="188">
        <v>0</v>
      </c>
      <c r="N4" s="187">
        <v>46</v>
      </c>
      <c r="O4" s="186">
        <v>0.79</v>
      </c>
      <c r="P4" s="186">
        <v>0</v>
      </c>
      <c r="Q4" s="185">
        <v>0.69</v>
      </c>
    </row>
    <row r="5" spans="1:17" x14ac:dyDescent="0.25">
      <c r="A5" s="184">
        <v>2</v>
      </c>
      <c r="B5" s="193" t="s">
        <v>430</v>
      </c>
      <c r="C5" s="192">
        <v>1.3640000000000001</v>
      </c>
      <c r="D5" s="191">
        <v>1</v>
      </c>
      <c r="E5" s="191">
        <v>1</v>
      </c>
      <c r="F5" s="191">
        <v>0</v>
      </c>
      <c r="G5" s="191">
        <v>2</v>
      </c>
      <c r="H5" s="190">
        <v>50</v>
      </c>
      <c r="I5" s="190">
        <v>0</v>
      </c>
      <c r="J5" s="190">
        <v>50</v>
      </c>
      <c r="K5" s="189">
        <v>0.5</v>
      </c>
      <c r="L5" s="188">
        <v>1</v>
      </c>
      <c r="M5" s="188">
        <v>0</v>
      </c>
      <c r="N5" s="187">
        <v>36.659999999999997</v>
      </c>
      <c r="O5" s="186">
        <v>0.73</v>
      </c>
      <c r="P5" s="186">
        <v>0</v>
      </c>
      <c r="Q5" s="185">
        <v>0.67</v>
      </c>
    </row>
    <row r="6" spans="1:17" x14ac:dyDescent="0.25">
      <c r="A6" s="184">
        <v>3</v>
      </c>
      <c r="B6" s="193" t="s">
        <v>277</v>
      </c>
      <c r="C6" s="192">
        <v>7.9130000000000003</v>
      </c>
      <c r="D6" s="191">
        <v>6</v>
      </c>
      <c r="E6" s="191">
        <v>5</v>
      </c>
      <c r="F6" s="191">
        <v>0</v>
      </c>
      <c r="G6" s="191">
        <v>18</v>
      </c>
      <c r="H6" s="190">
        <v>160</v>
      </c>
      <c r="I6" s="190">
        <v>0</v>
      </c>
      <c r="J6" s="190">
        <v>210</v>
      </c>
      <c r="K6" s="189">
        <v>0.33329999999999999</v>
      </c>
      <c r="L6" s="188">
        <v>0.83330000000000004</v>
      </c>
      <c r="M6" s="188">
        <v>0</v>
      </c>
      <c r="N6" s="187">
        <v>20.22</v>
      </c>
      <c r="O6" s="186">
        <v>0.63</v>
      </c>
      <c r="P6" s="186">
        <v>0</v>
      </c>
      <c r="Q6" s="185">
        <v>0.62</v>
      </c>
    </row>
    <row r="7" spans="1:17" x14ac:dyDescent="0.25">
      <c r="A7" s="184">
        <v>4</v>
      </c>
      <c r="B7" s="193" t="s">
        <v>281</v>
      </c>
      <c r="C7" s="192">
        <v>5.1130000000000004</v>
      </c>
      <c r="D7" s="191">
        <v>2</v>
      </c>
      <c r="E7" s="191">
        <v>2</v>
      </c>
      <c r="F7" s="191">
        <v>0</v>
      </c>
      <c r="G7" s="191">
        <v>12</v>
      </c>
      <c r="H7" s="190">
        <v>75</v>
      </c>
      <c r="I7" s="190">
        <v>0</v>
      </c>
      <c r="J7" s="190">
        <v>75</v>
      </c>
      <c r="K7" s="189">
        <v>0.16669999999999999</v>
      </c>
      <c r="L7" s="188">
        <v>1</v>
      </c>
      <c r="M7" s="188">
        <v>0</v>
      </c>
      <c r="N7" s="187">
        <v>14.67</v>
      </c>
      <c r="O7" s="186">
        <v>0.39</v>
      </c>
      <c r="P7" s="186">
        <v>0</v>
      </c>
      <c r="Q7" s="185">
        <v>0.57999999999999996</v>
      </c>
    </row>
    <row r="8" spans="1:17" x14ac:dyDescent="0.25">
      <c r="A8" s="184">
        <v>5</v>
      </c>
      <c r="B8" s="193" t="s">
        <v>318</v>
      </c>
      <c r="C8" s="192">
        <v>2.9489999999999998</v>
      </c>
      <c r="D8" s="191">
        <v>1</v>
      </c>
      <c r="E8" s="191">
        <v>1</v>
      </c>
      <c r="F8" s="191">
        <v>0</v>
      </c>
      <c r="G8" s="191">
        <v>7</v>
      </c>
      <c r="H8" s="190">
        <v>50</v>
      </c>
      <c r="I8" s="190">
        <v>0</v>
      </c>
      <c r="J8" s="190">
        <v>50</v>
      </c>
      <c r="K8" s="189">
        <v>0.1429</v>
      </c>
      <c r="L8" s="188">
        <v>1</v>
      </c>
      <c r="M8" s="188">
        <v>0</v>
      </c>
      <c r="N8" s="187">
        <v>16.95</v>
      </c>
      <c r="O8" s="186">
        <v>0.34</v>
      </c>
      <c r="P8" s="186">
        <v>0</v>
      </c>
      <c r="Q8" s="185">
        <v>0.56999999999999995</v>
      </c>
    </row>
    <row r="9" spans="1:17" x14ac:dyDescent="0.25">
      <c r="A9" s="184">
        <v>6</v>
      </c>
      <c r="B9" s="193" t="s">
        <v>357</v>
      </c>
      <c r="C9" s="192">
        <v>9.1709999999999994</v>
      </c>
      <c r="D9" s="191">
        <v>3</v>
      </c>
      <c r="E9" s="191">
        <v>2</v>
      </c>
      <c r="F9" s="191">
        <v>0</v>
      </c>
      <c r="G9" s="191">
        <v>9</v>
      </c>
      <c r="H9" s="190">
        <v>75</v>
      </c>
      <c r="I9" s="190">
        <v>0</v>
      </c>
      <c r="J9" s="190">
        <v>95</v>
      </c>
      <c r="K9" s="189">
        <v>0.33329999999999999</v>
      </c>
      <c r="L9" s="188">
        <v>0.66669999999999996</v>
      </c>
      <c r="M9" s="188">
        <v>0</v>
      </c>
      <c r="N9" s="187">
        <v>8.18</v>
      </c>
      <c r="O9" s="186">
        <v>0.22</v>
      </c>
      <c r="P9" s="186">
        <v>0</v>
      </c>
      <c r="Q9" s="185">
        <v>0.55000000000000004</v>
      </c>
    </row>
    <row r="10" spans="1:17" x14ac:dyDescent="0.25">
      <c r="A10" s="184">
        <v>7</v>
      </c>
      <c r="B10" s="193" t="s">
        <v>360</v>
      </c>
      <c r="C10" s="192">
        <v>2.0209999999999999</v>
      </c>
      <c r="D10" s="191">
        <v>1</v>
      </c>
      <c r="E10" s="191">
        <v>0</v>
      </c>
      <c r="F10" s="191">
        <v>0</v>
      </c>
      <c r="G10" s="191">
        <v>4</v>
      </c>
      <c r="H10" s="190">
        <v>0</v>
      </c>
      <c r="I10" s="190">
        <v>0</v>
      </c>
      <c r="J10" s="190">
        <v>25</v>
      </c>
      <c r="K10" s="189">
        <v>0.25</v>
      </c>
      <c r="L10" s="188">
        <v>0</v>
      </c>
      <c r="M10" s="188">
        <v>0</v>
      </c>
      <c r="N10" s="187">
        <v>0</v>
      </c>
      <c r="O10" s="186">
        <v>0</v>
      </c>
      <c r="P10" s="186">
        <v>0</v>
      </c>
      <c r="Q10" s="185">
        <v>0.19</v>
      </c>
    </row>
    <row r="11" spans="1:17" x14ac:dyDescent="0.25">
      <c r="A11" s="184">
        <v>8</v>
      </c>
      <c r="B11" s="193" t="s">
        <v>355</v>
      </c>
      <c r="C11" s="192">
        <v>6.4370000000000003</v>
      </c>
      <c r="D11" s="191">
        <v>2</v>
      </c>
      <c r="E11" s="191">
        <v>0</v>
      </c>
      <c r="F11" s="191">
        <v>0</v>
      </c>
      <c r="G11" s="191">
        <v>15</v>
      </c>
      <c r="H11" s="190">
        <v>0</v>
      </c>
      <c r="I11" s="190">
        <v>0</v>
      </c>
      <c r="J11" s="190">
        <v>145</v>
      </c>
      <c r="K11" s="189">
        <v>0.1333</v>
      </c>
      <c r="L11" s="188">
        <v>0</v>
      </c>
      <c r="M11" s="188">
        <v>0</v>
      </c>
      <c r="N11" s="187">
        <v>0</v>
      </c>
      <c r="O11" s="186">
        <v>0</v>
      </c>
      <c r="P11" s="186">
        <v>0</v>
      </c>
      <c r="Q11" s="185">
        <v>0.16</v>
      </c>
    </row>
    <row r="12" spans="1:17" x14ac:dyDescent="0.25">
      <c r="A12" s="184">
        <v>9</v>
      </c>
      <c r="B12" s="193" t="s">
        <v>371</v>
      </c>
      <c r="C12" s="192">
        <v>10.19</v>
      </c>
      <c r="D12" s="191">
        <v>1</v>
      </c>
      <c r="E12" s="191">
        <v>0</v>
      </c>
      <c r="F12" s="191">
        <v>0</v>
      </c>
      <c r="G12" s="191">
        <v>13</v>
      </c>
      <c r="H12" s="190">
        <v>0</v>
      </c>
      <c r="I12" s="190">
        <v>0</v>
      </c>
      <c r="J12" s="190">
        <v>30</v>
      </c>
      <c r="K12" s="189">
        <v>7.6899999999999996E-2</v>
      </c>
      <c r="L12" s="188">
        <v>0</v>
      </c>
      <c r="M12" s="188">
        <v>0</v>
      </c>
      <c r="N12" s="187">
        <v>0</v>
      </c>
      <c r="O12" s="186">
        <v>0</v>
      </c>
      <c r="P12" s="186">
        <v>0</v>
      </c>
      <c r="Q12" s="185">
        <v>0.15</v>
      </c>
    </row>
    <row r="13" spans="1:17" x14ac:dyDescent="0.25">
      <c r="A13" s="184">
        <v>10</v>
      </c>
      <c r="B13" s="193" t="s">
        <v>389</v>
      </c>
      <c r="C13" s="192">
        <v>8.2959999999999994</v>
      </c>
      <c r="D13" s="191">
        <v>1</v>
      </c>
      <c r="E13" s="191">
        <v>0</v>
      </c>
      <c r="F13" s="191">
        <v>0</v>
      </c>
      <c r="G13" s="191">
        <v>21</v>
      </c>
      <c r="H13" s="190">
        <v>0</v>
      </c>
      <c r="I13" s="190">
        <v>0</v>
      </c>
      <c r="J13" s="190">
        <v>50</v>
      </c>
      <c r="K13" s="189">
        <v>4.7600000000000003E-2</v>
      </c>
      <c r="L13" s="188">
        <v>0</v>
      </c>
      <c r="M13" s="188">
        <v>0</v>
      </c>
      <c r="N13" s="187">
        <v>0</v>
      </c>
      <c r="O13" s="186">
        <v>0</v>
      </c>
      <c r="P13" s="186">
        <v>0</v>
      </c>
      <c r="Q13" s="185">
        <v>0.14000000000000001</v>
      </c>
    </row>
    <row r="14" spans="1:17" x14ac:dyDescent="0.25">
      <c r="A14" s="184">
        <v>11</v>
      </c>
      <c r="B14" s="193" t="s">
        <v>315</v>
      </c>
      <c r="C14" s="192">
        <v>9.7000000000000003E-2</v>
      </c>
      <c r="D14" s="191">
        <v>0</v>
      </c>
      <c r="E14" s="191">
        <v>0</v>
      </c>
      <c r="F14" s="191">
        <v>0</v>
      </c>
      <c r="G14" s="191">
        <v>0</v>
      </c>
      <c r="H14" s="190">
        <v>0</v>
      </c>
      <c r="I14" s="190">
        <v>0</v>
      </c>
      <c r="J14" s="190">
        <v>0</v>
      </c>
      <c r="K14" s="189">
        <v>0</v>
      </c>
      <c r="L14" s="188">
        <v>0</v>
      </c>
      <c r="M14" s="188">
        <v>0</v>
      </c>
      <c r="N14" s="187">
        <v>0</v>
      </c>
      <c r="O14" s="186">
        <v>0</v>
      </c>
      <c r="P14" s="186">
        <v>0</v>
      </c>
      <c r="Q14" s="185">
        <v>0.05</v>
      </c>
    </row>
    <row r="15" spans="1:17" x14ac:dyDescent="0.25">
      <c r="A15" s="184">
        <v>12</v>
      </c>
      <c r="B15" s="193" t="s">
        <v>385</v>
      </c>
      <c r="C15" s="192">
        <v>2.016</v>
      </c>
      <c r="D15" s="191">
        <v>0</v>
      </c>
      <c r="E15" s="191">
        <v>0</v>
      </c>
      <c r="F15" s="191">
        <v>0</v>
      </c>
      <c r="G15" s="191">
        <v>2</v>
      </c>
      <c r="H15" s="190">
        <v>0</v>
      </c>
      <c r="I15" s="190">
        <v>0</v>
      </c>
      <c r="J15" s="190">
        <v>0</v>
      </c>
      <c r="K15" s="189">
        <v>0</v>
      </c>
      <c r="L15" s="188">
        <v>0</v>
      </c>
      <c r="M15" s="188">
        <v>0</v>
      </c>
      <c r="N15" s="187">
        <v>0</v>
      </c>
      <c r="O15" s="186">
        <v>0</v>
      </c>
      <c r="P15" s="186">
        <v>0</v>
      </c>
      <c r="Q15" s="185">
        <v>0.05</v>
      </c>
    </row>
    <row r="16" spans="1:17" x14ac:dyDescent="0.25">
      <c r="A16" s="184">
        <v>13</v>
      </c>
      <c r="B16" s="193" t="s">
        <v>405</v>
      </c>
      <c r="C16" s="192">
        <v>8.1479999999999997</v>
      </c>
      <c r="D16" s="191">
        <v>0</v>
      </c>
      <c r="E16" s="191">
        <v>0</v>
      </c>
      <c r="F16" s="191">
        <v>0</v>
      </c>
      <c r="G16" s="191">
        <v>13</v>
      </c>
      <c r="H16" s="190">
        <v>0</v>
      </c>
      <c r="I16" s="190">
        <v>0</v>
      </c>
      <c r="J16" s="190">
        <v>0</v>
      </c>
      <c r="K16" s="189">
        <v>0</v>
      </c>
      <c r="L16" s="188">
        <v>0</v>
      </c>
      <c r="M16" s="188">
        <v>0</v>
      </c>
      <c r="N16" s="187">
        <v>0</v>
      </c>
      <c r="O16" s="186">
        <v>0</v>
      </c>
      <c r="P16" s="186">
        <v>0</v>
      </c>
      <c r="Q16" s="185">
        <v>0.05</v>
      </c>
    </row>
    <row r="17" spans="1:17" x14ac:dyDescent="0.25">
      <c r="A17" s="184">
        <v>14</v>
      </c>
      <c r="B17" s="193" t="s">
        <v>291</v>
      </c>
      <c r="C17" s="192">
        <v>3.0819999999999999</v>
      </c>
      <c r="D17" s="191">
        <v>0</v>
      </c>
      <c r="E17" s="191">
        <v>0</v>
      </c>
      <c r="F17" s="191">
        <v>0</v>
      </c>
      <c r="G17" s="191">
        <v>3</v>
      </c>
      <c r="H17" s="190">
        <v>0</v>
      </c>
      <c r="I17" s="190">
        <v>0</v>
      </c>
      <c r="J17" s="190">
        <v>0</v>
      </c>
      <c r="K17" s="189">
        <v>0</v>
      </c>
      <c r="L17" s="188">
        <v>0</v>
      </c>
      <c r="M17" s="188">
        <v>0</v>
      </c>
      <c r="N17" s="187">
        <v>0</v>
      </c>
      <c r="O17" s="186">
        <v>0</v>
      </c>
      <c r="P17" s="186">
        <v>0</v>
      </c>
      <c r="Q17" s="185">
        <v>0.05</v>
      </c>
    </row>
    <row r="18" spans="1:17" x14ac:dyDescent="0.25">
      <c r="A18" s="184">
        <v>15</v>
      </c>
      <c r="B18" s="193" t="s">
        <v>290</v>
      </c>
      <c r="C18" s="192">
        <v>2.6429999999999998</v>
      </c>
      <c r="D18" s="191">
        <v>0</v>
      </c>
      <c r="E18" s="191">
        <v>0</v>
      </c>
      <c r="F18" s="191">
        <v>0</v>
      </c>
      <c r="G18" s="191">
        <v>2</v>
      </c>
      <c r="H18" s="190">
        <v>0</v>
      </c>
      <c r="I18" s="190">
        <v>0</v>
      </c>
      <c r="J18" s="190">
        <v>0</v>
      </c>
      <c r="K18" s="189">
        <v>0</v>
      </c>
      <c r="L18" s="188">
        <v>0</v>
      </c>
      <c r="M18" s="188">
        <v>0</v>
      </c>
      <c r="N18" s="187">
        <v>0</v>
      </c>
      <c r="O18" s="186">
        <v>0</v>
      </c>
      <c r="P18" s="186">
        <v>0</v>
      </c>
      <c r="Q18" s="185">
        <v>0.05</v>
      </c>
    </row>
    <row r="19" spans="1:17" x14ac:dyDescent="0.25">
      <c r="A19" s="184">
        <v>16</v>
      </c>
      <c r="B19" s="193" t="s">
        <v>370</v>
      </c>
      <c r="C19" s="192">
        <v>1.643</v>
      </c>
      <c r="D19" s="191">
        <v>0</v>
      </c>
      <c r="E19" s="191">
        <v>0</v>
      </c>
      <c r="F19" s="191">
        <v>0</v>
      </c>
      <c r="G19" s="191">
        <v>3</v>
      </c>
      <c r="H19" s="190">
        <v>0</v>
      </c>
      <c r="I19" s="190">
        <v>0</v>
      </c>
      <c r="J19" s="190">
        <v>0</v>
      </c>
      <c r="K19" s="189">
        <v>0</v>
      </c>
      <c r="L19" s="188">
        <v>0</v>
      </c>
      <c r="M19" s="188">
        <v>0</v>
      </c>
      <c r="N19" s="187">
        <v>0</v>
      </c>
      <c r="O19" s="186">
        <v>0</v>
      </c>
      <c r="P19" s="186">
        <v>0</v>
      </c>
      <c r="Q19" s="185">
        <v>0.05</v>
      </c>
    </row>
    <row r="20" spans="1:17" x14ac:dyDescent="0.25">
      <c r="A20" s="184">
        <v>17</v>
      </c>
      <c r="B20" s="193" t="s">
        <v>432</v>
      </c>
      <c r="C20" s="192">
        <v>2.8119999999999998</v>
      </c>
      <c r="D20" s="191">
        <v>0</v>
      </c>
      <c r="E20" s="191">
        <v>0</v>
      </c>
      <c r="F20" s="191">
        <v>0</v>
      </c>
      <c r="G20" s="191">
        <v>9</v>
      </c>
      <c r="H20" s="190">
        <v>0</v>
      </c>
      <c r="I20" s="190">
        <v>0</v>
      </c>
      <c r="J20" s="190">
        <v>0</v>
      </c>
      <c r="K20" s="189">
        <v>0</v>
      </c>
      <c r="L20" s="188">
        <v>0</v>
      </c>
      <c r="M20" s="188">
        <v>0</v>
      </c>
      <c r="N20" s="187">
        <v>0</v>
      </c>
      <c r="O20" s="186">
        <v>0</v>
      </c>
      <c r="P20" s="186">
        <v>0</v>
      </c>
      <c r="Q20" s="185">
        <v>0.05</v>
      </c>
    </row>
    <row r="21" spans="1:17" x14ac:dyDescent="0.25">
      <c r="A21" s="184">
        <v>18</v>
      </c>
      <c r="B21" s="193" t="s">
        <v>324</v>
      </c>
      <c r="C21" s="192">
        <v>3.613</v>
      </c>
      <c r="D21" s="191">
        <v>0</v>
      </c>
      <c r="E21" s="191">
        <v>0</v>
      </c>
      <c r="F21" s="191">
        <v>0</v>
      </c>
      <c r="G21" s="191">
        <v>2</v>
      </c>
      <c r="H21" s="190">
        <v>0</v>
      </c>
      <c r="I21" s="190">
        <v>0</v>
      </c>
      <c r="J21" s="190">
        <v>0</v>
      </c>
      <c r="K21" s="189">
        <v>0</v>
      </c>
      <c r="L21" s="188">
        <v>0</v>
      </c>
      <c r="M21" s="188">
        <v>0</v>
      </c>
      <c r="N21" s="187">
        <v>0</v>
      </c>
      <c r="O21" s="186">
        <v>0</v>
      </c>
      <c r="P21" s="186">
        <v>0</v>
      </c>
      <c r="Q21" s="185">
        <v>0.05</v>
      </c>
    </row>
    <row r="22" spans="1:17" x14ac:dyDescent="0.25">
      <c r="A22" s="184" t="s">
        <v>171</v>
      </c>
      <c r="B22" s="183" t="s">
        <v>3</v>
      </c>
      <c r="C22" s="182">
        <v>81.311000000000007</v>
      </c>
      <c r="D22" s="181">
        <v>21</v>
      </c>
      <c r="E22" s="181">
        <v>14</v>
      </c>
      <c r="F22" s="181">
        <v>0</v>
      </c>
      <c r="G22" s="181">
        <v>141</v>
      </c>
      <c r="H22" s="180">
        <v>585</v>
      </c>
      <c r="I22" s="180">
        <v>0</v>
      </c>
      <c r="J22" s="180">
        <v>905</v>
      </c>
      <c r="K22" s="179">
        <v>0.1489</v>
      </c>
      <c r="L22" s="178">
        <v>0.66669999999999996</v>
      </c>
      <c r="M22" s="178">
        <v>0</v>
      </c>
      <c r="N22" s="177">
        <v>7.19</v>
      </c>
      <c r="O22" s="176">
        <v>0.17</v>
      </c>
      <c r="P22" s="176">
        <v>0</v>
      </c>
      <c r="Q22" s="175" t="s">
        <v>171</v>
      </c>
    </row>
  </sheetData>
  <mergeCells count="3">
    <mergeCell ref="F1:L1"/>
    <mergeCell ref="A2:A3"/>
    <mergeCell ref="B2:B3"/>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tabColor rgb="FF0070C0"/>
  </sheetPr>
  <dimension ref="A1:Q65"/>
  <sheetViews>
    <sheetView workbookViewId="0">
      <selection activeCell="G15" sqref="G15"/>
    </sheetView>
  </sheetViews>
  <sheetFormatPr defaultRowHeight="22.5" customHeight="1" x14ac:dyDescent="0.25"/>
  <cols>
    <col min="1" max="1" width="6" style="93" bestFit="1" customWidth="1"/>
    <col min="2" max="2" width="21.5703125" style="94" bestFit="1" customWidth="1"/>
    <col min="3" max="3" width="8.28515625" style="93" bestFit="1" customWidth="1"/>
    <col min="4" max="4" width="6" style="93" bestFit="1" customWidth="1"/>
    <col min="5" max="5" width="10.28515625" style="93" bestFit="1" customWidth="1"/>
    <col min="6" max="6" width="10.42578125" style="93" bestFit="1" customWidth="1"/>
    <col min="7" max="7" width="8.42578125" style="93" bestFit="1" customWidth="1"/>
    <col min="8" max="8" width="12" style="93" bestFit="1" customWidth="1"/>
    <col min="9" max="9" width="10.42578125" style="93" bestFit="1" customWidth="1"/>
    <col min="10" max="10" width="12" style="93" bestFit="1" customWidth="1"/>
    <col min="11" max="11" width="13.42578125" style="93" bestFit="1" customWidth="1"/>
    <col min="12" max="12" width="11.42578125" style="93" bestFit="1" customWidth="1"/>
    <col min="13" max="13" width="10.42578125" style="93" bestFit="1" customWidth="1"/>
    <col min="14" max="14" width="11.85546875" style="93" bestFit="1" customWidth="1"/>
    <col min="15" max="15" width="11.42578125" style="93" bestFit="1" customWidth="1"/>
    <col min="16" max="16" width="10.42578125" style="93" bestFit="1" customWidth="1"/>
    <col min="17" max="17" width="12.28515625" style="93" bestFit="1" customWidth="1"/>
    <col min="18" max="16384" width="9.140625" style="93"/>
  </cols>
  <sheetData>
    <row r="1" spans="1:17" ht="22.5" customHeight="1" x14ac:dyDescent="0.25">
      <c r="F1" s="614"/>
      <c r="G1" s="614"/>
      <c r="H1" s="614"/>
      <c r="I1" s="614"/>
      <c r="J1" s="614"/>
      <c r="K1" s="614"/>
      <c r="L1" s="614"/>
    </row>
    <row r="2" spans="1:17" ht="22.5" customHeight="1" x14ac:dyDescent="0.25">
      <c r="A2" s="611" t="s">
        <v>172</v>
      </c>
      <c r="B2" s="608" t="s">
        <v>7</v>
      </c>
      <c r="C2" s="217" t="s">
        <v>173</v>
      </c>
      <c r="D2" s="218" t="s">
        <v>3</v>
      </c>
      <c r="E2" s="218" t="s">
        <v>176</v>
      </c>
      <c r="F2" s="218" t="s">
        <v>166</v>
      </c>
      <c r="G2" s="218" t="s">
        <v>8</v>
      </c>
      <c r="H2" s="218" t="s">
        <v>176</v>
      </c>
      <c r="I2" s="218" t="s">
        <v>166</v>
      </c>
      <c r="J2" s="218" t="s">
        <v>3</v>
      </c>
      <c r="K2" s="218" t="s">
        <v>21</v>
      </c>
      <c r="L2" s="218" t="s">
        <v>164</v>
      </c>
      <c r="M2" s="218" t="s">
        <v>166</v>
      </c>
      <c r="N2" s="218" t="s">
        <v>164</v>
      </c>
      <c r="O2" s="218" t="s">
        <v>164</v>
      </c>
      <c r="P2" s="218" t="s">
        <v>166</v>
      </c>
      <c r="Q2" s="219" t="s">
        <v>169</v>
      </c>
    </row>
    <row r="3" spans="1:17" ht="22.5" customHeight="1" x14ac:dyDescent="0.25">
      <c r="A3" s="612"/>
      <c r="B3" s="613"/>
      <c r="C3" s="220" t="s">
        <v>174</v>
      </c>
      <c r="D3" s="221" t="s">
        <v>175</v>
      </c>
      <c r="E3" s="221" t="s">
        <v>175</v>
      </c>
      <c r="F3" s="221" t="s">
        <v>175</v>
      </c>
      <c r="G3" s="221" t="s">
        <v>12</v>
      </c>
      <c r="H3" s="221" t="s">
        <v>9</v>
      </c>
      <c r="I3" s="221" t="s">
        <v>9</v>
      </c>
      <c r="J3" s="221" t="s">
        <v>9</v>
      </c>
      <c r="K3" s="221" t="s">
        <v>13</v>
      </c>
      <c r="L3" s="221" t="s">
        <v>165</v>
      </c>
      <c r="M3" s="221" t="s">
        <v>165</v>
      </c>
      <c r="N3" s="221" t="s">
        <v>167</v>
      </c>
      <c r="O3" s="221" t="s">
        <v>168</v>
      </c>
      <c r="P3" s="221" t="s">
        <v>168</v>
      </c>
      <c r="Q3" s="222" t="s">
        <v>170</v>
      </c>
    </row>
    <row r="4" spans="1:17" ht="22.5" customHeight="1" x14ac:dyDescent="0.25">
      <c r="A4" s="203">
        <v>1</v>
      </c>
      <c r="B4" s="223" t="s">
        <v>317</v>
      </c>
      <c r="C4" s="205">
        <v>5.2690000000000001</v>
      </c>
      <c r="D4" s="204">
        <v>2</v>
      </c>
      <c r="E4" s="204">
        <v>0</v>
      </c>
      <c r="F4" s="204">
        <v>1</v>
      </c>
      <c r="G4" s="204">
        <v>18</v>
      </c>
      <c r="H4" s="206">
        <v>0</v>
      </c>
      <c r="I4" s="206">
        <v>120</v>
      </c>
      <c r="J4" s="206">
        <v>170</v>
      </c>
      <c r="K4" s="207">
        <v>0.1111</v>
      </c>
      <c r="L4" s="208">
        <v>0.5</v>
      </c>
      <c r="M4" s="208">
        <v>0.5</v>
      </c>
      <c r="N4" s="209">
        <v>22.77</v>
      </c>
      <c r="O4" s="210">
        <v>0.19</v>
      </c>
      <c r="P4" s="210">
        <v>0.19</v>
      </c>
      <c r="Q4" s="211">
        <v>0.82</v>
      </c>
    </row>
    <row r="5" spans="1:17" ht="22.5" customHeight="1" x14ac:dyDescent="0.25">
      <c r="A5" s="203">
        <v>2</v>
      </c>
      <c r="B5" s="223" t="s">
        <v>400</v>
      </c>
      <c r="C5" s="205">
        <v>5.55</v>
      </c>
      <c r="D5" s="204">
        <v>3</v>
      </c>
      <c r="E5" s="204">
        <v>0</v>
      </c>
      <c r="F5" s="204">
        <v>1</v>
      </c>
      <c r="G5" s="204">
        <v>34</v>
      </c>
      <c r="H5" s="206">
        <v>0</v>
      </c>
      <c r="I5" s="206">
        <v>120</v>
      </c>
      <c r="J5" s="206">
        <v>135</v>
      </c>
      <c r="K5" s="207">
        <v>8.8200000000000001E-2</v>
      </c>
      <c r="L5" s="208">
        <v>0.33329999999999999</v>
      </c>
      <c r="M5" s="208">
        <v>0.33329999999999999</v>
      </c>
      <c r="N5" s="209">
        <v>21.62</v>
      </c>
      <c r="O5" s="210">
        <v>0.18</v>
      </c>
      <c r="P5" s="210">
        <v>0.18</v>
      </c>
      <c r="Q5" s="211">
        <v>0.78</v>
      </c>
    </row>
    <row r="6" spans="1:17" ht="22.5" customHeight="1" x14ac:dyDescent="0.25">
      <c r="A6" s="203">
        <v>3</v>
      </c>
      <c r="B6" s="223" t="s">
        <v>411</v>
      </c>
      <c r="C6" s="205">
        <v>5.9930000000000003</v>
      </c>
      <c r="D6" s="204">
        <v>1</v>
      </c>
      <c r="E6" s="204">
        <v>0</v>
      </c>
      <c r="F6" s="204">
        <v>1</v>
      </c>
      <c r="G6" s="204">
        <v>18</v>
      </c>
      <c r="H6" s="206">
        <v>0</v>
      </c>
      <c r="I6" s="206">
        <v>120</v>
      </c>
      <c r="J6" s="206">
        <v>120</v>
      </c>
      <c r="K6" s="207">
        <v>5.5599999999999997E-2</v>
      </c>
      <c r="L6" s="208">
        <v>1</v>
      </c>
      <c r="M6" s="208">
        <v>1</v>
      </c>
      <c r="N6" s="209">
        <v>20.02</v>
      </c>
      <c r="O6" s="210">
        <v>0.17</v>
      </c>
      <c r="P6" s="210">
        <v>0.17</v>
      </c>
      <c r="Q6" s="211">
        <v>0.78</v>
      </c>
    </row>
    <row r="7" spans="1:17" ht="22.5" customHeight="1" x14ac:dyDescent="0.25">
      <c r="A7" s="203">
        <v>4</v>
      </c>
      <c r="B7" s="223" t="s">
        <v>401</v>
      </c>
      <c r="C7" s="205">
        <v>6.7709999999999999</v>
      </c>
      <c r="D7" s="204">
        <v>2</v>
      </c>
      <c r="E7" s="204">
        <v>0</v>
      </c>
      <c r="F7" s="204">
        <v>1</v>
      </c>
      <c r="G7" s="204">
        <v>55</v>
      </c>
      <c r="H7" s="206">
        <v>0</v>
      </c>
      <c r="I7" s="206">
        <v>240</v>
      </c>
      <c r="J7" s="206">
        <v>260</v>
      </c>
      <c r="K7" s="207">
        <v>3.6400000000000002E-2</v>
      </c>
      <c r="L7" s="208">
        <v>0.5</v>
      </c>
      <c r="M7" s="208">
        <v>0.5</v>
      </c>
      <c r="N7" s="209">
        <v>35.450000000000003</v>
      </c>
      <c r="O7" s="210">
        <v>0.15</v>
      </c>
      <c r="P7" s="210">
        <v>0.15</v>
      </c>
      <c r="Q7" s="211">
        <v>0.73</v>
      </c>
    </row>
    <row r="8" spans="1:17" ht="22.5" customHeight="1" x14ac:dyDescent="0.25">
      <c r="A8" s="203">
        <v>5</v>
      </c>
      <c r="B8" s="223" t="s">
        <v>274</v>
      </c>
      <c r="C8" s="205">
        <v>2.71</v>
      </c>
      <c r="D8" s="204">
        <v>2</v>
      </c>
      <c r="E8" s="204">
        <v>2</v>
      </c>
      <c r="F8" s="204">
        <v>0</v>
      </c>
      <c r="G8" s="204">
        <v>10</v>
      </c>
      <c r="H8" s="206">
        <v>250</v>
      </c>
      <c r="I8" s="206">
        <v>0</v>
      </c>
      <c r="J8" s="206">
        <v>250</v>
      </c>
      <c r="K8" s="207">
        <v>0.2</v>
      </c>
      <c r="L8" s="208">
        <v>1</v>
      </c>
      <c r="M8" s="208">
        <v>0</v>
      </c>
      <c r="N8" s="209">
        <v>92.25</v>
      </c>
      <c r="O8" s="210">
        <v>0.74</v>
      </c>
      <c r="P8" s="210">
        <v>0</v>
      </c>
      <c r="Q8" s="211">
        <v>0.7</v>
      </c>
    </row>
    <row r="9" spans="1:17" ht="22.5" customHeight="1" x14ac:dyDescent="0.25">
      <c r="A9" s="203">
        <v>6</v>
      </c>
      <c r="B9" s="223" t="s">
        <v>280</v>
      </c>
      <c r="C9" s="205">
        <v>5.319</v>
      </c>
      <c r="D9" s="204">
        <v>3</v>
      </c>
      <c r="E9" s="204">
        <v>2</v>
      </c>
      <c r="F9" s="204">
        <v>0</v>
      </c>
      <c r="G9" s="204">
        <v>18</v>
      </c>
      <c r="H9" s="206">
        <v>125</v>
      </c>
      <c r="I9" s="206">
        <v>0</v>
      </c>
      <c r="J9" s="206">
        <v>145</v>
      </c>
      <c r="K9" s="207">
        <v>0.16669999999999999</v>
      </c>
      <c r="L9" s="208">
        <v>0.66669999999999996</v>
      </c>
      <c r="M9" s="208">
        <v>0</v>
      </c>
      <c r="N9" s="209">
        <v>23.5</v>
      </c>
      <c r="O9" s="210">
        <v>0.38</v>
      </c>
      <c r="P9" s="210">
        <v>0</v>
      </c>
      <c r="Q9" s="211">
        <v>0.68</v>
      </c>
    </row>
    <row r="10" spans="1:17" ht="22.5" customHeight="1" x14ac:dyDescent="0.25">
      <c r="A10" s="203">
        <v>7</v>
      </c>
      <c r="B10" s="223" t="s">
        <v>351</v>
      </c>
      <c r="C10" s="205">
        <v>3.444</v>
      </c>
      <c r="D10" s="204">
        <v>2</v>
      </c>
      <c r="E10" s="204">
        <v>2</v>
      </c>
      <c r="F10" s="204">
        <v>0</v>
      </c>
      <c r="G10" s="204">
        <v>19</v>
      </c>
      <c r="H10" s="206">
        <v>105</v>
      </c>
      <c r="I10" s="206">
        <v>0</v>
      </c>
      <c r="J10" s="206">
        <v>105</v>
      </c>
      <c r="K10" s="207">
        <v>0.1053</v>
      </c>
      <c r="L10" s="208">
        <v>1</v>
      </c>
      <c r="M10" s="208">
        <v>0</v>
      </c>
      <c r="N10" s="209">
        <v>30.49</v>
      </c>
      <c r="O10" s="210">
        <v>0.57999999999999996</v>
      </c>
      <c r="P10" s="210">
        <v>0</v>
      </c>
      <c r="Q10" s="211">
        <v>0.67</v>
      </c>
    </row>
    <row r="11" spans="1:17" ht="22.5" customHeight="1" x14ac:dyDescent="0.25">
      <c r="A11" s="203">
        <v>8</v>
      </c>
      <c r="B11" s="223" t="s">
        <v>324</v>
      </c>
      <c r="C11" s="205">
        <v>1.431</v>
      </c>
      <c r="D11" s="204">
        <v>2</v>
      </c>
      <c r="E11" s="204">
        <v>1</v>
      </c>
      <c r="F11" s="204">
        <v>0</v>
      </c>
      <c r="G11" s="204">
        <v>9</v>
      </c>
      <c r="H11" s="206">
        <v>25</v>
      </c>
      <c r="I11" s="206">
        <v>0</v>
      </c>
      <c r="J11" s="206">
        <v>35</v>
      </c>
      <c r="K11" s="207">
        <v>0.22220000000000001</v>
      </c>
      <c r="L11" s="208">
        <v>0.5</v>
      </c>
      <c r="M11" s="208">
        <v>0</v>
      </c>
      <c r="N11" s="209">
        <v>17.47</v>
      </c>
      <c r="O11" s="210">
        <v>0.7</v>
      </c>
      <c r="P11" s="210">
        <v>0</v>
      </c>
      <c r="Q11" s="211">
        <v>0.65</v>
      </c>
    </row>
    <row r="12" spans="1:17" ht="22.5" customHeight="1" x14ac:dyDescent="0.25">
      <c r="A12" s="203">
        <v>9</v>
      </c>
      <c r="B12" s="223" t="s">
        <v>357</v>
      </c>
      <c r="C12" s="205">
        <v>3.2469999999999999</v>
      </c>
      <c r="D12" s="204">
        <v>1</v>
      </c>
      <c r="E12" s="204">
        <v>1</v>
      </c>
      <c r="F12" s="204">
        <v>0</v>
      </c>
      <c r="G12" s="204">
        <v>9</v>
      </c>
      <c r="H12" s="206">
        <v>50</v>
      </c>
      <c r="I12" s="206">
        <v>0</v>
      </c>
      <c r="J12" s="206">
        <v>50</v>
      </c>
      <c r="K12" s="207">
        <v>0.1111</v>
      </c>
      <c r="L12" s="208">
        <v>1</v>
      </c>
      <c r="M12" s="208">
        <v>0</v>
      </c>
      <c r="N12" s="209">
        <v>15.4</v>
      </c>
      <c r="O12" s="210">
        <v>0.31</v>
      </c>
      <c r="P12" s="210">
        <v>0</v>
      </c>
      <c r="Q12" s="211">
        <v>0.63</v>
      </c>
    </row>
    <row r="13" spans="1:17" ht="22.5" customHeight="1" x14ac:dyDescent="0.25">
      <c r="A13" s="203">
        <v>10</v>
      </c>
      <c r="B13" s="223" t="s">
        <v>279</v>
      </c>
      <c r="C13" s="205">
        <v>5.9729999999999999</v>
      </c>
      <c r="D13" s="204">
        <v>4</v>
      </c>
      <c r="E13" s="204">
        <v>2</v>
      </c>
      <c r="F13" s="204">
        <v>0</v>
      </c>
      <c r="G13" s="204">
        <v>30</v>
      </c>
      <c r="H13" s="206">
        <v>60</v>
      </c>
      <c r="I13" s="206">
        <v>0</v>
      </c>
      <c r="J13" s="206">
        <v>80</v>
      </c>
      <c r="K13" s="207">
        <v>0.1333</v>
      </c>
      <c r="L13" s="208">
        <v>0.5</v>
      </c>
      <c r="M13" s="208">
        <v>0</v>
      </c>
      <c r="N13" s="209">
        <v>10.050000000000001</v>
      </c>
      <c r="O13" s="210">
        <v>0.33</v>
      </c>
      <c r="P13" s="210">
        <v>0</v>
      </c>
      <c r="Q13" s="211">
        <v>0.61</v>
      </c>
    </row>
    <row r="14" spans="1:17" ht="22.5" customHeight="1" x14ac:dyDescent="0.25">
      <c r="A14" s="203">
        <v>11</v>
      </c>
      <c r="B14" s="223" t="s">
        <v>277</v>
      </c>
      <c r="C14" s="205">
        <v>7.7140000000000004</v>
      </c>
      <c r="D14" s="204">
        <v>6</v>
      </c>
      <c r="E14" s="204">
        <v>3</v>
      </c>
      <c r="F14" s="204">
        <v>0</v>
      </c>
      <c r="G14" s="204">
        <v>47</v>
      </c>
      <c r="H14" s="206">
        <v>30</v>
      </c>
      <c r="I14" s="206">
        <v>0</v>
      </c>
      <c r="J14" s="206">
        <v>165</v>
      </c>
      <c r="K14" s="207">
        <v>0.12770000000000001</v>
      </c>
      <c r="L14" s="208">
        <v>0.5</v>
      </c>
      <c r="M14" s="208">
        <v>0</v>
      </c>
      <c r="N14" s="209">
        <v>3.89</v>
      </c>
      <c r="O14" s="210">
        <v>0.39</v>
      </c>
      <c r="P14" s="210">
        <v>0</v>
      </c>
      <c r="Q14" s="211">
        <v>0.61</v>
      </c>
    </row>
    <row r="15" spans="1:17" ht="22.5" customHeight="1" x14ac:dyDescent="0.25">
      <c r="A15" s="203">
        <v>12</v>
      </c>
      <c r="B15" s="223" t="s">
        <v>332</v>
      </c>
      <c r="C15" s="205">
        <v>5.7169999999999996</v>
      </c>
      <c r="D15" s="204">
        <v>2</v>
      </c>
      <c r="E15" s="204">
        <v>2</v>
      </c>
      <c r="F15" s="204">
        <v>0</v>
      </c>
      <c r="G15" s="204">
        <v>28</v>
      </c>
      <c r="H15" s="206">
        <v>50</v>
      </c>
      <c r="I15" s="206">
        <v>0</v>
      </c>
      <c r="J15" s="206">
        <v>50</v>
      </c>
      <c r="K15" s="207">
        <v>7.1400000000000005E-2</v>
      </c>
      <c r="L15" s="208">
        <v>1</v>
      </c>
      <c r="M15" s="208">
        <v>0</v>
      </c>
      <c r="N15" s="209">
        <v>8.75</v>
      </c>
      <c r="O15" s="210">
        <v>0.35</v>
      </c>
      <c r="P15" s="210">
        <v>0</v>
      </c>
      <c r="Q15" s="211">
        <v>0.6</v>
      </c>
    </row>
    <row r="16" spans="1:17" ht="22.5" customHeight="1" x14ac:dyDescent="0.25">
      <c r="A16" s="203">
        <v>13</v>
      </c>
      <c r="B16" s="223" t="s">
        <v>371</v>
      </c>
      <c r="C16" s="205">
        <v>10.141999999999999</v>
      </c>
      <c r="D16" s="204">
        <v>5</v>
      </c>
      <c r="E16" s="204">
        <v>3</v>
      </c>
      <c r="F16" s="204">
        <v>0</v>
      </c>
      <c r="G16" s="204">
        <v>65</v>
      </c>
      <c r="H16" s="206">
        <v>25</v>
      </c>
      <c r="I16" s="206">
        <v>0</v>
      </c>
      <c r="J16" s="206">
        <v>225</v>
      </c>
      <c r="K16" s="207">
        <v>7.6899999999999996E-2</v>
      </c>
      <c r="L16" s="208">
        <v>0.6</v>
      </c>
      <c r="M16" s="208">
        <v>0</v>
      </c>
      <c r="N16" s="209">
        <v>2.46</v>
      </c>
      <c r="O16" s="210">
        <v>0.3</v>
      </c>
      <c r="P16" s="210">
        <v>0</v>
      </c>
      <c r="Q16" s="211">
        <v>0.57999999999999996</v>
      </c>
    </row>
    <row r="17" spans="1:17" ht="22.5" customHeight="1" x14ac:dyDescent="0.25">
      <c r="A17" s="203">
        <v>14</v>
      </c>
      <c r="B17" s="223" t="s">
        <v>271</v>
      </c>
      <c r="C17" s="205">
        <v>4.4720000000000004</v>
      </c>
      <c r="D17" s="204">
        <v>1</v>
      </c>
      <c r="E17" s="204">
        <v>1</v>
      </c>
      <c r="F17" s="204">
        <v>0</v>
      </c>
      <c r="G17" s="204">
        <v>29</v>
      </c>
      <c r="H17" s="206">
        <v>100</v>
      </c>
      <c r="I17" s="206">
        <v>0</v>
      </c>
      <c r="J17" s="206">
        <v>100</v>
      </c>
      <c r="K17" s="207">
        <v>3.4500000000000003E-2</v>
      </c>
      <c r="L17" s="208">
        <v>1</v>
      </c>
      <c r="M17" s="208">
        <v>0</v>
      </c>
      <c r="N17" s="209">
        <v>22.36</v>
      </c>
      <c r="O17" s="210">
        <v>0.22</v>
      </c>
      <c r="P17" s="210">
        <v>0</v>
      </c>
      <c r="Q17" s="211">
        <v>0.56999999999999995</v>
      </c>
    </row>
    <row r="18" spans="1:17" ht="22.5" customHeight="1" x14ac:dyDescent="0.25">
      <c r="A18" s="203">
        <v>15</v>
      </c>
      <c r="B18" s="223" t="s">
        <v>403</v>
      </c>
      <c r="C18" s="205">
        <v>5.5720000000000001</v>
      </c>
      <c r="D18" s="204">
        <v>2</v>
      </c>
      <c r="E18" s="204">
        <v>1</v>
      </c>
      <c r="F18" s="204">
        <v>0</v>
      </c>
      <c r="G18" s="204">
        <v>16</v>
      </c>
      <c r="H18" s="206">
        <v>50</v>
      </c>
      <c r="I18" s="206">
        <v>0</v>
      </c>
      <c r="J18" s="206">
        <v>170</v>
      </c>
      <c r="K18" s="207">
        <v>0.125</v>
      </c>
      <c r="L18" s="208">
        <v>0.5</v>
      </c>
      <c r="M18" s="208">
        <v>0</v>
      </c>
      <c r="N18" s="209">
        <v>8.9700000000000006</v>
      </c>
      <c r="O18" s="210">
        <v>0.18</v>
      </c>
      <c r="P18" s="210">
        <v>0</v>
      </c>
      <c r="Q18" s="211">
        <v>0.56999999999999995</v>
      </c>
    </row>
    <row r="19" spans="1:17" ht="22.5" customHeight="1" x14ac:dyDescent="0.25">
      <c r="A19" s="203">
        <v>16</v>
      </c>
      <c r="B19" s="223" t="s">
        <v>308</v>
      </c>
      <c r="C19" s="205">
        <v>8.6210000000000004</v>
      </c>
      <c r="D19" s="204">
        <v>5</v>
      </c>
      <c r="E19" s="204">
        <v>2</v>
      </c>
      <c r="F19" s="204">
        <v>0</v>
      </c>
      <c r="G19" s="204">
        <v>57</v>
      </c>
      <c r="H19" s="206">
        <v>40</v>
      </c>
      <c r="I19" s="206">
        <v>0</v>
      </c>
      <c r="J19" s="206">
        <v>85</v>
      </c>
      <c r="K19" s="207">
        <v>8.77E-2</v>
      </c>
      <c r="L19" s="208">
        <v>0.4</v>
      </c>
      <c r="M19" s="208">
        <v>0</v>
      </c>
      <c r="N19" s="209">
        <v>4.6399999999999997</v>
      </c>
      <c r="O19" s="210">
        <v>0.23</v>
      </c>
      <c r="P19" s="210">
        <v>0</v>
      </c>
      <c r="Q19" s="211">
        <v>0.56000000000000005</v>
      </c>
    </row>
    <row r="20" spans="1:17" ht="22.5" customHeight="1" x14ac:dyDescent="0.25">
      <c r="A20" s="203">
        <v>17</v>
      </c>
      <c r="B20" s="223" t="s">
        <v>328</v>
      </c>
      <c r="C20" s="205">
        <v>5.4889999999999999</v>
      </c>
      <c r="D20" s="204">
        <v>1</v>
      </c>
      <c r="E20" s="204">
        <v>1</v>
      </c>
      <c r="F20" s="204">
        <v>0</v>
      </c>
      <c r="G20" s="204">
        <v>30</v>
      </c>
      <c r="H20" s="206">
        <v>100</v>
      </c>
      <c r="I20" s="206">
        <v>0</v>
      </c>
      <c r="J20" s="206">
        <v>100</v>
      </c>
      <c r="K20" s="207">
        <v>3.3300000000000003E-2</v>
      </c>
      <c r="L20" s="208">
        <v>1</v>
      </c>
      <c r="M20" s="208">
        <v>0</v>
      </c>
      <c r="N20" s="209">
        <v>18.22</v>
      </c>
      <c r="O20" s="210">
        <v>0.18</v>
      </c>
      <c r="P20" s="210">
        <v>0</v>
      </c>
      <c r="Q20" s="211">
        <v>0.54</v>
      </c>
    </row>
    <row r="21" spans="1:17" ht="22.5" customHeight="1" x14ac:dyDescent="0.25">
      <c r="A21" s="203">
        <v>18</v>
      </c>
      <c r="B21" s="223" t="s">
        <v>360</v>
      </c>
      <c r="C21" s="205">
        <v>5.3259999999999996</v>
      </c>
      <c r="D21" s="204">
        <v>1</v>
      </c>
      <c r="E21" s="204">
        <v>1</v>
      </c>
      <c r="F21" s="204">
        <v>0</v>
      </c>
      <c r="G21" s="204">
        <v>34</v>
      </c>
      <c r="H21" s="206">
        <v>25</v>
      </c>
      <c r="I21" s="206">
        <v>0</v>
      </c>
      <c r="J21" s="206">
        <v>25</v>
      </c>
      <c r="K21" s="207">
        <v>2.9399999999999999E-2</v>
      </c>
      <c r="L21" s="208">
        <v>1</v>
      </c>
      <c r="M21" s="208">
        <v>0</v>
      </c>
      <c r="N21" s="209">
        <v>4.6900000000000004</v>
      </c>
      <c r="O21" s="210">
        <v>0.19</v>
      </c>
      <c r="P21" s="210">
        <v>0</v>
      </c>
      <c r="Q21" s="211">
        <v>0.53</v>
      </c>
    </row>
    <row r="22" spans="1:17" ht="22.5" customHeight="1" x14ac:dyDescent="0.25">
      <c r="A22" s="203">
        <v>19</v>
      </c>
      <c r="B22" s="223" t="s">
        <v>341</v>
      </c>
      <c r="C22" s="205">
        <v>4.508</v>
      </c>
      <c r="D22" s="204">
        <v>2</v>
      </c>
      <c r="E22" s="204">
        <v>1</v>
      </c>
      <c r="F22" s="204">
        <v>0</v>
      </c>
      <c r="G22" s="204">
        <v>25</v>
      </c>
      <c r="H22" s="206">
        <v>5</v>
      </c>
      <c r="I22" s="206">
        <v>0</v>
      </c>
      <c r="J22" s="206">
        <v>15</v>
      </c>
      <c r="K22" s="207">
        <v>0.08</v>
      </c>
      <c r="L22" s="208">
        <v>0.5</v>
      </c>
      <c r="M22" s="208">
        <v>0</v>
      </c>
      <c r="N22" s="209">
        <v>1.1100000000000001</v>
      </c>
      <c r="O22" s="210">
        <v>0.22</v>
      </c>
      <c r="P22" s="210">
        <v>0</v>
      </c>
      <c r="Q22" s="211">
        <v>0.53</v>
      </c>
    </row>
    <row r="23" spans="1:17" ht="22.5" customHeight="1" x14ac:dyDescent="0.25">
      <c r="A23" s="203">
        <v>20</v>
      </c>
      <c r="B23" s="223" t="s">
        <v>430</v>
      </c>
      <c r="C23" s="205">
        <v>5.9480000000000004</v>
      </c>
      <c r="D23" s="204">
        <v>4</v>
      </c>
      <c r="E23" s="204">
        <v>1</v>
      </c>
      <c r="F23" s="204">
        <v>0</v>
      </c>
      <c r="G23" s="204">
        <v>20</v>
      </c>
      <c r="H23" s="206">
        <v>5</v>
      </c>
      <c r="I23" s="206">
        <v>0</v>
      </c>
      <c r="J23" s="206">
        <v>65</v>
      </c>
      <c r="K23" s="207">
        <v>0.2</v>
      </c>
      <c r="L23" s="208">
        <v>0.25</v>
      </c>
      <c r="M23" s="208">
        <v>0</v>
      </c>
      <c r="N23" s="209">
        <v>0.84</v>
      </c>
      <c r="O23" s="210">
        <v>0.17</v>
      </c>
      <c r="P23" s="210">
        <v>0</v>
      </c>
      <c r="Q23" s="211">
        <v>0.52</v>
      </c>
    </row>
    <row r="24" spans="1:17" ht="22.5" customHeight="1" x14ac:dyDescent="0.25">
      <c r="A24" s="203">
        <v>21</v>
      </c>
      <c r="B24" s="223" t="s">
        <v>356</v>
      </c>
      <c r="C24" s="205">
        <v>4.6479999999999997</v>
      </c>
      <c r="D24" s="204">
        <v>2</v>
      </c>
      <c r="E24" s="204">
        <v>1</v>
      </c>
      <c r="F24" s="204">
        <v>0</v>
      </c>
      <c r="G24" s="204">
        <v>29</v>
      </c>
      <c r="H24" s="206">
        <v>5</v>
      </c>
      <c r="I24" s="206">
        <v>0</v>
      </c>
      <c r="J24" s="206">
        <v>10</v>
      </c>
      <c r="K24" s="207">
        <v>6.9000000000000006E-2</v>
      </c>
      <c r="L24" s="208">
        <v>0.5</v>
      </c>
      <c r="M24" s="208">
        <v>0</v>
      </c>
      <c r="N24" s="209">
        <v>1.08</v>
      </c>
      <c r="O24" s="210">
        <v>0.22</v>
      </c>
      <c r="P24" s="210">
        <v>0</v>
      </c>
      <c r="Q24" s="211">
        <v>0.51</v>
      </c>
    </row>
    <row r="25" spans="1:17" ht="22.5" customHeight="1" x14ac:dyDescent="0.25">
      <c r="A25" s="203">
        <v>22</v>
      </c>
      <c r="B25" s="223" t="s">
        <v>375</v>
      </c>
      <c r="C25" s="205">
        <v>11.146000000000001</v>
      </c>
      <c r="D25" s="204">
        <v>1</v>
      </c>
      <c r="E25" s="204">
        <v>1</v>
      </c>
      <c r="F25" s="204">
        <v>0</v>
      </c>
      <c r="G25" s="204">
        <v>21</v>
      </c>
      <c r="H25" s="206">
        <v>25</v>
      </c>
      <c r="I25" s="206">
        <v>0</v>
      </c>
      <c r="J25" s="206">
        <v>25</v>
      </c>
      <c r="K25" s="207">
        <v>4.7600000000000003E-2</v>
      </c>
      <c r="L25" s="208">
        <v>1</v>
      </c>
      <c r="M25" s="208">
        <v>0</v>
      </c>
      <c r="N25" s="209">
        <v>2.2400000000000002</v>
      </c>
      <c r="O25" s="210">
        <v>0.09</v>
      </c>
      <c r="P25" s="210">
        <v>0</v>
      </c>
      <c r="Q25" s="211">
        <v>0.49</v>
      </c>
    </row>
    <row r="26" spans="1:17" ht="22.5" customHeight="1" x14ac:dyDescent="0.25">
      <c r="A26" s="203">
        <v>23</v>
      </c>
      <c r="B26" s="223" t="s">
        <v>409</v>
      </c>
      <c r="C26" s="205">
        <v>5.774</v>
      </c>
      <c r="D26" s="204">
        <v>1</v>
      </c>
      <c r="E26" s="204">
        <v>1</v>
      </c>
      <c r="F26" s="204">
        <v>0</v>
      </c>
      <c r="G26" s="204">
        <v>38</v>
      </c>
      <c r="H26" s="206">
        <v>20</v>
      </c>
      <c r="I26" s="206">
        <v>0</v>
      </c>
      <c r="J26" s="206">
        <v>20</v>
      </c>
      <c r="K26" s="207">
        <v>2.63E-2</v>
      </c>
      <c r="L26" s="208">
        <v>1</v>
      </c>
      <c r="M26" s="208">
        <v>0</v>
      </c>
      <c r="N26" s="209">
        <v>3.46</v>
      </c>
      <c r="O26" s="210">
        <v>0.17</v>
      </c>
      <c r="P26" s="210">
        <v>0</v>
      </c>
      <c r="Q26" s="211">
        <v>0.49</v>
      </c>
    </row>
    <row r="27" spans="1:17" ht="22.5" customHeight="1" x14ac:dyDescent="0.25">
      <c r="A27" s="203">
        <v>24</v>
      </c>
      <c r="B27" s="223" t="s">
        <v>374</v>
      </c>
      <c r="C27" s="205">
        <v>7.2149999999999999</v>
      </c>
      <c r="D27" s="204">
        <v>3</v>
      </c>
      <c r="E27" s="204">
        <v>1</v>
      </c>
      <c r="F27" s="204">
        <v>0</v>
      </c>
      <c r="G27" s="204">
        <v>42</v>
      </c>
      <c r="H27" s="206">
        <v>25</v>
      </c>
      <c r="I27" s="206">
        <v>0</v>
      </c>
      <c r="J27" s="206">
        <v>65</v>
      </c>
      <c r="K27" s="207">
        <v>7.1400000000000005E-2</v>
      </c>
      <c r="L27" s="208">
        <v>0.33329999999999999</v>
      </c>
      <c r="M27" s="208">
        <v>0</v>
      </c>
      <c r="N27" s="209">
        <v>3.47</v>
      </c>
      <c r="O27" s="210">
        <v>0.14000000000000001</v>
      </c>
      <c r="P27" s="210">
        <v>0</v>
      </c>
      <c r="Q27" s="211">
        <v>0.48</v>
      </c>
    </row>
    <row r="28" spans="1:17" ht="22.5" customHeight="1" x14ac:dyDescent="0.25">
      <c r="A28" s="203">
        <v>25</v>
      </c>
      <c r="B28" s="223" t="s">
        <v>373</v>
      </c>
      <c r="C28" s="205">
        <v>5.5810000000000004</v>
      </c>
      <c r="D28" s="204">
        <v>1</v>
      </c>
      <c r="E28" s="204">
        <v>1</v>
      </c>
      <c r="F28" s="204">
        <v>0</v>
      </c>
      <c r="G28" s="204">
        <v>40</v>
      </c>
      <c r="H28" s="206">
        <v>5</v>
      </c>
      <c r="I28" s="206">
        <v>0</v>
      </c>
      <c r="J28" s="206">
        <v>5</v>
      </c>
      <c r="K28" s="207">
        <v>2.5000000000000001E-2</v>
      </c>
      <c r="L28" s="208">
        <v>1</v>
      </c>
      <c r="M28" s="208">
        <v>0</v>
      </c>
      <c r="N28" s="209">
        <v>0.9</v>
      </c>
      <c r="O28" s="210">
        <v>0.18</v>
      </c>
      <c r="P28" s="210">
        <v>0</v>
      </c>
      <c r="Q28" s="211">
        <v>0.48</v>
      </c>
    </row>
    <row r="29" spans="1:17" ht="22.5" customHeight="1" x14ac:dyDescent="0.25">
      <c r="A29" s="203">
        <v>26</v>
      </c>
      <c r="B29" s="223" t="s">
        <v>405</v>
      </c>
      <c r="C29" s="205">
        <v>6.1639999999999997</v>
      </c>
      <c r="D29" s="204">
        <v>1</v>
      </c>
      <c r="E29" s="204">
        <v>1</v>
      </c>
      <c r="F29" s="204">
        <v>0</v>
      </c>
      <c r="G29" s="204">
        <v>38</v>
      </c>
      <c r="H29" s="206">
        <v>10</v>
      </c>
      <c r="I29" s="206">
        <v>0</v>
      </c>
      <c r="J29" s="206">
        <v>10</v>
      </c>
      <c r="K29" s="207">
        <v>2.63E-2</v>
      </c>
      <c r="L29" s="208">
        <v>1</v>
      </c>
      <c r="M29" s="208">
        <v>0</v>
      </c>
      <c r="N29" s="209">
        <v>1.62</v>
      </c>
      <c r="O29" s="210">
        <v>0.16</v>
      </c>
      <c r="P29" s="210">
        <v>0</v>
      </c>
      <c r="Q29" s="211">
        <v>0.48</v>
      </c>
    </row>
    <row r="30" spans="1:17" ht="22.5" customHeight="1" x14ac:dyDescent="0.25">
      <c r="A30" s="203">
        <v>27</v>
      </c>
      <c r="B30" s="223" t="s">
        <v>359</v>
      </c>
      <c r="C30" s="205">
        <v>5.9340000000000002</v>
      </c>
      <c r="D30" s="204">
        <v>2</v>
      </c>
      <c r="E30" s="204">
        <v>1</v>
      </c>
      <c r="F30" s="204">
        <v>0</v>
      </c>
      <c r="G30" s="204">
        <v>37</v>
      </c>
      <c r="H30" s="206">
        <v>5</v>
      </c>
      <c r="I30" s="206">
        <v>0</v>
      </c>
      <c r="J30" s="206">
        <v>30</v>
      </c>
      <c r="K30" s="207">
        <v>5.4100000000000002E-2</v>
      </c>
      <c r="L30" s="208">
        <v>0.5</v>
      </c>
      <c r="M30" s="208">
        <v>0</v>
      </c>
      <c r="N30" s="209">
        <v>0.84</v>
      </c>
      <c r="O30" s="210">
        <v>0.17</v>
      </c>
      <c r="P30" s="210">
        <v>0</v>
      </c>
      <c r="Q30" s="211">
        <v>0.46</v>
      </c>
    </row>
    <row r="31" spans="1:17" ht="22.5" customHeight="1" x14ac:dyDescent="0.25">
      <c r="A31" s="203">
        <v>28</v>
      </c>
      <c r="B31" s="223" t="s">
        <v>392</v>
      </c>
      <c r="C31" s="205">
        <v>0.60299999999999998</v>
      </c>
      <c r="D31" s="204">
        <v>1</v>
      </c>
      <c r="E31" s="204">
        <v>0</v>
      </c>
      <c r="F31" s="204">
        <v>0</v>
      </c>
      <c r="G31" s="204">
        <v>4</v>
      </c>
      <c r="H31" s="206">
        <v>0</v>
      </c>
      <c r="I31" s="206">
        <v>0</v>
      </c>
      <c r="J31" s="206">
        <v>5</v>
      </c>
      <c r="K31" s="207">
        <v>0.25</v>
      </c>
      <c r="L31" s="208">
        <v>0</v>
      </c>
      <c r="M31" s="208">
        <v>0</v>
      </c>
      <c r="N31" s="209">
        <v>0</v>
      </c>
      <c r="O31" s="210">
        <v>0</v>
      </c>
      <c r="P31" s="210">
        <v>0</v>
      </c>
      <c r="Q31" s="211">
        <v>0.21</v>
      </c>
    </row>
    <row r="32" spans="1:17" ht="22.5" customHeight="1" x14ac:dyDescent="0.25">
      <c r="A32" s="203">
        <v>29</v>
      </c>
      <c r="B32" s="223" t="s">
        <v>295</v>
      </c>
      <c r="C32" s="205">
        <v>0.43</v>
      </c>
      <c r="D32" s="204">
        <v>1</v>
      </c>
      <c r="E32" s="204">
        <v>0</v>
      </c>
      <c r="F32" s="204">
        <v>0</v>
      </c>
      <c r="G32" s="204">
        <v>4</v>
      </c>
      <c r="H32" s="206">
        <v>0</v>
      </c>
      <c r="I32" s="206">
        <v>0</v>
      </c>
      <c r="J32" s="206">
        <v>20</v>
      </c>
      <c r="K32" s="207">
        <v>0.25</v>
      </c>
      <c r="L32" s="208">
        <v>0</v>
      </c>
      <c r="M32" s="208">
        <v>0</v>
      </c>
      <c r="N32" s="209">
        <v>0</v>
      </c>
      <c r="O32" s="210">
        <v>0</v>
      </c>
      <c r="P32" s="210">
        <v>0</v>
      </c>
      <c r="Q32" s="211">
        <v>0.21</v>
      </c>
    </row>
    <row r="33" spans="1:17" ht="22.5" customHeight="1" x14ac:dyDescent="0.25">
      <c r="A33" s="203">
        <v>30</v>
      </c>
      <c r="B33" s="223" t="s">
        <v>291</v>
      </c>
      <c r="C33" s="205">
        <v>2.5499999999999998</v>
      </c>
      <c r="D33" s="204">
        <v>1</v>
      </c>
      <c r="E33" s="204">
        <v>0</v>
      </c>
      <c r="F33" s="204">
        <v>0</v>
      </c>
      <c r="G33" s="204">
        <v>10</v>
      </c>
      <c r="H33" s="206">
        <v>0</v>
      </c>
      <c r="I33" s="206">
        <v>0</v>
      </c>
      <c r="J33" s="206">
        <v>50</v>
      </c>
      <c r="K33" s="207">
        <v>0.1</v>
      </c>
      <c r="L33" s="208">
        <v>0</v>
      </c>
      <c r="M33" s="208">
        <v>0</v>
      </c>
      <c r="N33" s="209">
        <v>0</v>
      </c>
      <c r="O33" s="210">
        <v>0</v>
      </c>
      <c r="P33" s="210">
        <v>0</v>
      </c>
      <c r="Q33" s="211">
        <v>0.17</v>
      </c>
    </row>
    <row r="34" spans="1:17" ht="22.5" customHeight="1" x14ac:dyDescent="0.25">
      <c r="A34" s="203">
        <v>31</v>
      </c>
      <c r="B34" s="223" t="s">
        <v>417</v>
      </c>
      <c r="C34" s="205">
        <v>6.4340000000000002</v>
      </c>
      <c r="D34" s="204">
        <v>4</v>
      </c>
      <c r="E34" s="204">
        <v>0</v>
      </c>
      <c r="F34" s="204">
        <v>0</v>
      </c>
      <c r="G34" s="204">
        <v>36</v>
      </c>
      <c r="H34" s="206">
        <v>0</v>
      </c>
      <c r="I34" s="206">
        <v>0</v>
      </c>
      <c r="J34" s="206">
        <v>190</v>
      </c>
      <c r="K34" s="207">
        <v>0.1111</v>
      </c>
      <c r="L34" s="208">
        <v>0</v>
      </c>
      <c r="M34" s="208">
        <v>0</v>
      </c>
      <c r="N34" s="209">
        <v>0</v>
      </c>
      <c r="O34" s="210">
        <v>0</v>
      </c>
      <c r="P34" s="210">
        <v>0</v>
      </c>
      <c r="Q34" s="211">
        <v>0.17</v>
      </c>
    </row>
    <row r="35" spans="1:17" ht="22.5" customHeight="1" x14ac:dyDescent="0.25">
      <c r="A35" s="203">
        <v>32</v>
      </c>
      <c r="B35" s="223" t="s">
        <v>379</v>
      </c>
      <c r="C35" s="205">
        <v>5.3479999999999999</v>
      </c>
      <c r="D35" s="204">
        <v>1</v>
      </c>
      <c r="E35" s="204">
        <v>0</v>
      </c>
      <c r="F35" s="204">
        <v>0</v>
      </c>
      <c r="G35" s="204">
        <v>14</v>
      </c>
      <c r="H35" s="206">
        <v>0</v>
      </c>
      <c r="I35" s="206">
        <v>0</v>
      </c>
      <c r="J35" s="206">
        <v>10</v>
      </c>
      <c r="K35" s="207">
        <v>7.1400000000000005E-2</v>
      </c>
      <c r="L35" s="208">
        <v>0</v>
      </c>
      <c r="M35" s="208">
        <v>0</v>
      </c>
      <c r="N35" s="209">
        <v>0</v>
      </c>
      <c r="O35" s="210">
        <v>0</v>
      </c>
      <c r="P35" s="210">
        <v>0</v>
      </c>
      <c r="Q35" s="211">
        <v>0.15</v>
      </c>
    </row>
    <row r="36" spans="1:17" ht="22.5" customHeight="1" x14ac:dyDescent="0.25">
      <c r="A36" s="203">
        <v>33</v>
      </c>
      <c r="B36" s="223" t="s">
        <v>432</v>
      </c>
      <c r="C36" s="205">
        <v>5.9850000000000003</v>
      </c>
      <c r="D36" s="204">
        <v>2</v>
      </c>
      <c r="E36" s="204">
        <v>0</v>
      </c>
      <c r="F36" s="204">
        <v>0</v>
      </c>
      <c r="G36" s="204">
        <v>29</v>
      </c>
      <c r="H36" s="206">
        <v>0</v>
      </c>
      <c r="I36" s="206">
        <v>0</v>
      </c>
      <c r="J36" s="206">
        <v>55</v>
      </c>
      <c r="K36" s="207">
        <v>6.9000000000000006E-2</v>
      </c>
      <c r="L36" s="208">
        <v>0</v>
      </c>
      <c r="M36" s="208">
        <v>0</v>
      </c>
      <c r="N36" s="209">
        <v>0</v>
      </c>
      <c r="O36" s="210">
        <v>0</v>
      </c>
      <c r="P36" s="210">
        <v>0</v>
      </c>
      <c r="Q36" s="211">
        <v>0.14000000000000001</v>
      </c>
    </row>
    <row r="37" spans="1:17" ht="22.5" customHeight="1" x14ac:dyDescent="0.25">
      <c r="A37" s="203">
        <v>34</v>
      </c>
      <c r="B37" s="223" t="s">
        <v>398</v>
      </c>
      <c r="C37" s="205">
        <v>4.8339999999999996</v>
      </c>
      <c r="D37" s="204">
        <v>2</v>
      </c>
      <c r="E37" s="204">
        <v>0</v>
      </c>
      <c r="F37" s="204">
        <v>0</v>
      </c>
      <c r="G37" s="204">
        <v>34</v>
      </c>
      <c r="H37" s="206">
        <v>0</v>
      </c>
      <c r="I37" s="206">
        <v>0</v>
      </c>
      <c r="J37" s="206">
        <v>125</v>
      </c>
      <c r="K37" s="207">
        <v>5.8799999999999998E-2</v>
      </c>
      <c r="L37" s="208">
        <v>0</v>
      </c>
      <c r="M37" s="208">
        <v>0</v>
      </c>
      <c r="N37" s="209">
        <v>0</v>
      </c>
      <c r="O37" s="210">
        <v>0</v>
      </c>
      <c r="P37" s="210">
        <v>0</v>
      </c>
      <c r="Q37" s="211">
        <v>0.14000000000000001</v>
      </c>
    </row>
    <row r="38" spans="1:17" ht="22.5" customHeight="1" x14ac:dyDescent="0.25">
      <c r="A38" s="203">
        <v>35</v>
      </c>
      <c r="B38" s="223" t="s">
        <v>352</v>
      </c>
      <c r="C38" s="205">
        <v>6.6829999999999998</v>
      </c>
      <c r="D38" s="204">
        <v>1</v>
      </c>
      <c r="E38" s="204">
        <v>0</v>
      </c>
      <c r="F38" s="204">
        <v>0</v>
      </c>
      <c r="G38" s="204">
        <v>19</v>
      </c>
      <c r="H38" s="206">
        <v>0</v>
      </c>
      <c r="I38" s="206">
        <v>0</v>
      </c>
      <c r="J38" s="206">
        <v>10</v>
      </c>
      <c r="K38" s="207">
        <v>5.2600000000000001E-2</v>
      </c>
      <c r="L38" s="208">
        <v>0</v>
      </c>
      <c r="M38" s="208">
        <v>0</v>
      </c>
      <c r="N38" s="209">
        <v>0</v>
      </c>
      <c r="O38" s="210">
        <v>0</v>
      </c>
      <c r="P38" s="210">
        <v>0</v>
      </c>
      <c r="Q38" s="211">
        <v>0.13</v>
      </c>
    </row>
    <row r="39" spans="1:17" ht="22.5" customHeight="1" x14ac:dyDescent="0.25">
      <c r="A39" s="203">
        <v>36</v>
      </c>
      <c r="B39" s="223" t="s">
        <v>435</v>
      </c>
      <c r="C39" s="205">
        <v>6.9779999999999998</v>
      </c>
      <c r="D39" s="204">
        <v>1</v>
      </c>
      <c r="E39" s="204">
        <v>0</v>
      </c>
      <c r="F39" s="204">
        <v>0</v>
      </c>
      <c r="G39" s="204">
        <v>36</v>
      </c>
      <c r="H39" s="206">
        <v>0</v>
      </c>
      <c r="I39" s="206">
        <v>0</v>
      </c>
      <c r="J39" s="206">
        <v>5</v>
      </c>
      <c r="K39" s="207">
        <v>2.7799999999999998E-2</v>
      </c>
      <c r="L39" s="208">
        <v>0</v>
      </c>
      <c r="M39" s="208">
        <v>0</v>
      </c>
      <c r="N39" s="209">
        <v>0</v>
      </c>
      <c r="O39" s="210">
        <v>0</v>
      </c>
      <c r="P39" s="210">
        <v>0</v>
      </c>
      <c r="Q39" s="211">
        <v>0.11</v>
      </c>
    </row>
    <row r="40" spans="1:17" ht="22.5" customHeight="1" x14ac:dyDescent="0.25">
      <c r="A40" s="203">
        <v>37</v>
      </c>
      <c r="B40" s="223" t="s">
        <v>301</v>
      </c>
      <c r="C40" s="205">
        <v>5.117</v>
      </c>
      <c r="D40" s="204">
        <v>1</v>
      </c>
      <c r="E40" s="204">
        <v>0</v>
      </c>
      <c r="F40" s="204">
        <v>0</v>
      </c>
      <c r="G40" s="204">
        <v>45</v>
      </c>
      <c r="H40" s="206">
        <v>0</v>
      </c>
      <c r="I40" s="206">
        <v>0</v>
      </c>
      <c r="J40" s="206">
        <v>25</v>
      </c>
      <c r="K40" s="207">
        <v>2.2200000000000001E-2</v>
      </c>
      <c r="L40" s="208">
        <v>0</v>
      </c>
      <c r="M40" s="208">
        <v>0</v>
      </c>
      <c r="N40" s="209">
        <v>0</v>
      </c>
      <c r="O40" s="210">
        <v>0</v>
      </c>
      <c r="P40" s="210">
        <v>0</v>
      </c>
      <c r="Q40" s="211">
        <v>0.09</v>
      </c>
    </row>
    <row r="41" spans="1:17" ht="22.5" customHeight="1" x14ac:dyDescent="0.25">
      <c r="A41" s="203">
        <v>38</v>
      </c>
      <c r="B41" s="223" t="s">
        <v>365</v>
      </c>
      <c r="C41" s="205">
        <v>7.0090000000000003</v>
      </c>
      <c r="D41" s="204">
        <v>1</v>
      </c>
      <c r="E41" s="204">
        <v>0</v>
      </c>
      <c r="F41" s="204">
        <v>0</v>
      </c>
      <c r="G41" s="204">
        <v>51</v>
      </c>
      <c r="H41" s="206">
        <v>0</v>
      </c>
      <c r="I41" s="206">
        <v>0</v>
      </c>
      <c r="J41" s="206">
        <v>5</v>
      </c>
      <c r="K41" s="207">
        <v>1.9599999999999999E-2</v>
      </c>
      <c r="L41" s="208">
        <v>0</v>
      </c>
      <c r="M41" s="208">
        <v>0</v>
      </c>
      <c r="N41" s="209">
        <v>0</v>
      </c>
      <c r="O41" s="210">
        <v>0</v>
      </c>
      <c r="P41" s="210">
        <v>0</v>
      </c>
      <c r="Q41" s="211">
        <v>0.09</v>
      </c>
    </row>
    <row r="42" spans="1:17" ht="22.5" customHeight="1" x14ac:dyDescent="0.25">
      <c r="A42" s="203">
        <v>39</v>
      </c>
      <c r="B42" s="223" t="s">
        <v>366</v>
      </c>
      <c r="C42" s="205">
        <v>3.9159999999999999</v>
      </c>
      <c r="D42" s="204">
        <v>0</v>
      </c>
      <c r="E42" s="204">
        <v>0</v>
      </c>
      <c r="F42" s="204">
        <v>0</v>
      </c>
      <c r="G42" s="204">
        <v>24</v>
      </c>
      <c r="H42" s="206">
        <v>0</v>
      </c>
      <c r="I42" s="206">
        <v>0</v>
      </c>
      <c r="J42" s="206">
        <v>0</v>
      </c>
      <c r="K42" s="207">
        <v>0</v>
      </c>
      <c r="L42" s="208">
        <v>0</v>
      </c>
      <c r="M42" s="208">
        <v>0</v>
      </c>
      <c r="N42" s="209">
        <v>0</v>
      </c>
      <c r="O42" s="210">
        <v>0</v>
      </c>
      <c r="P42" s="210">
        <v>0</v>
      </c>
      <c r="Q42" s="211">
        <v>0.02</v>
      </c>
    </row>
    <row r="43" spans="1:17" ht="22.5" customHeight="1" x14ac:dyDescent="0.25">
      <c r="A43" s="203">
        <v>40</v>
      </c>
      <c r="B43" s="223" t="s">
        <v>389</v>
      </c>
      <c r="C43" s="205">
        <v>5.4859999999999998</v>
      </c>
      <c r="D43" s="204">
        <v>0</v>
      </c>
      <c r="E43" s="204">
        <v>0</v>
      </c>
      <c r="F43" s="204">
        <v>0</v>
      </c>
      <c r="G43" s="204">
        <v>20</v>
      </c>
      <c r="H43" s="206">
        <v>0</v>
      </c>
      <c r="I43" s="206">
        <v>0</v>
      </c>
      <c r="J43" s="206">
        <v>0</v>
      </c>
      <c r="K43" s="207">
        <v>0</v>
      </c>
      <c r="L43" s="208">
        <v>0</v>
      </c>
      <c r="M43" s="208">
        <v>0</v>
      </c>
      <c r="N43" s="209">
        <v>0</v>
      </c>
      <c r="O43" s="210">
        <v>0</v>
      </c>
      <c r="P43" s="210">
        <v>0</v>
      </c>
      <c r="Q43" s="211">
        <v>0.02</v>
      </c>
    </row>
    <row r="44" spans="1:17" ht="22.5" customHeight="1" x14ac:dyDescent="0.25">
      <c r="A44" s="203">
        <v>41</v>
      </c>
      <c r="B44" s="223" t="s">
        <v>299</v>
      </c>
      <c r="C44" s="205">
        <v>3.9510000000000001</v>
      </c>
      <c r="D44" s="204">
        <v>0</v>
      </c>
      <c r="E44" s="204">
        <v>0</v>
      </c>
      <c r="F44" s="204">
        <v>0</v>
      </c>
      <c r="G44" s="204">
        <v>28</v>
      </c>
      <c r="H44" s="206">
        <v>0</v>
      </c>
      <c r="I44" s="206">
        <v>0</v>
      </c>
      <c r="J44" s="206">
        <v>0</v>
      </c>
      <c r="K44" s="207">
        <v>0</v>
      </c>
      <c r="L44" s="208">
        <v>0</v>
      </c>
      <c r="M44" s="208">
        <v>0</v>
      </c>
      <c r="N44" s="209">
        <v>0</v>
      </c>
      <c r="O44" s="210">
        <v>0</v>
      </c>
      <c r="P44" s="210">
        <v>0</v>
      </c>
      <c r="Q44" s="211">
        <v>0.02</v>
      </c>
    </row>
    <row r="45" spans="1:17" ht="22.5" customHeight="1" x14ac:dyDescent="0.25">
      <c r="A45" s="203">
        <v>42</v>
      </c>
      <c r="B45" s="223" t="s">
        <v>385</v>
      </c>
      <c r="C45" s="205">
        <v>6.7949999999999999</v>
      </c>
      <c r="D45" s="204">
        <v>0</v>
      </c>
      <c r="E45" s="204">
        <v>0</v>
      </c>
      <c r="F45" s="204">
        <v>0</v>
      </c>
      <c r="G45" s="204">
        <v>21</v>
      </c>
      <c r="H45" s="206">
        <v>0</v>
      </c>
      <c r="I45" s="206">
        <v>0</v>
      </c>
      <c r="J45" s="206">
        <v>0</v>
      </c>
      <c r="K45" s="207">
        <v>0</v>
      </c>
      <c r="L45" s="208">
        <v>0</v>
      </c>
      <c r="M45" s="208">
        <v>0</v>
      </c>
      <c r="N45" s="209">
        <v>0</v>
      </c>
      <c r="O45" s="210">
        <v>0</v>
      </c>
      <c r="P45" s="210">
        <v>0</v>
      </c>
      <c r="Q45" s="211">
        <v>0.02</v>
      </c>
    </row>
    <row r="46" spans="1:17" ht="22.5" customHeight="1" x14ac:dyDescent="0.25">
      <c r="A46" s="203">
        <v>43</v>
      </c>
      <c r="B46" s="223" t="s">
        <v>318</v>
      </c>
      <c r="C46" s="205">
        <v>6.1379999999999999</v>
      </c>
      <c r="D46" s="204">
        <v>0</v>
      </c>
      <c r="E46" s="204">
        <v>0</v>
      </c>
      <c r="F46" s="204">
        <v>0</v>
      </c>
      <c r="G46" s="204">
        <v>39</v>
      </c>
      <c r="H46" s="206">
        <v>0</v>
      </c>
      <c r="I46" s="206">
        <v>0</v>
      </c>
      <c r="J46" s="206">
        <v>0</v>
      </c>
      <c r="K46" s="207">
        <v>0</v>
      </c>
      <c r="L46" s="208">
        <v>0</v>
      </c>
      <c r="M46" s="208">
        <v>0</v>
      </c>
      <c r="N46" s="209">
        <v>0</v>
      </c>
      <c r="O46" s="210">
        <v>0</v>
      </c>
      <c r="P46" s="210">
        <v>0</v>
      </c>
      <c r="Q46" s="211">
        <v>0.02</v>
      </c>
    </row>
    <row r="47" spans="1:17" ht="22.5" customHeight="1" x14ac:dyDescent="0.25">
      <c r="A47" s="203">
        <v>44</v>
      </c>
      <c r="B47" s="223" t="s">
        <v>330</v>
      </c>
      <c r="C47" s="205">
        <v>4.9089999999999998</v>
      </c>
      <c r="D47" s="204">
        <v>0</v>
      </c>
      <c r="E47" s="204">
        <v>0</v>
      </c>
      <c r="F47" s="204">
        <v>0</v>
      </c>
      <c r="G47" s="204">
        <v>32</v>
      </c>
      <c r="H47" s="206">
        <v>0</v>
      </c>
      <c r="I47" s="206">
        <v>0</v>
      </c>
      <c r="J47" s="206">
        <v>0</v>
      </c>
      <c r="K47" s="207">
        <v>0</v>
      </c>
      <c r="L47" s="208">
        <v>0</v>
      </c>
      <c r="M47" s="208">
        <v>0</v>
      </c>
      <c r="N47" s="209">
        <v>0</v>
      </c>
      <c r="O47" s="210">
        <v>0</v>
      </c>
      <c r="P47" s="210">
        <v>0</v>
      </c>
      <c r="Q47" s="211">
        <v>0.02</v>
      </c>
    </row>
    <row r="48" spans="1:17" ht="22.5" customHeight="1" x14ac:dyDescent="0.25">
      <c r="A48" s="203">
        <v>45</v>
      </c>
      <c r="B48" s="223" t="s">
        <v>355</v>
      </c>
      <c r="C48" s="205">
        <v>2.2450000000000001</v>
      </c>
      <c r="D48" s="204">
        <v>0</v>
      </c>
      <c r="E48" s="204">
        <v>0</v>
      </c>
      <c r="F48" s="204">
        <v>0</v>
      </c>
      <c r="G48" s="204">
        <v>7</v>
      </c>
      <c r="H48" s="206">
        <v>0</v>
      </c>
      <c r="I48" s="206">
        <v>0</v>
      </c>
      <c r="J48" s="206">
        <v>0</v>
      </c>
      <c r="K48" s="207">
        <v>0</v>
      </c>
      <c r="L48" s="208">
        <v>0</v>
      </c>
      <c r="M48" s="208">
        <v>0</v>
      </c>
      <c r="N48" s="209">
        <v>0</v>
      </c>
      <c r="O48" s="210">
        <v>0</v>
      </c>
      <c r="P48" s="210">
        <v>0</v>
      </c>
      <c r="Q48" s="211">
        <v>0.02</v>
      </c>
    </row>
    <row r="49" spans="1:17" ht="22.5" customHeight="1" x14ac:dyDescent="0.25">
      <c r="A49" s="203">
        <v>46</v>
      </c>
      <c r="B49" s="223" t="s">
        <v>316</v>
      </c>
      <c r="C49" s="205">
        <v>4.827</v>
      </c>
      <c r="D49" s="204">
        <v>0</v>
      </c>
      <c r="E49" s="204">
        <v>0</v>
      </c>
      <c r="F49" s="204">
        <v>0</v>
      </c>
      <c r="G49" s="204">
        <v>5</v>
      </c>
      <c r="H49" s="206">
        <v>0</v>
      </c>
      <c r="I49" s="206">
        <v>0</v>
      </c>
      <c r="J49" s="206">
        <v>0</v>
      </c>
      <c r="K49" s="207">
        <v>0</v>
      </c>
      <c r="L49" s="208">
        <v>0</v>
      </c>
      <c r="M49" s="208">
        <v>0</v>
      </c>
      <c r="N49" s="209">
        <v>0</v>
      </c>
      <c r="O49" s="210">
        <v>0</v>
      </c>
      <c r="P49" s="210">
        <v>0</v>
      </c>
      <c r="Q49" s="211">
        <v>0.02</v>
      </c>
    </row>
    <row r="50" spans="1:17" ht="22.5" customHeight="1" x14ac:dyDescent="0.25">
      <c r="A50" s="203">
        <v>47</v>
      </c>
      <c r="B50" s="223" t="s">
        <v>314</v>
      </c>
      <c r="C50" s="205">
        <v>2.2869999999999999</v>
      </c>
      <c r="D50" s="204">
        <v>0</v>
      </c>
      <c r="E50" s="204">
        <v>0</v>
      </c>
      <c r="F50" s="204">
        <v>0</v>
      </c>
      <c r="G50" s="204">
        <v>6</v>
      </c>
      <c r="H50" s="206">
        <v>0</v>
      </c>
      <c r="I50" s="206">
        <v>0</v>
      </c>
      <c r="J50" s="206">
        <v>0</v>
      </c>
      <c r="K50" s="207">
        <v>0</v>
      </c>
      <c r="L50" s="208">
        <v>0</v>
      </c>
      <c r="M50" s="208">
        <v>0</v>
      </c>
      <c r="N50" s="209">
        <v>0</v>
      </c>
      <c r="O50" s="210">
        <v>0</v>
      </c>
      <c r="P50" s="210">
        <v>0</v>
      </c>
      <c r="Q50" s="211">
        <v>0.02</v>
      </c>
    </row>
    <row r="51" spans="1:17" ht="22.5" customHeight="1" x14ac:dyDescent="0.25">
      <c r="A51" s="203">
        <v>48</v>
      </c>
      <c r="B51" s="223" t="s">
        <v>336</v>
      </c>
      <c r="C51" s="205">
        <v>5.3310000000000004</v>
      </c>
      <c r="D51" s="204">
        <v>0</v>
      </c>
      <c r="E51" s="204">
        <v>0</v>
      </c>
      <c r="F51" s="204">
        <v>0</v>
      </c>
      <c r="G51" s="204">
        <v>37</v>
      </c>
      <c r="H51" s="206">
        <v>0</v>
      </c>
      <c r="I51" s="206">
        <v>0</v>
      </c>
      <c r="J51" s="206">
        <v>0</v>
      </c>
      <c r="K51" s="207">
        <v>0</v>
      </c>
      <c r="L51" s="208">
        <v>0</v>
      </c>
      <c r="M51" s="208">
        <v>0</v>
      </c>
      <c r="N51" s="209">
        <v>0</v>
      </c>
      <c r="O51" s="210">
        <v>0</v>
      </c>
      <c r="P51" s="210">
        <v>0</v>
      </c>
      <c r="Q51" s="211">
        <v>0.02</v>
      </c>
    </row>
    <row r="52" spans="1:17" ht="22.5" customHeight="1" x14ac:dyDescent="0.25">
      <c r="A52" s="203">
        <v>49</v>
      </c>
      <c r="B52" s="223" t="s">
        <v>286</v>
      </c>
      <c r="C52" s="205">
        <v>5.2249999999999996</v>
      </c>
      <c r="D52" s="204">
        <v>0</v>
      </c>
      <c r="E52" s="204">
        <v>0</v>
      </c>
      <c r="F52" s="204">
        <v>0</v>
      </c>
      <c r="G52" s="204">
        <v>42</v>
      </c>
      <c r="H52" s="206">
        <v>0</v>
      </c>
      <c r="I52" s="206">
        <v>0</v>
      </c>
      <c r="J52" s="206">
        <v>0</v>
      </c>
      <c r="K52" s="207">
        <v>0</v>
      </c>
      <c r="L52" s="208">
        <v>0</v>
      </c>
      <c r="M52" s="208">
        <v>0</v>
      </c>
      <c r="N52" s="209">
        <v>0</v>
      </c>
      <c r="O52" s="210">
        <v>0</v>
      </c>
      <c r="P52" s="210">
        <v>0</v>
      </c>
      <c r="Q52" s="211">
        <v>0.02</v>
      </c>
    </row>
    <row r="53" spans="1:17" ht="22.5" customHeight="1" x14ac:dyDescent="0.25">
      <c r="A53" s="203">
        <v>50</v>
      </c>
      <c r="B53" s="223" t="s">
        <v>305</v>
      </c>
      <c r="C53" s="205">
        <v>8.4459999999999997</v>
      </c>
      <c r="D53" s="204">
        <v>0</v>
      </c>
      <c r="E53" s="204">
        <v>0</v>
      </c>
      <c r="F53" s="204">
        <v>0</v>
      </c>
      <c r="G53" s="204">
        <v>16</v>
      </c>
      <c r="H53" s="206">
        <v>0</v>
      </c>
      <c r="I53" s="206">
        <v>0</v>
      </c>
      <c r="J53" s="206">
        <v>0</v>
      </c>
      <c r="K53" s="207">
        <v>0</v>
      </c>
      <c r="L53" s="208">
        <v>0</v>
      </c>
      <c r="M53" s="208">
        <v>0</v>
      </c>
      <c r="N53" s="209">
        <v>0</v>
      </c>
      <c r="O53" s="210">
        <v>0</v>
      </c>
      <c r="P53" s="210">
        <v>0</v>
      </c>
      <c r="Q53" s="211">
        <v>0.02</v>
      </c>
    </row>
    <row r="54" spans="1:17" ht="22.5" customHeight="1" x14ac:dyDescent="0.25">
      <c r="A54" s="203">
        <v>51</v>
      </c>
      <c r="B54" s="223" t="s">
        <v>354</v>
      </c>
      <c r="C54" s="205">
        <v>4.9740000000000002</v>
      </c>
      <c r="D54" s="204">
        <v>0</v>
      </c>
      <c r="E54" s="204">
        <v>0</v>
      </c>
      <c r="F54" s="204">
        <v>0</v>
      </c>
      <c r="G54" s="204">
        <v>18</v>
      </c>
      <c r="H54" s="206">
        <v>0</v>
      </c>
      <c r="I54" s="206">
        <v>0</v>
      </c>
      <c r="J54" s="206">
        <v>0</v>
      </c>
      <c r="K54" s="207">
        <v>0</v>
      </c>
      <c r="L54" s="208">
        <v>0</v>
      </c>
      <c r="M54" s="208">
        <v>0</v>
      </c>
      <c r="N54" s="209">
        <v>0</v>
      </c>
      <c r="O54" s="210">
        <v>0</v>
      </c>
      <c r="P54" s="210">
        <v>0</v>
      </c>
      <c r="Q54" s="211">
        <v>0.02</v>
      </c>
    </row>
    <row r="55" spans="1:17" ht="22.5" customHeight="1" x14ac:dyDescent="0.25">
      <c r="A55" s="203">
        <v>52</v>
      </c>
      <c r="B55" s="223" t="s">
        <v>420</v>
      </c>
      <c r="C55" s="205">
        <v>6.2830000000000004</v>
      </c>
      <c r="D55" s="204">
        <v>0</v>
      </c>
      <c r="E55" s="204">
        <v>0</v>
      </c>
      <c r="F55" s="204">
        <v>0</v>
      </c>
      <c r="G55" s="204">
        <v>29</v>
      </c>
      <c r="H55" s="206">
        <v>0</v>
      </c>
      <c r="I55" s="206">
        <v>0</v>
      </c>
      <c r="J55" s="206">
        <v>0</v>
      </c>
      <c r="K55" s="207">
        <v>0</v>
      </c>
      <c r="L55" s="208">
        <v>0</v>
      </c>
      <c r="M55" s="208">
        <v>0</v>
      </c>
      <c r="N55" s="209">
        <v>0</v>
      </c>
      <c r="O55" s="210">
        <v>0</v>
      </c>
      <c r="P55" s="210">
        <v>0</v>
      </c>
      <c r="Q55" s="211">
        <v>0.02</v>
      </c>
    </row>
    <row r="56" spans="1:17" ht="22.5" customHeight="1" x14ac:dyDescent="0.25">
      <c r="A56" s="203">
        <v>53</v>
      </c>
      <c r="B56" s="223" t="s">
        <v>397</v>
      </c>
      <c r="C56" s="205">
        <v>5.1920000000000002</v>
      </c>
      <c r="D56" s="204">
        <v>0</v>
      </c>
      <c r="E56" s="204">
        <v>0</v>
      </c>
      <c r="F56" s="204">
        <v>0</v>
      </c>
      <c r="G56" s="204">
        <v>3</v>
      </c>
      <c r="H56" s="206">
        <v>0</v>
      </c>
      <c r="I56" s="206">
        <v>0</v>
      </c>
      <c r="J56" s="206">
        <v>0</v>
      </c>
      <c r="K56" s="207">
        <v>0</v>
      </c>
      <c r="L56" s="208">
        <v>0</v>
      </c>
      <c r="M56" s="208">
        <v>0</v>
      </c>
      <c r="N56" s="209">
        <v>0</v>
      </c>
      <c r="O56" s="210">
        <v>0</v>
      </c>
      <c r="P56" s="210">
        <v>0</v>
      </c>
      <c r="Q56" s="211">
        <v>0.02</v>
      </c>
    </row>
    <row r="57" spans="1:17" ht="22.5" customHeight="1" x14ac:dyDescent="0.25">
      <c r="A57" s="203">
        <v>54</v>
      </c>
      <c r="B57" s="223" t="s">
        <v>272</v>
      </c>
      <c r="C57" s="205">
        <v>10.913</v>
      </c>
      <c r="D57" s="204">
        <v>0</v>
      </c>
      <c r="E57" s="204">
        <v>0</v>
      </c>
      <c r="F57" s="204">
        <v>0</v>
      </c>
      <c r="G57" s="204">
        <v>92</v>
      </c>
      <c r="H57" s="206">
        <v>0</v>
      </c>
      <c r="I57" s="206">
        <v>0</v>
      </c>
      <c r="J57" s="206">
        <v>0</v>
      </c>
      <c r="K57" s="207">
        <v>0</v>
      </c>
      <c r="L57" s="208">
        <v>0</v>
      </c>
      <c r="M57" s="208">
        <v>0</v>
      </c>
      <c r="N57" s="209">
        <v>0</v>
      </c>
      <c r="O57" s="210">
        <v>0</v>
      </c>
      <c r="P57" s="210">
        <v>0</v>
      </c>
      <c r="Q57" s="211">
        <v>0.02</v>
      </c>
    </row>
    <row r="58" spans="1:17" ht="22.5" customHeight="1" x14ac:dyDescent="0.25">
      <c r="A58" s="203">
        <v>55</v>
      </c>
      <c r="B58" s="223" t="s">
        <v>290</v>
      </c>
      <c r="C58" s="205">
        <v>0.28499999999999998</v>
      </c>
      <c r="D58" s="204">
        <v>0</v>
      </c>
      <c r="E58" s="204">
        <v>0</v>
      </c>
      <c r="F58" s="204">
        <v>0</v>
      </c>
      <c r="G58" s="204">
        <v>3</v>
      </c>
      <c r="H58" s="206">
        <v>0</v>
      </c>
      <c r="I58" s="206">
        <v>0</v>
      </c>
      <c r="J58" s="206">
        <v>0</v>
      </c>
      <c r="K58" s="207">
        <v>0</v>
      </c>
      <c r="L58" s="208">
        <v>0</v>
      </c>
      <c r="M58" s="208">
        <v>0</v>
      </c>
      <c r="N58" s="209">
        <v>0</v>
      </c>
      <c r="O58" s="210">
        <v>0</v>
      </c>
      <c r="P58" s="210">
        <v>0</v>
      </c>
      <c r="Q58" s="211">
        <v>0.02</v>
      </c>
    </row>
    <row r="59" spans="1:17" ht="22.5" customHeight="1" x14ac:dyDescent="0.25">
      <c r="A59" s="203">
        <v>56</v>
      </c>
      <c r="B59" s="223" t="s">
        <v>282</v>
      </c>
      <c r="C59" s="205">
        <v>4.6740000000000004</v>
      </c>
      <c r="D59" s="204">
        <v>0</v>
      </c>
      <c r="E59" s="204">
        <v>0</v>
      </c>
      <c r="F59" s="204">
        <v>0</v>
      </c>
      <c r="G59" s="204">
        <v>26</v>
      </c>
      <c r="H59" s="206">
        <v>0</v>
      </c>
      <c r="I59" s="206">
        <v>0</v>
      </c>
      <c r="J59" s="206">
        <v>0</v>
      </c>
      <c r="K59" s="207">
        <v>0</v>
      </c>
      <c r="L59" s="208">
        <v>0</v>
      </c>
      <c r="M59" s="208">
        <v>0</v>
      </c>
      <c r="N59" s="209">
        <v>0</v>
      </c>
      <c r="O59" s="210">
        <v>0</v>
      </c>
      <c r="P59" s="210">
        <v>0</v>
      </c>
      <c r="Q59" s="211">
        <v>0.02</v>
      </c>
    </row>
    <row r="60" spans="1:17" ht="22.5" customHeight="1" x14ac:dyDescent="0.25">
      <c r="A60" s="203">
        <v>57</v>
      </c>
      <c r="B60" s="223" t="s">
        <v>326</v>
      </c>
      <c r="C60" s="205">
        <v>5.4580000000000002</v>
      </c>
      <c r="D60" s="204">
        <v>0</v>
      </c>
      <c r="E60" s="204">
        <v>0</v>
      </c>
      <c r="F60" s="204">
        <v>0</v>
      </c>
      <c r="G60" s="204">
        <v>10</v>
      </c>
      <c r="H60" s="206">
        <v>0</v>
      </c>
      <c r="I60" s="206">
        <v>0</v>
      </c>
      <c r="J60" s="206">
        <v>0</v>
      </c>
      <c r="K60" s="207">
        <v>0</v>
      </c>
      <c r="L60" s="208">
        <v>0</v>
      </c>
      <c r="M60" s="208">
        <v>0</v>
      </c>
      <c r="N60" s="209">
        <v>0</v>
      </c>
      <c r="O60" s="210">
        <v>0</v>
      </c>
      <c r="P60" s="210">
        <v>0</v>
      </c>
      <c r="Q60" s="211">
        <v>0.02</v>
      </c>
    </row>
    <row r="61" spans="1:17" ht="22.5" customHeight="1" x14ac:dyDescent="0.25">
      <c r="A61" s="203">
        <v>58</v>
      </c>
      <c r="B61" s="223" t="s">
        <v>325</v>
      </c>
      <c r="C61" s="205">
        <v>6.0819999999999999</v>
      </c>
      <c r="D61" s="204">
        <v>0</v>
      </c>
      <c r="E61" s="204">
        <v>0</v>
      </c>
      <c r="F61" s="204">
        <v>0</v>
      </c>
      <c r="G61" s="204">
        <v>32</v>
      </c>
      <c r="H61" s="206">
        <v>0</v>
      </c>
      <c r="I61" s="206">
        <v>0</v>
      </c>
      <c r="J61" s="206">
        <v>0</v>
      </c>
      <c r="K61" s="207">
        <v>0</v>
      </c>
      <c r="L61" s="208">
        <v>0</v>
      </c>
      <c r="M61" s="208">
        <v>0</v>
      </c>
      <c r="N61" s="209">
        <v>0</v>
      </c>
      <c r="O61" s="210">
        <v>0</v>
      </c>
      <c r="P61" s="210">
        <v>0</v>
      </c>
      <c r="Q61" s="211">
        <v>0.02</v>
      </c>
    </row>
    <row r="62" spans="1:17" ht="22.5" customHeight="1" x14ac:dyDescent="0.25">
      <c r="A62" s="203">
        <v>59</v>
      </c>
      <c r="B62" s="223" t="s">
        <v>321</v>
      </c>
      <c r="C62" s="205">
        <v>4.085</v>
      </c>
      <c r="D62" s="204">
        <v>0</v>
      </c>
      <c r="E62" s="204">
        <v>0</v>
      </c>
      <c r="F62" s="204">
        <v>0</v>
      </c>
      <c r="G62" s="204">
        <v>22</v>
      </c>
      <c r="H62" s="206">
        <v>0</v>
      </c>
      <c r="I62" s="206">
        <v>0</v>
      </c>
      <c r="J62" s="206">
        <v>0</v>
      </c>
      <c r="K62" s="207">
        <v>0</v>
      </c>
      <c r="L62" s="208">
        <v>0</v>
      </c>
      <c r="M62" s="208">
        <v>0</v>
      </c>
      <c r="N62" s="209">
        <v>0</v>
      </c>
      <c r="O62" s="210">
        <v>0</v>
      </c>
      <c r="P62" s="210">
        <v>0</v>
      </c>
      <c r="Q62" s="211">
        <v>0.02</v>
      </c>
    </row>
    <row r="63" spans="1:17" ht="22.5" customHeight="1" x14ac:dyDescent="0.25">
      <c r="A63" s="203">
        <v>60</v>
      </c>
      <c r="B63" s="223" t="s">
        <v>269</v>
      </c>
      <c r="C63" s="205">
        <v>7.67</v>
      </c>
      <c r="D63" s="204">
        <v>0</v>
      </c>
      <c r="E63" s="204">
        <v>0</v>
      </c>
      <c r="F63" s="204">
        <v>0</v>
      </c>
      <c r="G63" s="204">
        <v>28</v>
      </c>
      <c r="H63" s="206">
        <v>0</v>
      </c>
      <c r="I63" s="206">
        <v>0</v>
      </c>
      <c r="J63" s="206">
        <v>0</v>
      </c>
      <c r="K63" s="207">
        <v>0</v>
      </c>
      <c r="L63" s="208">
        <v>0</v>
      </c>
      <c r="M63" s="208">
        <v>0</v>
      </c>
      <c r="N63" s="209">
        <v>0</v>
      </c>
      <c r="O63" s="210">
        <v>0</v>
      </c>
      <c r="P63" s="210">
        <v>0</v>
      </c>
      <c r="Q63" s="211">
        <v>0.02</v>
      </c>
    </row>
    <row r="64" spans="1:17" ht="22.5" customHeight="1" x14ac:dyDescent="0.25">
      <c r="A64" s="203">
        <v>61</v>
      </c>
      <c r="B64" s="223" t="s">
        <v>408</v>
      </c>
      <c r="C64" s="205">
        <v>1.4990000000000001</v>
      </c>
      <c r="D64" s="204">
        <v>0</v>
      </c>
      <c r="E64" s="204">
        <v>0</v>
      </c>
      <c r="F64" s="204">
        <v>0</v>
      </c>
      <c r="G64" s="204">
        <v>8</v>
      </c>
      <c r="H64" s="206">
        <v>0</v>
      </c>
      <c r="I64" s="206">
        <v>0</v>
      </c>
      <c r="J64" s="206">
        <v>0</v>
      </c>
      <c r="K64" s="207">
        <v>0</v>
      </c>
      <c r="L64" s="208">
        <v>0</v>
      </c>
      <c r="M64" s="208">
        <v>0</v>
      </c>
      <c r="N64" s="209">
        <v>0</v>
      </c>
      <c r="O64" s="210">
        <v>0</v>
      </c>
      <c r="P64" s="210">
        <v>0</v>
      </c>
      <c r="Q64" s="211">
        <v>0.02</v>
      </c>
    </row>
    <row r="65" spans="1:17" ht="22.5" customHeight="1" x14ac:dyDescent="0.25">
      <c r="A65" s="203" t="s">
        <v>171</v>
      </c>
      <c r="B65" s="224" t="s">
        <v>3</v>
      </c>
      <c r="C65" s="213">
        <v>324.32499999999999</v>
      </c>
      <c r="D65" s="212">
        <v>78</v>
      </c>
      <c r="E65" s="212">
        <v>33</v>
      </c>
      <c r="F65" s="212">
        <v>4</v>
      </c>
      <c r="G65" s="214">
        <v>1646</v>
      </c>
      <c r="H65" s="215">
        <v>1140</v>
      </c>
      <c r="I65" s="215">
        <v>600</v>
      </c>
      <c r="J65" s="215">
        <v>3015</v>
      </c>
      <c r="K65" s="216">
        <v>4.7399999999999998E-2</v>
      </c>
      <c r="L65" s="225">
        <v>0.47439999999999999</v>
      </c>
      <c r="M65" s="225">
        <v>8.8900000000000007E-2</v>
      </c>
      <c r="N65" s="226">
        <v>5.36</v>
      </c>
      <c r="O65" s="227">
        <v>0.11</v>
      </c>
      <c r="P65" s="227">
        <v>0.01</v>
      </c>
      <c r="Q65" s="228" t="s">
        <v>171</v>
      </c>
    </row>
  </sheetData>
  <sortState ref="B3:R63">
    <sortCondition descending="1" ref="Q3"/>
  </sortState>
  <mergeCells count="3">
    <mergeCell ref="A2:A3"/>
    <mergeCell ref="B2:B3"/>
    <mergeCell ref="F1:L1"/>
  </mergeCells>
  <pageMargins left="0.25" right="0.25" top="0.25" bottom="0.5" header="0.25" footer="0.25"/>
  <pageSetup orientation="portrait" cellComments="atEnd"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0070C0"/>
  </sheetPr>
  <dimension ref="A1:Q62"/>
  <sheetViews>
    <sheetView workbookViewId="0">
      <selection activeCell="G15" sqref="G15"/>
    </sheetView>
  </sheetViews>
  <sheetFormatPr defaultRowHeight="22.5" customHeight="1" x14ac:dyDescent="0.25"/>
  <cols>
    <col min="1" max="1" width="6" style="93" bestFit="1" customWidth="1"/>
    <col min="2" max="2" width="21.5703125" style="94" bestFit="1" customWidth="1"/>
    <col min="3" max="3" width="8.28515625" style="93" bestFit="1" customWidth="1"/>
    <col min="4" max="4" width="6" style="93" bestFit="1" customWidth="1"/>
    <col min="5" max="5" width="10.28515625" style="93" bestFit="1" customWidth="1"/>
    <col min="6" max="6" width="10.42578125" style="93" bestFit="1" customWidth="1"/>
    <col min="7" max="7" width="8.42578125" style="93" bestFit="1" customWidth="1"/>
    <col min="8" max="10" width="12" style="93" bestFit="1" customWidth="1"/>
    <col min="11" max="11" width="13.42578125" style="93" bestFit="1" customWidth="1"/>
    <col min="12" max="12" width="11.42578125" style="93" bestFit="1" customWidth="1"/>
    <col min="13" max="13" width="10.42578125" style="93" bestFit="1" customWidth="1"/>
    <col min="14" max="14" width="11.85546875" style="93" bestFit="1" customWidth="1"/>
    <col min="15" max="15" width="11.42578125" style="93" bestFit="1" customWidth="1"/>
    <col min="16" max="16" width="10.42578125" style="93" bestFit="1" customWidth="1"/>
    <col min="17" max="17" width="12.28515625" style="93" bestFit="1" customWidth="1"/>
    <col min="18" max="16384" width="9.140625" style="93"/>
  </cols>
  <sheetData>
    <row r="1" spans="1:17" ht="22.5" customHeight="1" x14ac:dyDescent="0.25">
      <c r="F1" s="618"/>
      <c r="G1" s="618"/>
      <c r="H1" s="618"/>
      <c r="I1" s="618"/>
      <c r="J1" s="618"/>
      <c r="K1" s="618"/>
      <c r="L1" s="618"/>
    </row>
    <row r="2" spans="1:17" ht="22.5" customHeight="1" x14ac:dyDescent="0.25">
      <c r="A2" s="615" t="s">
        <v>172</v>
      </c>
      <c r="B2" s="608" t="s">
        <v>7</v>
      </c>
      <c r="C2" s="261" t="s">
        <v>173</v>
      </c>
      <c r="D2" s="262" t="s">
        <v>3</v>
      </c>
      <c r="E2" s="262" t="s">
        <v>176</v>
      </c>
      <c r="F2" s="262" t="s">
        <v>166</v>
      </c>
      <c r="G2" s="262" t="s">
        <v>8</v>
      </c>
      <c r="H2" s="262" t="s">
        <v>176</v>
      </c>
      <c r="I2" s="262" t="s">
        <v>166</v>
      </c>
      <c r="J2" s="262" t="s">
        <v>3</v>
      </c>
      <c r="K2" s="262" t="s">
        <v>21</v>
      </c>
      <c r="L2" s="262" t="s">
        <v>164</v>
      </c>
      <c r="M2" s="262" t="s">
        <v>166</v>
      </c>
      <c r="N2" s="262" t="s">
        <v>164</v>
      </c>
      <c r="O2" s="262" t="s">
        <v>164</v>
      </c>
      <c r="P2" s="262" t="s">
        <v>166</v>
      </c>
      <c r="Q2" s="263" t="s">
        <v>169</v>
      </c>
    </row>
    <row r="3" spans="1:17" ht="22.5" customHeight="1" x14ac:dyDescent="0.25">
      <c r="A3" s="616"/>
      <c r="B3" s="617"/>
      <c r="C3" s="264" t="s">
        <v>174</v>
      </c>
      <c r="D3" s="265" t="s">
        <v>175</v>
      </c>
      <c r="E3" s="265" t="s">
        <v>175</v>
      </c>
      <c r="F3" s="265" t="s">
        <v>175</v>
      </c>
      <c r="G3" s="265" t="s">
        <v>12</v>
      </c>
      <c r="H3" s="265" t="s">
        <v>9</v>
      </c>
      <c r="I3" s="265" t="s">
        <v>9</v>
      </c>
      <c r="J3" s="265" t="s">
        <v>9</v>
      </c>
      <c r="K3" s="265" t="s">
        <v>13</v>
      </c>
      <c r="L3" s="265" t="s">
        <v>165</v>
      </c>
      <c r="M3" s="265" t="s">
        <v>165</v>
      </c>
      <c r="N3" s="265" t="s">
        <v>167</v>
      </c>
      <c r="O3" s="265" t="s">
        <v>168</v>
      </c>
      <c r="P3" s="265" t="s">
        <v>168</v>
      </c>
      <c r="Q3" s="266" t="s">
        <v>170</v>
      </c>
    </row>
    <row r="4" spans="1:17" ht="22.5" customHeight="1" x14ac:dyDescent="0.25">
      <c r="A4" s="247">
        <v>1</v>
      </c>
      <c r="B4" s="267" t="s">
        <v>330</v>
      </c>
      <c r="C4" s="249">
        <v>1.0129999999999999</v>
      </c>
      <c r="D4" s="248">
        <v>2</v>
      </c>
      <c r="E4" s="248">
        <v>1</v>
      </c>
      <c r="F4" s="248">
        <v>1</v>
      </c>
      <c r="G4" s="248">
        <v>7</v>
      </c>
      <c r="H4" s="250">
        <v>10</v>
      </c>
      <c r="I4" s="250">
        <v>120</v>
      </c>
      <c r="J4" s="250">
        <v>130</v>
      </c>
      <c r="K4" s="251">
        <v>0.28570000000000001</v>
      </c>
      <c r="L4" s="252">
        <v>1</v>
      </c>
      <c r="M4" s="252">
        <v>1</v>
      </c>
      <c r="N4" s="253">
        <v>128.33000000000001</v>
      </c>
      <c r="O4" s="254">
        <v>1.97</v>
      </c>
      <c r="P4" s="254">
        <v>0.99</v>
      </c>
      <c r="Q4" s="255">
        <v>0.94</v>
      </c>
    </row>
    <row r="5" spans="1:17" ht="22.5" customHeight="1" x14ac:dyDescent="0.25">
      <c r="A5" s="247">
        <v>2</v>
      </c>
      <c r="B5" s="267" t="s">
        <v>357</v>
      </c>
      <c r="C5" s="249">
        <v>1.716</v>
      </c>
      <c r="D5" s="248">
        <v>3</v>
      </c>
      <c r="E5" s="248">
        <v>2</v>
      </c>
      <c r="F5" s="248">
        <v>1</v>
      </c>
      <c r="G5" s="248">
        <v>9</v>
      </c>
      <c r="H5" s="250">
        <v>200</v>
      </c>
      <c r="I5" s="250">
        <v>120</v>
      </c>
      <c r="J5" s="250">
        <v>320</v>
      </c>
      <c r="K5" s="251">
        <v>0.33329999999999999</v>
      </c>
      <c r="L5" s="252">
        <v>1</v>
      </c>
      <c r="M5" s="252">
        <v>1</v>
      </c>
      <c r="N5" s="253">
        <v>186.48</v>
      </c>
      <c r="O5" s="254">
        <v>1.75</v>
      </c>
      <c r="P5" s="254">
        <v>0.57999999999999996</v>
      </c>
      <c r="Q5" s="255">
        <v>0.94</v>
      </c>
    </row>
    <row r="6" spans="1:17" ht="22.5" customHeight="1" x14ac:dyDescent="0.25">
      <c r="A6" s="247">
        <v>3</v>
      </c>
      <c r="B6" s="267" t="s">
        <v>408</v>
      </c>
      <c r="C6" s="249">
        <v>1.2210000000000001</v>
      </c>
      <c r="D6" s="248">
        <v>2</v>
      </c>
      <c r="E6" s="248">
        <v>0</v>
      </c>
      <c r="F6" s="248">
        <v>1</v>
      </c>
      <c r="G6" s="248">
        <v>5</v>
      </c>
      <c r="H6" s="250">
        <v>0</v>
      </c>
      <c r="I6" s="250">
        <v>120</v>
      </c>
      <c r="J6" s="250">
        <v>145</v>
      </c>
      <c r="K6" s="251">
        <v>0.4</v>
      </c>
      <c r="L6" s="252">
        <v>0.5</v>
      </c>
      <c r="M6" s="252">
        <v>0.5</v>
      </c>
      <c r="N6" s="253">
        <v>98.28</v>
      </c>
      <c r="O6" s="254">
        <v>0.82</v>
      </c>
      <c r="P6" s="254">
        <v>0.82</v>
      </c>
      <c r="Q6" s="255">
        <v>0.86</v>
      </c>
    </row>
    <row r="7" spans="1:17" ht="22.5" customHeight="1" x14ac:dyDescent="0.25">
      <c r="A7" s="247">
        <v>4</v>
      </c>
      <c r="B7" s="267" t="s">
        <v>341</v>
      </c>
      <c r="C7" s="249">
        <v>5.0039999999999996</v>
      </c>
      <c r="D7" s="248">
        <v>5</v>
      </c>
      <c r="E7" s="248">
        <v>2</v>
      </c>
      <c r="F7" s="248">
        <v>1</v>
      </c>
      <c r="G7" s="248">
        <v>22</v>
      </c>
      <c r="H7" s="250">
        <v>125</v>
      </c>
      <c r="I7" s="250">
        <v>120</v>
      </c>
      <c r="J7" s="250">
        <v>280</v>
      </c>
      <c r="K7" s="251">
        <v>0.2273</v>
      </c>
      <c r="L7" s="252">
        <v>0.6</v>
      </c>
      <c r="M7" s="252">
        <v>0.33329999999999999</v>
      </c>
      <c r="N7" s="253">
        <v>48.96</v>
      </c>
      <c r="O7" s="254">
        <v>0.6</v>
      </c>
      <c r="P7" s="254">
        <v>0.2</v>
      </c>
      <c r="Q7" s="255">
        <v>0.84</v>
      </c>
    </row>
    <row r="8" spans="1:17" ht="22.5" customHeight="1" x14ac:dyDescent="0.25">
      <c r="A8" s="247">
        <v>5</v>
      </c>
      <c r="B8" s="267" t="s">
        <v>400</v>
      </c>
      <c r="C8" s="249">
        <v>7.4969999999999999</v>
      </c>
      <c r="D8" s="248">
        <v>8</v>
      </c>
      <c r="E8" s="248">
        <v>3</v>
      </c>
      <c r="F8" s="248">
        <v>1</v>
      </c>
      <c r="G8" s="248">
        <v>52</v>
      </c>
      <c r="H8" s="250">
        <v>400</v>
      </c>
      <c r="I8" s="250">
        <v>120</v>
      </c>
      <c r="J8" s="250">
        <v>585</v>
      </c>
      <c r="K8" s="251">
        <v>0.15379999999999999</v>
      </c>
      <c r="L8" s="252">
        <v>0.5</v>
      </c>
      <c r="M8" s="252">
        <v>0.2</v>
      </c>
      <c r="N8" s="253">
        <v>69.36</v>
      </c>
      <c r="O8" s="254">
        <v>0.53</v>
      </c>
      <c r="P8" s="254">
        <v>0.13</v>
      </c>
      <c r="Q8" s="255">
        <v>0.77</v>
      </c>
    </row>
    <row r="9" spans="1:17" ht="22.5" customHeight="1" x14ac:dyDescent="0.25">
      <c r="A9" s="247">
        <v>6</v>
      </c>
      <c r="B9" s="267" t="s">
        <v>365</v>
      </c>
      <c r="C9" s="249">
        <v>3.7210000000000001</v>
      </c>
      <c r="D9" s="248">
        <v>4</v>
      </c>
      <c r="E9" s="248">
        <v>0</v>
      </c>
      <c r="F9" s="248">
        <v>1</v>
      </c>
      <c r="G9" s="248">
        <v>26</v>
      </c>
      <c r="H9" s="250">
        <v>0</v>
      </c>
      <c r="I9" s="250">
        <v>120</v>
      </c>
      <c r="J9" s="250">
        <v>250</v>
      </c>
      <c r="K9" s="251">
        <v>0.15379999999999999</v>
      </c>
      <c r="L9" s="252">
        <v>0.25</v>
      </c>
      <c r="M9" s="252">
        <v>0.25</v>
      </c>
      <c r="N9" s="253">
        <v>32.25</v>
      </c>
      <c r="O9" s="254">
        <v>0.27</v>
      </c>
      <c r="P9" s="254">
        <v>0.27</v>
      </c>
      <c r="Q9" s="255">
        <v>0.7</v>
      </c>
    </row>
    <row r="10" spans="1:17" ht="22.5" customHeight="1" x14ac:dyDescent="0.25">
      <c r="A10" s="247">
        <v>7</v>
      </c>
      <c r="B10" s="267" t="s">
        <v>430</v>
      </c>
      <c r="C10" s="249">
        <v>6.2210000000000001</v>
      </c>
      <c r="D10" s="248">
        <v>7</v>
      </c>
      <c r="E10" s="248">
        <v>6</v>
      </c>
      <c r="F10" s="248">
        <v>0</v>
      </c>
      <c r="G10" s="248">
        <v>25</v>
      </c>
      <c r="H10" s="250">
        <v>215</v>
      </c>
      <c r="I10" s="250">
        <v>0</v>
      </c>
      <c r="J10" s="250">
        <v>240</v>
      </c>
      <c r="K10" s="251">
        <v>0.28000000000000003</v>
      </c>
      <c r="L10" s="252">
        <v>0.85709999999999997</v>
      </c>
      <c r="M10" s="252">
        <v>0</v>
      </c>
      <c r="N10" s="253">
        <v>34.56</v>
      </c>
      <c r="O10" s="254">
        <v>0.96</v>
      </c>
      <c r="P10" s="254">
        <v>0</v>
      </c>
      <c r="Q10" s="255">
        <v>0.68</v>
      </c>
    </row>
    <row r="11" spans="1:17" ht="22.5" customHeight="1" x14ac:dyDescent="0.25">
      <c r="A11" s="247">
        <v>8</v>
      </c>
      <c r="B11" s="267" t="s">
        <v>379</v>
      </c>
      <c r="C11" s="249">
        <v>7.5540000000000003</v>
      </c>
      <c r="D11" s="248">
        <v>5</v>
      </c>
      <c r="E11" s="248">
        <v>0</v>
      </c>
      <c r="F11" s="248">
        <v>2</v>
      </c>
      <c r="G11" s="248">
        <v>38</v>
      </c>
      <c r="H11" s="250">
        <v>0</v>
      </c>
      <c r="I11" s="250">
        <v>240</v>
      </c>
      <c r="J11" s="250">
        <v>370</v>
      </c>
      <c r="K11" s="251">
        <v>0.13159999999999999</v>
      </c>
      <c r="L11" s="252">
        <v>0.4</v>
      </c>
      <c r="M11" s="252">
        <v>0.4</v>
      </c>
      <c r="N11" s="253">
        <v>31.77</v>
      </c>
      <c r="O11" s="254">
        <v>0.26</v>
      </c>
      <c r="P11" s="254">
        <v>0.26</v>
      </c>
      <c r="Q11" s="255">
        <v>0.68</v>
      </c>
    </row>
    <row r="12" spans="1:17" ht="22.5" customHeight="1" x14ac:dyDescent="0.25">
      <c r="A12" s="247">
        <v>9</v>
      </c>
      <c r="B12" s="267" t="s">
        <v>282</v>
      </c>
      <c r="C12" s="249">
        <v>0.99399999999999999</v>
      </c>
      <c r="D12" s="248">
        <v>1</v>
      </c>
      <c r="E12" s="248">
        <v>1</v>
      </c>
      <c r="F12" s="248">
        <v>0</v>
      </c>
      <c r="G12" s="248">
        <v>6</v>
      </c>
      <c r="H12" s="250">
        <v>50</v>
      </c>
      <c r="I12" s="250">
        <v>0</v>
      </c>
      <c r="J12" s="250">
        <v>50</v>
      </c>
      <c r="K12" s="251">
        <v>0.16669999999999999</v>
      </c>
      <c r="L12" s="252">
        <v>1</v>
      </c>
      <c r="M12" s="252">
        <v>0</v>
      </c>
      <c r="N12" s="253">
        <v>50.3</v>
      </c>
      <c r="O12" s="254">
        <v>1.01</v>
      </c>
      <c r="P12" s="254">
        <v>0</v>
      </c>
      <c r="Q12" s="255">
        <v>0.67</v>
      </c>
    </row>
    <row r="13" spans="1:17" ht="22.5" customHeight="1" x14ac:dyDescent="0.25">
      <c r="A13" s="247">
        <v>10</v>
      </c>
      <c r="B13" s="267" t="s">
        <v>389</v>
      </c>
      <c r="C13" s="249">
        <v>7.7709999999999999</v>
      </c>
      <c r="D13" s="248">
        <v>5</v>
      </c>
      <c r="E13" s="248">
        <v>1</v>
      </c>
      <c r="F13" s="248">
        <v>1</v>
      </c>
      <c r="G13" s="248">
        <v>45</v>
      </c>
      <c r="H13" s="250">
        <v>100</v>
      </c>
      <c r="I13" s="250">
        <v>120</v>
      </c>
      <c r="J13" s="250">
        <v>270</v>
      </c>
      <c r="K13" s="251">
        <v>0.1111</v>
      </c>
      <c r="L13" s="252">
        <v>0.4</v>
      </c>
      <c r="M13" s="252">
        <v>0.25</v>
      </c>
      <c r="N13" s="253">
        <v>28.31</v>
      </c>
      <c r="O13" s="254">
        <v>0.26</v>
      </c>
      <c r="P13" s="254">
        <v>0.13</v>
      </c>
      <c r="Q13" s="255">
        <v>0.65</v>
      </c>
    </row>
    <row r="14" spans="1:17" ht="22.5" customHeight="1" x14ac:dyDescent="0.25">
      <c r="A14" s="247">
        <v>11</v>
      </c>
      <c r="B14" s="267" t="s">
        <v>373</v>
      </c>
      <c r="C14" s="249">
        <v>6.7210000000000001</v>
      </c>
      <c r="D14" s="248">
        <v>7</v>
      </c>
      <c r="E14" s="248">
        <v>5</v>
      </c>
      <c r="F14" s="248">
        <v>0</v>
      </c>
      <c r="G14" s="248">
        <v>40</v>
      </c>
      <c r="H14" s="250">
        <v>375</v>
      </c>
      <c r="I14" s="250">
        <v>0</v>
      </c>
      <c r="J14" s="250">
        <v>430</v>
      </c>
      <c r="K14" s="251">
        <v>0.17499999999999999</v>
      </c>
      <c r="L14" s="252">
        <v>0.71430000000000005</v>
      </c>
      <c r="M14" s="252">
        <v>0</v>
      </c>
      <c r="N14" s="253">
        <v>55.8</v>
      </c>
      <c r="O14" s="254">
        <v>0.74</v>
      </c>
      <c r="P14" s="254">
        <v>0</v>
      </c>
      <c r="Q14" s="255">
        <v>0.64</v>
      </c>
    </row>
    <row r="15" spans="1:17" ht="22.5" customHeight="1" x14ac:dyDescent="0.25">
      <c r="A15" s="247">
        <v>12</v>
      </c>
      <c r="B15" s="267" t="s">
        <v>366</v>
      </c>
      <c r="C15" s="249">
        <v>6.0469999999999997</v>
      </c>
      <c r="D15" s="248">
        <v>6</v>
      </c>
      <c r="E15" s="248">
        <v>5</v>
      </c>
      <c r="F15" s="248">
        <v>0</v>
      </c>
      <c r="G15" s="248">
        <v>40</v>
      </c>
      <c r="H15" s="250">
        <v>250</v>
      </c>
      <c r="I15" s="250">
        <v>0</v>
      </c>
      <c r="J15" s="250">
        <v>260</v>
      </c>
      <c r="K15" s="251">
        <v>0.15</v>
      </c>
      <c r="L15" s="252">
        <v>0.83330000000000004</v>
      </c>
      <c r="M15" s="252">
        <v>0</v>
      </c>
      <c r="N15" s="253">
        <v>41.34</v>
      </c>
      <c r="O15" s="254">
        <v>0.83</v>
      </c>
      <c r="P15" s="254">
        <v>0</v>
      </c>
      <c r="Q15" s="255">
        <v>0.63</v>
      </c>
    </row>
    <row r="16" spans="1:17" ht="22.5" customHeight="1" x14ac:dyDescent="0.25">
      <c r="A16" s="247">
        <v>13</v>
      </c>
      <c r="B16" s="267" t="s">
        <v>435</v>
      </c>
      <c r="C16" s="249">
        <v>8.0649999999999995</v>
      </c>
      <c r="D16" s="248">
        <v>5</v>
      </c>
      <c r="E16" s="248">
        <v>1</v>
      </c>
      <c r="F16" s="248">
        <v>1</v>
      </c>
      <c r="G16" s="248">
        <v>44</v>
      </c>
      <c r="H16" s="250">
        <v>5</v>
      </c>
      <c r="I16" s="250">
        <v>60</v>
      </c>
      <c r="J16" s="250">
        <v>665</v>
      </c>
      <c r="K16" s="251">
        <v>0.11360000000000001</v>
      </c>
      <c r="L16" s="252">
        <v>0.4</v>
      </c>
      <c r="M16" s="252">
        <v>0.25</v>
      </c>
      <c r="N16" s="253">
        <v>8.06</v>
      </c>
      <c r="O16" s="254">
        <v>0.25</v>
      </c>
      <c r="P16" s="254">
        <v>0.12</v>
      </c>
      <c r="Q16" s="255">
        <v>0.62</v>
      </c>
    </row>
    <row r="17" spans="1:17" ht="22.5" customHeight="1" x14ac:dyDescent="0.25">
      <c r="A17" s="247">
        <v>14</v>
      </c>
      <c r="B17" s="267" t="s">
        <v>374</v>
      </c>
      <c r="C17" s="249">
        <v>11.332000000000001</v>
      </c>
      <c r="D17" s="248">
        <v>6</v>
      </c>
      <c r="E17" s="248">
        <v>2</v>
      </c>
      <c r="F17" s="248">
        <v>1</v>
      </c>
      <c r="G17" s="248">
        <v>72</v>
      </c>
      <c r="H17" s="250">
        <v>55</v>
      </c>
      <c r="I17" s="250">
        <v>60</v>
      </c>
      <c r="J17" s="250">
        <v>155</v>
      </c>
      <c r="K17" s="251">
        <v>8.3299999999999999E-2</v>
      </c>
      <c r="L17" s="252">
        <v>0.5</v>
      </c>
      <c r="M17" s="252">
        <v>0.25</v>
      </c>
      <c r="N17" s="253">
        <v>10.15</v>
      </c>
      <c r="O17" s="254">
        <v>0.26</v>
      </c>
      <c r="P17" s="254">
        <v>0.09</v>
      </c>
      <c r="Q17" s="255">
        <v>0.61</v>
      </c>
    </row>
    <row r="18" spans="1:17" ht="22.5" customHeight="1" x14ac:dyDescent="0.25">
      <c r="A18" s="247">
        <v>15</v>
      </c>
      <c r="B18" s="267" t="s">
        <v>352</v>
      </c>
      <c r="C18" s="249">
        <v>4.4050000000000002</v>
      </c>
      <c r="D18" s="248">
        <v>5</v>
      </c>
      <c r="E18" s="248">
        <v>3</v>
      </c>
      <c r="F18" s="248">
        <v>0</v>
      </c>
      <c r="G18" s="248">
        <v>18</v>
      </c>
      <c r="H18" s="250">
        <v>60</v>
      </c>
      <c r="I18" s="250">
        <v>0</v>
      </c>
      <c r="J18" s="250">
        <v>110</v>
      </c>
      <c r="K18" s="251">
        <v>0.27779999999999999</v>
      </c>
      <c r="L18" s="252">
        <v>0.6</v>
      </c>
      <c r="M18" s="252">
        <v>0</v>
      </c>
      <c r="N18" s="253">
        <v>13.62</v>
      </c>
      <c r="O18" s="254">
        <v>0.68</v>
      </c>
      <c r="P18" s="254">
        <v>0</v>
      </c>
      <c r="Q18" s="255">
        <v>0.6</v>
      </c>
    </row>
    <row r="19" spans="1:17" ht="22.5" customHeight="1" x14ac:dyDescent="0.25">
      <c r="A19" s="247">
        <v>16</v>
      </c>
      <c r="B19" s="267" t="s">
        <v>371</v>
      </c>
      <c r="C19" s="249">
        <v>14.042999999999999</v>
      </c>
      <c r="D19" s="248">
        <v>10</v>
      </c>
      <c r="E19" s="248">
        <v>1</v>
      </c>
      <c r="F19" s="248">
        <v>1</v>
      </c>
      <c r="G19" s="248">
        <v>92</v>
      </c>
      <c r="H19" s="250">
        <v>25</v>
      </c>
      <c r="I19" s="250">
        <v>60</v>
      </c>
      <c r="J19" s="250">
        <v>885</v>
      </c>
      <c r="K19" s="251">
        <v>0.1087</v>
      </c>
      <c r="L19" s="252">
        <v>0.2</v>
      </c>
      <c r="M19" s="252">
        <v>0.1111</v>
      </c>
      <c r="N19" s="253">
        <v>6.05</v>
      </c>
      <c r="O19" s="254">
        <v>0.14000000000000001</v>
      </c>
      <c r="P19" s="254">
        <v>7.0000000000000007E-2</v>
      </c>
      <c r="Q19" s="255">
        <v>0.55000000000000004</v>
      </c>
    </row>
    <row r="20" spans="1:17" ht="22.5" customHeight="1" x14ac:dyDescent="0.25">
      <c r="A20" s="247">
        <v>17</v>
      </c>
      <c r="B20" s="267" t="s">
        <v>301</v>
      </c>
      <c r="C20" s="249">
        <v>6.085</v>
      </c>
      <c r="D20" s="248">
        <v>6</v>
      </c>
      <c r="E20" s="248">
        <v>3</v>
      </c>
      <c r="F20" s="248">
        <v>0</v>
      </c>
      <c r="G20" s="248">
        <v>37</v>
      </c>
      <c r="H20" s="250">
        <v>110</v>
      </c>
      <c r="I20" s="250">
        <v>0</v>
      </c>
      <c r="J20" s="250">
        <v>210</v>
      </c>
      <c r="K20" s="251">
        <v>0.16220000000000001</v>
      </c>
      <c r="L20" s="252">
        <v>0.5</v>
      </c>
      <c r="M20" s="252">
        <v>0</v>
      </c>
      <c r="N20" s="253">
        <v>18.079999999999998</v>
      </c>
      <c r="O20" s="254">
        <v>0.49</v>
      </c>
      <c r="P20" s="254">
        <v>0</v>
      </c>
      <c r="Q20" s="255">
        <v>0.54</v>
      </c>
    </row>
    <row r="21" spans="1:17" ht="22.5" customHeight="1" x14ac:dyDescent="0.25">
      <c r="A21" s="247">
        <v>18</v>
      </c>
      <c r="B21" s="267" t="s">
        <v>356</v>
      </c>
      <c r="C21" s="249">
        <v>8.1639999999999997</v>
      </c>
      <c r="D21" s="248">
        <v>4</v>
      </c>
      <c r="E21" s="248">
        <v>3</v>
      </c>
      <c r="F21" s="248">
        <v>0</v>
      </c>
      <c r="G21" s="248">
        <v>36</v>
      </c>
      <c r="H21" s="250">
        <v>125</v>
      </c>
      <c r="I21" s="250">
        <v>0</v>
      </c>
      <c r="J21" s="250">
        <v>130</v>
      </c>
      <c r="K21" s="251">
        <v>0.1111</v>
      </c>
      <c r="L21" s="252">
        <v>0.75</v>
      </c>
      <c r="M21" s="252">
        <v>0</v>
      </c>
      <c r="N21" s="253">
        <v>15.31</v>
      </c>
      <c r="O21" s="254">
        <v>0.37</v>
      </c>
      <c r="P21" s="254">
        <v>0</v>
      </c>
      <c r="Q21" s="255">
        <v>0.53</v>
      </c>
    </row>
    <row r="22" spans="1:17" ht="22.5" customHeight="1" x14ac:dyDescent="0.25">
      <c r="A22" s="247">
        <v>19</v>
      </c>
      <c r="B22" s="267" t="s">
        <v>392</v>
      </c>
      <c r="C22" s="249">
        <v>1.7989999999999999</v>
      </c>
      <c r="D22" s="248">
        <v>1</v>
      </c>
      <c r="E22" s="248">
        <v>1</v>
      </c>
      <c r="F22" s="248">
        <v>0</v>
      </c>
      <c r="G22" s="248">
        <v>10</v>
      </c>
      <c r="H22" s="250">
        <v>10</v>
      </c>
      <c r="I22" s="250">
        <v>0</v>
      </c>
      <c r="J22" s="250">
        <v>10</v>
      </c>
      <c r="K22" s="251">
        <v>0.1</v>
      </c>
      <c r="L22" s="252">
        <v>1</v>
      </c>
      <c r="M22" s="252">
        <v>0</v>
      </c>
      <c r="N22" s="253">
        <v>5.56</v>
      </c>
      <c r="O22" s="254">
        <v>0.56000000000000005</v>
      </c>
      <c r="P22" s="254">
        <v>0</v>
      </c>
      <c r="Q22" s="255">
        <v>0.52</v>
      </c>
    </row>
    <row r="23" spans="1:17" ht="22.5" customHeight="1" x14ac:dyDescent="0.25">
      <c r="A23" s="247">
        <v>20</v>
      </c>
      <c r="B23" s="267" t="s">
        <v>403</v>
      </c>
      <c r="C23" s="249">
        <v>6.9390000000000001</v>
      </c>
      <c r="D23" s="248">
        <v>4</v>
      </c>
      <c r="E23" s="248">
        <v>3</v>
      </c>
      <c r="F23" s="248">
        <v>0</v>
      </c>
      <c r="G23" s="248">
        <v>32</v>
      </c>
      <c r="H23" s="250">
        <v>40</v>
      </c>
      <c r="I23" s="250">
        <v>0</v>
      </c>
      <c r="J23" s="250">
        <v>115</v>
      </c>
      <c r="K23" s="251">
        <v>0.125</v>
      </c>
      <c r="L23" s="252">
        <v>0.75</v>
      </c>
      <c r="M23" s="252">
        <v>0</v>
      </c>
      <c r="N23" s="253">
        <v>5.76</v>
      </c>
      <c r="O23" s="254">
        <v>0.43</v>
      </c>
      <c r="P23" s="254">
        <v>0</v>
      </c>
      <c r="Q23" s="255">
        <v>0.52</v>
      </c>
    </row>
    <row r="24" spans="1:17" ht="22.5" customHeight="1" x14ac:dyDescent="0.25">
      <c r="A24" s="247">
        <v>21</v>
      </c>
      <c r="B24" s="267" t="s">
        <v>277</v>
      </c>
      <c r="C24" s="249">
        <v>9.2110000000000003</v>
      </c>
      <c r="D24" s="248">
        <v>8</v>
      </c>
      <c r="E24" s="248">
        <v>4</v>
      </c>
      <c r="F24" s="248">
        <v>0</v>
      </c>
      <c r="G24" s="248">
        <v>44</v>
      </c>
      <c r="H24" s="250">
        <v>80</v>
      </c>
      <c r="I24" s="250">
        <v>0</v>
      </c>
      <c r="J24" s="250">
        <v>235</v>
      </c>
      <c r="K24" s="251">
        <v>0.18179999999999999</v>
      </c>
      <c r="L24" s="252">
        <v>0.5</v>
      </c>
      <c r="M24" s="252">
        <v>0</v>
      </c>
      <c r="N24" s="253">
        <v>8.69</v>
      </c>
      <c r="O24" s="254">
        <v>0.43</v>
      </c>
      <c r="P24" s="254">
        <v>0</v>
      </c>
      <c r="Q24" s="255">
        <v>0.52</v>
      </c>
    </row>
    <row r="25" spans="1:17" ht="22.5" customHeight="1" x14ac:dyDescent="0.25">
      <c r="A25" s="247">
        <v>22</v>
      </c>
      <c r="B25" s="267" t="s">
        <v>398</v>
      </c>
      <c r="C25" s="249">
        <v>4.4139999999999997</v>
      </c>
      <c r="D25" s="248">
        <v>4</v>
      </c>
      <c r="E25" s="248">
        <v>2</v>
      </c>
      <c r="F25" s="248">
        <v>0</v>
      </c>
      <c r="G25" s="248">
        <v>37</v>
      </c>
      <c r="H25" s="250">
        <v>200</v>
      </c>
      <c r="I25" s="250">
        <v>0</v>
      </c>
      <c r="J25" s="250">
        <v>325</v>
      </c>
      <c r="K25" s="251">
        <v>0.1081</v>
      </c>
      <c r="L25" s="252">
        <v>0.5</v>
      </c>
      <c r="M25" s="252">
        <v>0</v>
      </c>
      <c r="N25" s="253">
        <v>45.31</v>
      </c>
      <c r="O25" s="254">
        <v>0.45</v>
      </c>
      <c r="P25" s="254">
        <v>0</v>
      </c>
      <c r="Q25" s="255">
        <v>0.51</v>
      </c>
    </row>
    <row r="26" spans="1:17" ht="22.5" customHeight="1" x14ac:dyDescent="0.25">
      <c r="A26" s="247">
        <v>23</v>
      </c>
      <c r="B26" s="267" t="s">
        <v>397</v>
      </c>
      <c r="C26" s="249">
        <v>7.4850000000000003</v>
      </c>
      <c r="D26" s="248">
        <v>1</v>
      </c>
      <c r="E26" s="248">
        <v>1</v>
      </c>
      <c r="F26" s="248">
        <v>0</v>
      </c>
      <c r="G26" s="248">
        <v>4</v>
      </c>
      <c r="H26" s="250">
        <v>10</v>
      </c>
      <c r="I26" s="250">
        <v>0</v>
      </c>
      <c r="J26" s="250">
        <v>10</v>
      </c>
      <c r="K26" s="251">
        <v>0.25</v>
      </c>
      <c r="L26" s="252">
        <v>1</v>
      </c>
      <c r="M26" s="252">
        <v>0</v>
      </c>
      <c r="N26" s="253">
        <v>1.34</v>
      </c>
      <c r="O26" s="254">
        <v>0.13</v>
      </c>
      <c r="P26" s="254">
        <v>0</v>
      </c>
      <c r="Q26" s="255">
        <v>0.48</v>
      </c>
    </row>
    <row r="27" spans="1:17" ht="22.5" customHeight="1" x14ac:dyDescent="0.25">
      <c r="A27" s="247">
        <v>24</v>
      </c>
      <c r="B27" s="267" t="s">
        <v>308</v>
      </c>
      <c r="C27" s="249">
        <v>7.4029999999999996</v>
      </c>
      <c r="D27" s="248">
        <v>7</v>
      </c>
      <c r="E27" s="248">
        <v>3</v>
      </c>
      <c r="F27" s="248">
        <v>0</v>
      </c>
      <c r="G27" s="248">
        <v>51</v>
      </c>
      <c r="H27" s="250">
        <v>50</v>
      </c>
      <c r="I27" s="250">
        <v>0</v>
      </c>
      <c r="J27" s="250">
        <v>85</v>
      </c>
      <c r="K27" s="251">
        <v>0.13730000000000001</v>
      </c>
      <c r="L27" s="252">
        <v>0.42859999999999998</v>
      </c>
      <c r="M27" s="252">
        <v>0</v>
      </c>
      <c r="N27" s="253">
        <v>6.75</v>
      </c>
      <c r="O27" s="254">
        <v>0.41</v>
      </c>
      <c r="P27" s="254">
        <v>0</v>
      </c>
      <c r="Q27" s="255">
        <v>0.48</v>
      </c>
    </row>
    <row r="28" spans="1:17" ht="22.5" customHeight="1" x14ac:dyDescent="0.25">
      <c r="A28" s="247">
        <v>25</v>
      </c>
      <c r="B28" s="267" t="s">
        <v>328</v>
      </c>
      <c r="C28" s="249">
        <v>7.72</v>
      </c>
      <c r="D28" s="248">
        <v>3</v>
      </c>
      <c r="E28" s="248">
        <v>2</v>
      </c>
      <c r="F28" s="248">
        <v>0</v>
      </c>
      <c r="G28" s="248">
        <v>39</v>
      </c>
      <c r="H28" s="250">
        <v>240</v>
      </c>
      <c r="I28" s="250">
        <v>0</v>
      </c>
      <c r="J28" s="250">
        <v>250</v>
      </c>
      <c r="K28" s="251">
        <v>7.6899999999999996E-2</v>
      </c>
      <c r="L28" s="252">
        <v>0.66669999999999996</v>
      </c>
      <c r="M28" s="252">
        <v>0</v>
      </c>
      <c r="N28" s="253">
        <v>31.09</v>
      </c>
      <c r="O28" s="254">
        <v>0.26</v>
      </c>
      <c r="P28" s="254">
        <v>0</v>
      </c>
      <c r="Q28" s="255">
        <v>0.46</v>
      </c>
    </row>
    <row r="29" spans="1:17" ht="22.5" customHeight="1" x14ac:dyDescent="0.25">
      <c r="A29" s="247">
        <v>26</v>
      </c>
      <c r="B29" s="267" t="s">
        <v>269</v>
      </c>
      <c r="C29" s="249">
        <v>6.657</v>
      </c>
      <c r="D29" s="248">
        <v>4</v>
      </c>
      <c r="E29" s="248">
        <v>2</v>
      </c>
      <c r="F29" s="248">
        <v>0</v>
      </c>
      <c r="G29" s="248">
        <v>44</v>
      </c>
      <c r="H29" s="250">
        <v>50</v>
      </c>
      <c r="I29" s="250">
        <v>0</v>
      </c>
      <c r="J29" s="250">
        <v>85</v>
      </c>
      <c r="K29" s="251">
        <v>9.0899999999999995E-2</v>
      </c>
      <c r="L29" s="252">
        <v>0.5</v>
      </c>
      <c r="M29" s="252">
        <v>0</v>
      </c>
      <c r="N29" s="253">
        <v>7.51</v>
      </c>
      <c r="O29" s="254">
        <v>0.3</v>
      </c>
      <c r="P29" s="254">
        <v>0</v>
      </c>
      <c r="Q29" s="255">
        <v>0.43</v>
      </c>
    </row>
    <row r="30" spans="1:17" ht="22.5" customHeight="1" x14ac:dyDescent="0.25">
      <c r="A30" s="247">
        <v>27</v>
      </c>
      <c r="B30" s="267" t="s">
        <v>375</v>
      </c>
      <c r="C30" s="249">
        <v>13.961</v>
      </c>
      <c r="D30" s="248">
        <v>6</v>
      </c>
      <c r="E30" s="248">
        <v>3</v>
      </c>
      <c r="F30" s="248">
        <v>0</v>
      </c>
      <c r="G30" s="248">
        <v>45</v>
      </c>
      <c r="H30" s="250">
        <v>45</v>
      </c>
      <c r="I30" s="250">
        <v>0</v>
      </c>
      <c r="J30" s="250">
        <v>105</v>
      </c>
      <c r="K30" s="251">
        <v>0.1333</v>
      </c>
      <c r="L30" s="252">
        <v>0.5</v>
      </c>
      <c r="M30" s="252">
        <v>0</v>
      </c>
      <c r="N30" s="253">
        <v>3.22</v>
      </c>
      <c r="O30" s="254">
        <v>0.21</v>
      </c>
      <c r="P30" s="254">
        <v>0</v>
      </c>
      <c r="Q30" s="255">
        <v>0.42</v>
      </c>
    </row>
    <row r="31" spans="1:17" ht="22.5" customHeight="1" x14ac:dyDescent="0.25">
      <c r="A31" s="247">
        <v>28</v>
      </c>
      <c r="B31" s="267" t="s">
        <v>354</v>
      </c>
      <c r="C31" s="249">
        <v>6.5510000000000002</v>
      </c>
      <c r="D31" s="248">
        <v>1</v>
      </c>
      <c r="E31" s="248">
        <v>1</v>
      </c>
      <c r="F31" s="248">
        <v>0</v>
      </c>
      <c r="G31" s="248">
        <v>25</v>
      </c>
      <c r="H31" s="250">
        <v>100</v>
      </c>
      <c r="I31" s="250">
        <v>0</v>
      </c>
      <c r="J31" s="250">
        <v>100</v>
      </c>
      <c r="K31" s="251">
        <v>0.04</v>
      </c>
      <c r="L31" s="252">
        <v>1</v>
      </c>
      <c r="M31" s="252">
        <v>0</v>
      </c>
      <c r="N31" s="253">
        <v>15.26</v>
      </c>
      <c r="O31" s="254">
        <v>0.15</v>
      </c>
      <c r="P31" s="254">
        <v>0</v>
      </c>
      <c r="Q31" s="255">
        <v>0.42</v>
      </c>
    </row>
    <row r="32" spans="1:17" ht="22.5" customHeight="1" x14ac:dyDescent="0.25">
      <c r="A32" s="247">
        <v>29</v>
      </c>
      <c r="B32" s="267" t="s">
        <v>279</v>
      </c>
      <c r="C32" s="249">
        <v>6.7789999999999999</v>
      </c>
      <c r="D32" s="248">
        <v>3</v>
      </c>
      <c r="E32" s="248">
        <v>2</v>
      </c>
      <c r="F32" s="248">
        <v>0</v>
      </c>
      <c r="G32" s="248">
        <v>51</v>
      </c>
      <c r="H32" s="250">
        <v>30</v>
      </c>
      <c r="I32" s="250">
        <v>0</v>
      </c>
      <c r="J32" s="250">
        <v>55</v>
      </c>
      <c r="K32" s="251">
        <v>5.8799999999999998E-2</v>
      </c>
      <c r="L32" s="252">
        <v>0.66669999999999996</v>
      </c>
      <c r="M32" s="252">
        <v>0</v>
      </c>
      <c r="N32" s="253">
        <v>4.43</v>
      </c>
      <c r="O32" s="254">
        <v>0.3</v>
      </c>
      <c r="P32" s="254">
        <v>0</v>
      </c>
      <c r="Q32" s="255">
        <v>0.41</v>
      </c>
    </row>
    <row r="33" spans="1:17" ht="22.5" customHeight="1" x14ac:dyDescent="0.25">
      <c r="A33" s="247">
        <v>30</v>
      </c>
      <c r="B33" s="267" t="s">
        <v>299</v>
      </c>
      <c r="C33" s="249">
        <v>7.8220000000000001</v>
      </c>
      <c r="D33" s="248">
        <v>3</v>
      </c>
      <c r="E33" s="248">
        <v>2</v>
      </c>
      <c r="F33" s="248">
        <v>0</v>
      </c>
      <c r="G33" s="248">
        <v>43</v>
      </c>
      <c r="H33" s="250">
        <v>20</v>
      </c>
      <c r="I33" s="250">
        <v>0</v>
      </c>
      <c r="J33" s="250">
        <v>25</v>
      </c>
      <c r="K33" s="251">
        <v>6.9800000000000001E-2</v>
      </c>
      <c r="L33" s="252">
        <v>0.66669999999999996</v>
      </c>
      <c r="M33" s="252">
        <v>0</v>
      </c>
      <c r="N33" s="253">
        <v>2.56</v>
      </c>
      <c r="O33" s="254">
        <v>0.26</v>
      </c>
      <c r="P33" s="254">
        <v>0</v>
      </c>
      <c r="Q33" s="255">
        <v>0.4</v>
      </c>
    </row>
    <row r="34" spans="1:17" ht="22.5" customHeight="1" x14ac:dyDescent="0.25">
      <c r="A34" s="247">
        <v>31</v>
      </c>
      <c r="B34" s="267" t="s">
        <v>271</v>
      </c>
      <c r="C34" s="249">
        <v>6.4470000000000001</v>
      </c>
      <c r="D34" s="248">
        <v>2</v>
      </c>
      <c r="E34" s="248">
        <v>1</v>
      </c>
      <c r="F34" s="248">
        <v>0</v>
      </c>
      <c r="G34" s="248">
        <v>29</v>
      </c>
      <c r="H34" s="250">
        <v>100</v>
      </c>
      <c r="I34" s="250">
        <v>0</v>
      </c>
      <c r="J34" s="250">
        <v>200</v>
      </c>
      <c r="K34" s="251">
        <v>6.9000000000000006E-2</v>
      </c>
      <c r="L34" s="252">
        <v>0.5</v>
      </c>
      <c r="M34" s="252">
        <v>0</v>
      </c>
      <c r="N34" s="253">
        <v>15.51</v>
      </c>
      <c r="O34" s="254">
        <v>0.16</v>
      </c>
      <c r="P34" s="254">
        <v>0</v>
      </c>
      <c r="Q34" s="255">
        <v>0.39</v>
      </c>
    </row>
    <row r="35" spans="1:17" ht="22.5" customHeight="1" x14ac:dyDescent="0.25">
      <c r="A35" s="247">
        <v>32</v>
      </c>
      <c r="B35" s="267" t="s">
        <v>305</v>
      </c>
      <c r="C35" s="249">
        <v>7.75</v>
      </c>
      <c r="D35" s="248">
        <v>1</v>
      </c>
      <c r="E35" s="248">
        <v>1</v>
      </c>
      <c r="F35" s="248">
        <v>0</v>
      </c>
      <c r="G35" s="248">
        <v>25</v>
      </c>
      <c r="H35" s="250">
        <v>50</v>
      </c>
      <c r="I35" s="250">
        <v>0</v>
      </c>
      <c r="J35" s="250">
        <v>50</v>
      </c>
      <c r="K35" s="251">
        <v>0.04</v>
      </c>
      <c r="L35" s="252">
        <v>1</v>
      </c>
      <c r="M35" s="252">
        <v>0</v>
      </c>
      <c r="N35" s="253">
        <v>6.45</v>
      </c>
      <c r="O35" s="254">
        <v>0.13</v>
      </c>
      <c r="P35" s="254">
        <v>0</v>
      </c>
      <c r="Q35" s="255">
        <v>0.38</v>
      </c>
    </row>
    <row r="36" spans="1:17" ht="22.5" customHeight="1" x14ac:dyDescent="0.25">
      <c r="A36" s="247">
        <v>33</v>
      </c>
      <c r="B36" s="267" t="s">
        <v>385</v>
      </c>
      <c r="C36" s="249">
        <v>8.6219999999999999</v>
      </c>
      <c r="D36" s="248">
        <v>2</v>
      </c>
      <c r="E36" s="248">
        <v>1</v>
      </c>
      <c r="F36" s="248">
        <v>0</v>
      </c>
      <c r="G36" s="248">
        <v>19</v>
      </c>
      <c r="H36" s="250">
        <v>50</v>
      </c>
      <c r="I36" s="250">
        <v>0</v>
      </c>
      <c r="J36" s="250">
        <v>75</v>
      </c>
      <c r="K36" s="251">
        <v>0.1053</v>
      </c>
      <c r="L36" s="252">
        <v>0.5</v>
      </c>
      <c r="M36" s="252">
        <v>0</v>
      </c>
      <c r="N36" s="253">
        <v>5.8</v>
      </c>
      <c r="O36" s="254">
        <v>0.12</v>
      </c>
      <c r="P36" s="254">
        <v>0</v>
      </c>
      <c r="Q36" s="255">
        <v>0.36</v>
      </c>
    </row>
    <row r="37" spans="1:17" ht="22.5" customHeight="1" x14ac:dyDescent="0.25">
      <c r="A37" s="247">
        <v>34</v>
      </c>
      <c r="B37" s="267" t="s">
        <v>420</v>
      </c>
      <c r="C37" s="249">
        <v>6.7569999999999997</v>
      </c>
      <c r="D37" s="248">
        <v>1</v>
      </c>
      <c r="E37" s="248">
        <v>1</v>
      </c>
      <c r="F37" s="248">
        <v>0</v>
      </c>
      <c r="G37" s="248">
        <v>31</v>
      </c>
      <c r="H37" s="250">
        <v>15</v>
      </c>
      <c r="I37" s="250">
        <v>0</v>
      </c>
      <c r="J37" s="250">
        <v>15</v>
      </c>
      <c r="K37" s="251">
        <v>3.2300000000000002E-2</v>
      </c>
      <c r="L37" s="252">
        <v>1</v>
      </c>
      <c r="M37" s="252">
        <v>0</v>
      </c>
      <c r="N37" s="253">
        <v>2.2200000000000002</v>
      </c>
      <c r="O37" s="254">
        <v>0.15</v>
      </c>
      <c r="P37" s="254">
        <v>0</v>
      </c>
      <c r="Q37" s="255">
        <v>0.36</v>
      </c>
    </row>
    <row r="38" spans="1:17" ht="22.5" customHeight="1" x14ac:dyDescent="0.25">
      <c r="A38" s="247">
        <v>35</v>
      </c>
      <c r="B38" s="267" t="s">
        <v>317</v>
      </c>
      <c r="C38" s="249">
        <v>7.6029999999999998</v>
      </c>
      <c r="D38" s="248">
        <v>5</v>
      </c>
      <c r="E38" s="248">
        <v>1</v>
      </c>
      <c r="F38" s="248">
        <v>0</v>
      </c>
      <c r="G38" s="248">
        <v>43</v>
      </c>
      <c r="H38" s="250">
        <v>20</v>
      </c>
      <c r="I38" s="250">
        <v>0</v>
      </c>
      <c r="J38" s="250">
        <v>45</v>
      </c>
      <c r="K38" s="251">
        <v>0.1163</v>
      </c>
      <c r="L38" s="252">
        <v>0.2</v>
      </c>
      <c r="M38" s="252">
        <v>0</v>
      </c>
      <c r="N38" s="253">
        <v>2.63</v>
      </c>
      <c r="O38" s="254">
        <v>0.13</v>
      </c>
      <c r="P38" s="254">
        <v>0</v>
      </c>
      <c r="Q38" s="255">
        <v>0.34</v>
      </c>
    </row>
    <row r="39" spans="1:17" ht="22.5" customHeight="1" x14ac:dyDescent="0.25">
      <c r="A39" s="247">
        <v>36</v>
      </c>
      <c r="B39" s="267" t="s">
        <v>280</v>
      </c>
      <c r="C39" s="249">
        <v>7.6909999999999998</v>
      </c>
      <c r="D39" s="248">
        <v>3</v>
      </c>
      <c r="E39" s="248">
        <v>1</v>
      </c>
      <c r="F39" s="248">
        <v>0</v>
      </c>
      <c r="G39" s="248">
        <v>44</v>
      </c>
      <c r="H39" s="250">
        <v>100</v>
      </c>
      <c r="I39" s="250">
        <v>0</v>
      </c>
      <c r="J39" s="250">
        <v>245</v>
      </c>
      <c r="K39" s="251">
        <v>6.8199999999999997E-2</v>
      </c>
      <c r="L39" s="252">
        <v>0.33329999999999999</v>
      </c>
      <c r="M39" s="252">
        <v>0</v>
      </c>
      <c r="N39" s="253">
        <v>13</v>
      </c>
      <c r="O39" s="254">
        <v>0.13</v>
      </c>
      <c r="P39" s="254">
        <v>0</v>
      </c>
      <c r="Q39" s="255">
        <v>0.32</v>
      </c>
    </row>
    <row r="40" spans="1:17" ht="22.5" customHeight="1" x14ac:dyDescent="0.25">
      <c r="A40" s="247">
        <v>37</v>
      </c>
      <c r="B40" s="267" t="s">
        <v>417</v>
      </c>
      <c r="C40" s="249">
        <v>8.2409999999999997</v>
      </c>
      <c r="D40" s="248">
        <v>6</v>
      </c>
      <c r="E40" s="248">
        <v>1</v>
      </c>
      <c r="F40" s="248">
        <v>0</v>
      </c>
      <c r="G40" s="248">
        <v>43</v>
      </c>
      <c r="H40" s="250">
        <v>5</v>
      </c>
      <c r="I40" s="250">
        <v>0</v>
      </c>
      <c r="J40" s="250">
        <v>260</v>
      </c>
      <c r="K40" s="251">
        <v>0.13950000000000001</v>
      </c>
      <c r="L40" s="252">
        <v>0.16669999999999999</v>
      </c>
      <c r="M40" s="252">
        <v>0</v>
      </c>
      <c r="N40" s="253">
        <v>0.61</v>
      </c>
      <c r="O40" s="254">
        <v>0.12</v>
      </c>
      <c r="P40" s="254">
        <v>0</v>
      </c>
      <c r="Q40" s="255">
        <v>0.32</v>
      </c>
    </row>
    <row r="41" spans="1:17" ht="22.5" customHeight="1" x14ac:dyDescent="0.25">
      <c r="A41" s="247">
        <v>38</v>
      </c>
      <c r="B41" s="267" t="s">
        <v>409</v>
      </c>
      <c r="C41" s="249">
        <v>6.7460000000000004</v>
      </c>
      <c r="D41" s="248">
        <v>4</v>
      </c>
      <c r="E41" s="248">
        <v>1</v>
      </c>
      <c r="F41" s="248">
        <v>0</v>
      </c>
      <c r="G41" s="248">
        <v>50</v>
      </c>
      <c r="H41" s="250">
        <v>10</v>
      </c>
      <c r="I41" s="250">
        <v>0</v>
      </c>
      <c r="J41" s="250">
        <v>130</v>
      </c>
      <c r="K41" s="251">
        <v>0.08</v>
      </c>
      <c r="L41" s="252">
        <v>0.25</v>
      </c>
      <c r="M41" s="252">
        <v>0</v>
      </c>
      <c r="N41" s="253">
        <v>1.48</v>
      </c>
      <c r="O41" s="254">
        <v>0.15</v>
      </c>
      <c r="P41" s="254">
        <v>0</v>
      </c>
      <c r="Q41" s="255">
        <v>0.31</v>
      </c>
    </row>
    <row r="42" spans="1:17" ht="22.5" customHeight="1" x14ac:dyDescent="0.25">
      <c r="A42" s="247">
        <v>39</v>
      </c>
      <c r="B42" s="267" t="s">
        <v>332</v>
      </c>
      <c r="C42" s="249">
        <v>6.649</v>
      </c>
      <c r="D42" s="248">
        <v>3</v>
      </c>
      <c r="E42" s="248">
        <v>1</v>
      </c>
      <c r="F42" s="248">
        <v>0</v>
      </c>
      <c r="G42" s="248">
        <v>39</v>
      </c>
      <c r="H42" s="250">
        <v>10</v>
      </c>
      <c r="I42" s="250">
        <v>0</v>
      </c>
      <c r="J42" s="250">
        <v>55</v>
      </c>
      <c r="K42" s="251">
        <v>7.6899999999999996E-2</v>
      </c>
      <c r="L42" s="252">
        <v>0.33329999999999999</v>
      </c>
      <c r="M42" s="252">
        <v>0</v>
      </c>
      <c r="N42" s="253">
        <v>1.5</v>
      </c>
      <c r="O42" s="254">
        <v>0.15</v>
      </c>
      <c r="P42" s="254">
        <v>0</v>
      </c>
      <c r="Q42" s="255">
        <v>0.31</v>
      </c>
    </row>
    <row r="43" spans="1:17" ht="22.5" customHeight="1" x14ac:dyDescent="0.25">
      <c r="A43" s="247">
        <v>40</v>
      </c>
      <c r="B43" s="267" t="s">
        <v>405</v>
      </c>
      <c r="C43" s="249">
        <v>8.7710000000000008</v>
      </c>
      <c r="D43" s="248">
        <v>3</v>
      </c>
      <c r="E43" s="248">
        <v>1</v>
      </c>
      <c r="F43" s="248">
        <v>0</v>
      </c>
      <c r="G43" s="248">
        <v>52</v>
      </c>
      <c r="H43" s="250">
        <v>50</v>
      </c>
      <c r="I43" s="250">
        <v>0</v>
      </c>
      <c r="J43" s="250">
        <v>160</v>
      </c>
      <c r="K43" s="251">
        <v>5.7700000000000001E-2</v>
      </c>
      <c r="L43" s="252">
        <v>0.33329999999999999</v>
      </c>
      <c r="M43" s="252">
        <v>0</v>
      </c>
      <c r="N43" s="253">
        <v>5.7</v>
      </c>
      <c r="O43" s="254">
        <v>0.11</v>
      </c>
      <c r="P43" s="254">
        <v>0</v>
      </c>
      <c r="Q43" s="255">
        <v>0.27</v>
      </c>
    </row>
    <row r="44" spans="1:17" ht="22.5" customHeight="1" x14ac:dyDescent="0.25">
      <c r="A44" s="247">
        <v>41</v>
      </c>
      <c r="B44" s="267" t="s">
        <v>272</v>
      </c>
      <c r="C44" s="249">
        <v>11.516</v>
      </c>
      <c r="D44" s="248">
        <v>6</v>
      </c>
      <c r="E44" s="248">
        <v>1</v>
      </c>
      <c r="F44" s="248">
        <v>0</v>
      </c>
      <c r="G44" s="248">
        <v>87</v>
      </c>
      <c r="H44" s="250">
        <v>10</v>
      </c>
      <c r="I44" s="250">
        <v>0</v>
      </c>
      <c r="J44" s="250">
        <v>150</v>
      </c>
      <c r="K44" s="251">
        <v>6.9000000000000006E-2</v>
      </c>
      <c r="L44" s="252">
        <v>0.16669999999999999</v>
      </c>
      <c r="M44" s="252">
        <v>0</v>
      </c>
      <c r="N44" s="253">
        <v>0.87</v>
      </c>
      <c r="O44" s="254">
        <v>0.09</v>
      </c>
      <c r="P44" s="254">
        <v>0</v>
      </c>
      <c r="Q44" s="255">
        <v>0.24</v>
      </c>
    </row>
    <row r="45" spans="1:17" ht="22.5" customHeight="1" x14ac:dyDescent="0.25">
      <c r="A45" s="247">
        <v>42</v>
      </c>
      <c r="B45" s="267" t="s">
        <v>274</v>
      </c>
      <c r="C45" s="249">
        <v>0.49399999999999999</v>
      </c>
      <c r="D45" s="248">
        <v>1</v>
      </c>
      <c r="E45" s="248">
        <v>0</v>
      </c>
      <c r="F45" s="248">
        <v>0</v>
      </c>
      <c r="G45" s="248">
        <v>3</v>
      </c>
      <c r="H45" s="250">
        <v>0</v>
      </c>
      <c r="I45" s="250">
        <v>0</v>
      </c>
      <c r="J45" s="250">
        <v>100</v>
      </c>
      <c r="K45" s="251">
        <v>0.33329999999999999</v>
      </c>
      <c r="L45" s="252">
        <v>0</v>
      </c>
      <c r="M45" s="252">
        <v>0</v>
      </c>
      <c r="N45" s="253">
        <v>0</v>
      </c>
      <c r="O45" s="254">
        <v>0</v>
      </c>
      <c r="P45" s="254">
        <v>0</v>
      </c>
      <c r="Q45" s="255">
        <v>0.2</v>
      </c>
    </row>
    <row r="46" spans="1:17" ht="22.5" customHeight="1" x14ac:dyDescent="0.25">
      <c r="A46" s="247">
        <v>43</v>
      </c>
      <c r="B46" s="267" t="s">
        <v>336</v>
      </c>
      <c r="C46" s="249">
        <v>0.91600000000000004</v>
      </c>
      <c r="D46" s="248">
        <v>2</v>
      </c>
      <c r="E46" s="248">
        <v>0</v>
      </c>
      <c r="F46" s="248">
        <v>0</v>
      </c>
      <c r="G46" s="248">
        <v>9</v>
      </c>
      <c r="H46" s="250">
        <v>0</v>
      </c>
      <c r="I46" s="250">
        <v>0</v>
      </c>
      <c r="J46" s="250">
        <v>30</v>
      </c>
      <c r="K46" s="251">
        <v>0.22220000000000001</v>
      </c>
      <c r="L46" s="252">
        <v>0</v>
      </c>
      <c r="M46" s="252">
        <v>0</v>
      </c>
      <c r="N46" s="253">
        <v>0</v>
      </c>
      <c r="O46" s="254">
        <v>0</v>
      </c>
      <c r="P46" s="254">
        <v>0</v>
      </c>
      <c r="Q46" s="255">
        <v>0.18</v>
      </c>
    </row>
    <row r="47" spans="1:17" ht="22.5" customHeight="1" x14ac:dyDescent="0.25">
      <c r="A47" s="247">
        <v>44</v>
      </c>
      <c r="B47" s="267" t="s">
        <v>324</v>
      </c>
      <c r="C47" s="249">
        <v>1.044</v>
      </c>
      <c r="D47" s="248">
        <v>1</v>
      </c>
      <c r="E47" s="248">
        <v>0</v>
      </c>
      <c r="F47" s="248">
        <v>0</v>
      </c>
      <c r="G47" s="248">
        <v>5</v>
      </c>
      <c r="H47" s="250">
        <v>0</v>
      </c>
      <c r="I47" s="250">
        <v>0</v>
      </c>
      <c r="J47" s="250">
        <v>25</v>
      </c>
      <c r="K47" s="251">
        <v>0.2</v>
      </c>
      <c r="L47" s="252">
        <v>0</v>
      </c>
      <c r="M47" s="252">
        <v>0</v>
      </c>
      <c r="N47" s="253">
        <v>0</v>
      </c>
      <c r="O47" s="254">
        <v>0</v>
      </c>
      <c r="P47" s="254">
        <v>0</v>
      </c>
      <c r="Q47" s="255">
        <v>0.18</v>
      </c>
    </row>
    <row r="48" spans="1:17" ht="22.5" customHeight="1" x14ac:dyDescent="0.25">
      <c r="A48" s="247">
        <v>45</v>
      </c>
      <c r="B48" s="267" t="s">
        <v>326</v>
      </c>
      <c r="C48" s="249">
        <v>6.1189999999999998</v>
      </c>
      <c r="D48" s="248">
        <v>2</v>
      </c>
      <c r="E48" s="248">
        <v>0</v>
      </c>
      <c r="F48" s="248">
        <v>0</v>
      </c>
      <c r="G48" s="248">
        <v>24</v>
      </c>
      <c r="H48" s="250">
        <v>0</v>
      </c>
      <c r="I48" s="250">
        <v>0</v>
      </c>
      <c r="J48" s="250">
        <v>45</v>
      </c>
      <c r="K48" s="251">
        <v>8.3299999999999999E-2</v>
      </c>
      <c r="L48" s="252">
        <v>0</v>
      </c>
      <c r="M48" s="252">
        <v>0</v>
      </c>
      <c r="N48" s="253">
        <v>0</v>
      </c>
      <c r="O48" s="254">
        <v>0</v>
      </c>
      <c r="P48" s="254">
        <v>0</v>
      </c>
      <c r="Q48" s="255">
        <v>0.1</v>
      </c>
    </row>
    <row r="49" spans="1:17" ht="22.5" customHeight="1" x14ac:dyDescent="0.25">
      <c r="A49" s="247">
        <v>46</v>
      </c>
      <c r="B49" s="267" t="s">
        <v>286</v>
      </c>
      <c r="C49" s="249">
        <v>6.9640000000000004</v>
      </c>
      <c r="D49" s="248">
        <v>3</v>
      </c>
      <c r="E49" s="248">
        <v>0</v>
      </c>
      <c r="F49" s="248">
        <v>0</v>
      </c>
      <c r="G49" s="248">
        <v>38</v>
      </c>
      <c r="H49" s="250">
        <v>0</v>
      </c>
      <c r="I49" s="250">
        <v>0</v>
      </c>
      <c r="J49" s="250">
        <v>100</v>
      </c>
      <c r="K49" s="251">
        <v>7.8899999999999998E-2</v>
      </c>
      <c r="L49" s="252">
        <v>0</v>
      </c>
      <c r="M49" s="252">
        <v>0</v>
      </c>
      <c r="N49" s="253">
        <v>0</v>
      </c>
      <c r="O49" s="254">
        <v>0</v>
      </c>
      <c r="P49" s="254">
        <v>0</v>
      </c>
      <c r="Q49" s="255">
        <v>0.09</v>
      </c>
    </row>
    <row r="50" spans="1:17" ht="22.5" customHeight="1" x14ac:dyDescent="0.25">
      <c r="A50" s="247">
        <v>47</v>
      </c>
      <c r="B50" s="267" t="s">
        <v>314</v>
      </c>
      <c r="C50" s="249">
        <v>2.15</v>
      </c>
      <c r="D50" s="248">
        <v>1</v>
      </c>
      <c r="E50" s="248">
        <v>0</v>
      </c>
      <c r="F50" s="248">
        <v>0</v>
      </c>
      <c r="G50" s="248">
        <v>13</v>
      </c>
      <c r="H50" s="250">
        <v>0</v>
      </c>
      <c r="I50" s="250">
        <v>0</v>
      </c>
      <c r="J50" s="250">
        <v>20</v>
      </c>
      <c r="K50" s="251">
        <v>7.6899999999999996E-2</v>
      </c>
      <c r="L50" s="252">
        <v>0</v>
      </c>
      <c r="M50" s="252">
        <v>0</v>
      </c>
      <c r="N50" s="253">
        <v>0</v>
      </c>
      <c r="O50" s="254">
        <v>0</v>
      </c>
      <c r="P50" s="254">
        <v>0</v>
      </c>
      <c r="Q50" s="255">
        <v>0.08</v>
      </c>
    </row>
    <row r="51" spans="1:17" ht="22.5" customHeight="1" x14ac:dyDescent="0.25">
      <c r="A51" s="247">
        <v>48</v>
      </c>
      <c r="B51" s="267" t="s">
        <v>411</v>
      </c>
      <c r="C51" s="249">
        <v>4.4169999999999998</v>
      </c>
      <c r="D51" s="248">
        <v>2</v>
      </c>
      <c r="E51" s="248">
        <v>0</v>
      </c>
      <c r="F51" s="248">
        <v>0</v>
      </c>
      <c r="G51" s="248">
        <v>32</v>
      </c>
      <c r="H51" s="250">
        <v>0</v>
      </c>
      <c r="I51" s="250">
        <v>0</v>
      </c>
      <c r="J51" s="250">
        <v>125</v>
      </c>
      <c r="K51" s="251">
        <v>6.25E-2</v>
      </c>
      <c r="L51" s="252">
        <v>0</v>
      </c>
      <c r="M51" s="252">
        <v>0</v>
      </c>
      <c r="N51" s="253">
        <v>0</v>
      </c>
      <c r="O51" s="254">
        <v>0</v>
      </c>
      <c r="P51" s="254">
        <v>0</v>
      </c>
      <c r="Q51" s="255">
        <v>7.0000000000000007E-2</v>
      </c>
    </row>
    <row r="52" spans="1:17" ht="22.5" customHeight="1" x14ac:dyDescent="0.25">
      <c r="A52" s="247">
        <v>49</v>
      </c>
      <c r="B52" s="267" t="s">
        <v>291</v>
      </c>
      <c r="C52" s="249">
        <v>2.6579999999999999</v>
      </c>
      <c r="D52" s="248">
        <v>1</v>
      </c>
      <c r="E52" s="248">
        <v>0</v>
      </c>
      <c r="F52" s="248">
        <v>0</v>
      </c>
      <c r="G52" s="248">
        <v>17</v>
      </c>
      <c r="H52" s="250">
        <v>0</v>
      </c>
      <c r="I52" s="250">
        <v>0</v>
      </c>
      <c r="J52" s="250">
        <v>50</v>
      </c>
      <c r="K52" s="251">
        <v>5.8799999999999998E-2</v>
      </c>
      <c r="L52" s="252">
        <v>0</v>
      </c>
      <c r="M52" s="252">
        <v>0</v>
      </c>
      <c r="N52" s="253">
        <v>0</v>
      </c>
      <c r="O52" s="254">
        <v>0</v>
      </c>
      <c r="P52" s="254">
        <v>0</v>
      </c>
      <c r="Q52" s="255">
        <v>0.06</v>
      </c>
    </row>
    <row r="53" spans="1:17" ht="22.5" customHeight="1" x14ac:dyDescent="0.25">
      <c r="A53" s="247">
        <v>50</v>
      </c>
      <c r="B53" s="267" t="s">
        <v>318</v>
      </c>
      <c r="C53" s="249">
        <v>7.7539999999999996</v>
      </c>
      <c r="D53" s="248">
        <v>2</v>
      </c>
      <c r="E53" s="248">
        <v>0</v>
      </c>
      <c r="F53" s="248">
        <v>0</v>
      </c>
      <c r="G53" s="248">
        <v>58</v>
      </c>
      <c r="H53" s="250">
        <v>0</v>
      </c>
      <c r="I53" s="250">
        <v>0</v>
      </c>
      <c r="J53" s="250">
        <v>75</v>
      </c>
      <c r="K53" s="251">
        <v>3.4500000000000003E-2</v>
      </c>
      <c r="L53" s="252">
        <v>0</v>
      </c>
      <c r="M53" s="252">
        <v>0</v>
      </c>
      <c r="N53" s="253">
        <v>0</v>
      </c>
      <c r="O53" s="254">
        <v>0</v>
      </c>
      <c r="P53" s="254">
        <v>0</v>
      </c>
      <c r="Q53" s="255">
        <v>0.05</v>
      </c>
    </row>
    <row r="54" spans="1:17" ht="22.5" customHeight="1" x14ac:dyDescent="0.25">
      <c r="A54" s="247">
        <v>51</v>
      </c>
      <c r="B54" s="267" t="s">
        <v>351</v>
      </c>
      <c r="C54" s="249">
        <v>1.962</v>
      </c>
      <c r="D54" s="248">
        <v>0</v>
      </c>
      <c r="E54" s="248">
        <v>0</v>
      </c>
      <c r="F54" s="248">
        <v>0</v>
      </c>
      <c r="G54" s="248">
        <v>6</v>
      </c>
      <c r="H54" s="250">
        <v>0</v>
      </c>
      <c r="I54" s="250">
        <v>0</v>
      </c>
      <c r="J54" s="250">
        <v>0</v>
      </c>
      <c r="K54" s="251">
        <v>0</v>
      </c>
      <c r="L54" s="252">
        <v>0</v>
      </c>
      <c r="M54" s="252">
        <v>0</v>
      </c>
      <c r="N54" s="253">
        <v>0</v>
      </c>
      <c r="O54" s="254">
        <v>0</v>
      </c>
      <c r="P54" s="254">
        <v>0</v>
      </c>
      <c r="Q54" s="255">
        <v>0.02</v>
      </c>
    </row>
    <row r="55" spans="1:17" ht="22.5" customHeight="1" x14ac:dyDescent="0.25">
      <c r="A55" s="247">
        <v>52</v>
      </c>
      <c r="B55" s="267" t="s">
        <v>401</v>
      </c>
      <c r="C55" s="249">
        <v>7.5810000000000004</v>
      </c>
      <c r="D55" s="248">
        <v>0</v>
      </c>
      <c r="E55" s="248">
        <v>0</v>
      </c>
      <c r="F55" s="248">
        <v>0</v>
      </c>
      <c r="G55" s="248">
        <v>36</v>
      </c>
      <c r="H55" s="250">
        <v>0</v>
      </c>
      <c r="I55" s="250">
        <v>0</v>
      </c>
      <c r="J55" s="250">
        <v>0</v>
      </c>
      <c r="K55" s="251">
        <v>0</v>
      </c>
      <c r="L55" s="252">
        <v>0</v>
      </c>
      <c r="M55" s="252">
        <v>0</v>
      </c>
      <c r="N55" s="253">
        <v>0</v>
      </c>
      <c r="O55" s="254">
        <v>0</v>
      </c>
      <c r="P55" s="254">
        <v>0</v>
      </c>
      <c r="Q55" s="255">
        <v>0.02</v>
      </c>
    </row>
    <row r="56" spans="1:17" ht="22.5" customHeight="1" x14ac:dyDescent="0.25">
      <c r="A56" s="247">
        <v>53</v>
      </c>
      <c r="B56" s="267" t="s">
        <v>316</v>
      </c>
      <c r="C56" s="249">
        <v>0.69199999999999995</v>
      </c>
      <c r="D56" s="248">
        <v>0</v>
      </c>
      <c r="E56" s="248">
        <v>0</v>
      </c>
      <c r="F56" s="248">
        <v>0</v>
      </c>
      <c r="G56" s="248">
        <v>1</v>
      </c>
      <c r="H56" s="250">
        <v>0</v>
      </c>
      <c r="I56" s="250">
        <v>0</v>
      </c>
      <c r="J56" s="250">
        <v>0</v>
      </c>
      <c r="K56" s="251">
        <v>0</v>
      </c>
      <c r="L56" s="252">
        <v>0</v>
      </c>
      <c r="M56" s="252">
        <v>0</v>
      </c>
      <c r="N56" s="253">
        <v>0</v>
      </c>
      <c r="O56" s="254">
        <v>0</v>
      </c>
      <c r="P56" s="254">
        <v>0</v>
      </c>
      <c r="Q56" s="255">
        <v>0.02</v>
      </c>
    </row>
    <row r="57" spans="1:17" ht="22.5" customHeight="1" x14ac:dyDescent="0.25">
      <c r="A57" s="247">
        <v>54</v>
      </c>
      <c r="B57" s="267" t="s">
        <v>360</v>
      </c>
      <c r="C57" s="249">
        <v>5.7469999999999999</v>
      </c>
      <c r="D57" s="248">
        <v>0</v>
      </c>
      <c r="E57" s="248">
        <v>0</v>
      </c>
      <c r="F57" s="248">
        <v>0</v>
      </c>
      <c r="G57" s="248">
        <v>23</v>
      </c>
      <c r="H57" s="250">
        <v>0</v>
      </c>
      <c r="I57" s="250">
        <v>0</v>
      </c>
      <c r="J57" s="250">
        <v>0</v>
      </c>
      <c r="K57" s="251">
        <v>0</v>
      </c>
      <c r="L57" s="252">
        <v>0</v>
      </c>
      <c r="M57" s="252">
        <v>0</v>
      </c>
      <c r="N57" s="253">
        <v>0</v>
      </c>
      <c r="O57" s="254">
        <v>0</v>
      </c>
      <c r="P57" s="254">
        <v>0</v>
      </c>
      <c r="Q57" s="255">
        <v>0.02</v>
      </c>
    </row>
    <row r="58" spans="1:17" ht="22.5" customHeight="1" x14ac:dyDescent="0.25">
      <c r="A58" s="247">
        <v>55</v>
      </c>
      <c r="B58" s="267" t="s">
        <v>359</v>
      </c>
      <c r="C58" s="249">
        <v>0.61699999999999999</v>
      </c>
      <c r="D58" s="248">
        <v>0</v>
      </c>
      <c r="E58" s="248">
        <v>0</v>
      </c>
      <c r="F58" s="248">
        <v>0</v>
      </c>
      <c r="G58" s="248">
        <v>3</v>
      </c>
      <c r="H58" s="250">
        <v>0</v>
      </c>
      <c r="I58" s="250">
        <v>0</v>
      </c>
      <c r="J58" s="250">
        <v>0</v>
      </c>
      <c r="K58" s="251">
        <v>0</v>
      </c>
      <c r="L58" s="252">
        <v>0</v>
      </c>
      <c r="M58" s="252">
        <v>0</v>
      </c>
      <c r="N58" s="253">
        <v>0</v>
      </c>
      <c r="O58" s="254">
        <v>0</v>
      </c>
      <c r="P58" s="254">
        <v>0</v>
      </c>
      <c r="Q58" s="255">
        <v>0.02</v>
      </c>
    </row>
    <row r="59" spans="1:17" ht="22.5" customHeight="1" x14ac:dyDescent="0.25">
      <c r="A59" s="247">
        <v>56</v>
      </c>
      <c r="B59" s="267" t="s">
        <v>290</v>
      </c>
      <c r="C59" s="249">
        <v>0.30599999999999999</v>
      </c>
      <c r="D59" s="248">
        <v>0</v>
      </c>
      <c r="E59" s="248">
        <v>0</v>
      </c>
      <c r="F59" s="248">
        <v>0</v>
      </c>
      <c r="G59" s="248">
        <v>2</v>
      </c>
      <c r="H59" s="250">
        <v>0</v>
      </c>
      <c r="I59" s="250">
        <v>0</v>
      </c>
      <c r="J59" s="250">
        <v>0</v>
      </c>
      <c r="K59" s="251">
        <v>0</v>
      </c>
      <c r="L59" s="252">
        <v>0</v>
      </c>
      <c r="M59" s="252">
        <v>0</v>
      </c>
      <c r="N59" s="253">
        <v>0</v>
      </c>
      <c r="O59" s="254">
        <v>0</v>
      </c>
      <c r="P59" s="254">
        <v>0</v>
      </c>
      <c r="Q59" s="255">
        <v>0.02</v>
      </c>
    </row>
    <row r="60" spans="1:17" ht="22.5" customHeight="1" x14ac:dyDescent="0.25">
      <c r="A60" s="247">
        <v>57</v>
      </c>
      <c r="B60" s="267" t="s">
        <v>325</v>
      </c>
      <c r="C60" s="249">
        <v>5.4169999999999998</v>
      </c>
      <c r="D60" s="248">
        <v>0</v>
      </c>
      <c r="E60" s="248">
        <v>0</v>
      </c>
      <c r="F60" s="248">
        <v>0</v>
      </c>
      <c r="G60" s="248">
        <v>20</v>
      </c>
      <c r="H60" s="250">
        <v>0</v>
      </c>
      <c r="I60" s="250">
        <v>0</v>
      </c>
      <c r="J60" s="250">
        <v>0</v>
      </c>
      <c r="K60" s="251">
        <v>0</v>
      </c>
      <c r="L60" s="252">
        <v>0</v>
      </c>
      <c r="M60" s="252">
        <v>0</v>
      </c>
      <c r="N60" s="253">
        <v>0</v>
      </c>
      <c r="O60" s="254">
        <v>0</v>
      </c>
      <c r="P60" s="254">
        <v>0</v>
      </c>
      <c r="Q60" s="255">
        <v>0.02</v>
      </c>
    </row>
    <row r="61" spans="1:17" ht="22.5" customHeight="1" x14ac:dyDescent="0.25">
      <c r="A61" s="247">
        <v>58</v>
      </c>
      <c r="B61" s="267" t="s">
        <v>321</v>
      </c>
      <c r="C61" s="249">
        <v>2.0489999999999999</v>
      </c>
      <c r="D61" s="248">
        <v>0</v>
      </c>
      <c r="E61" s="248">
        <v>0</v>
      </c>
      <c r="F61" s="248">
        <v>0</v>
      </c>
      <c r="G61" s="248">
        <v>11</v>
      </c>
      <c r="H61" s="250">
        <v>0</v>
      </c>
      <c r="I61" s="250">
        <v>0</v>
      </c>
      <c r="J61" s="250">
        <v>0</v>
      </c>
      <c r="K61" s="251">
        <v>0</v>
      </c>
      <c r="L61" s="252">
        <v>0</v>
      </c>
      <c r="M61" s="252">
        <v>0</v>
      </c>
      <c r="N61" s="253">
        <v>0</v>
      </c>
      <c r="O61" s="254">
        <v>0</v>
      </c>
      <c r="P61" s="254">
        <v>0</v>
      </c>
      <c r="Q61" s="255">
        <v>0.02</v>
      </c>
    </row>
    <row r="62" spans="1:17" ht="22.5" customHeight="1" x14ac:dyDescent="0.25">
      <c r="A62" s="247" t="s">
        <v>171</v>
      </c>
      <c r="B62" s="268" t="s">
        <v>3</v>
      </c>
      <c r="C62" s="257">
        <v>337.99099999999999</v>
      </c>
      <c r="D62" s="256">
        <v>187</v>
      </c>
      <c r="E62" s="256">
        <v>76</v>
      </c>
      <c r="F62" s="256">
        <v>12</v>
      </c>
      <c r="G62" s="258">
        <v>1802</v>
      </c>
      <c r="H62" s="259">
        <v>3400</v>
      </c>
      <c r="I62" s="259">
        <v>1260</v>
      </c>
      <c r="J62" s="259">
        <v>8840</v>
      </c>
      <c r="K62" s="260">
        <v>0.1038</v>
      </c>
      <c r="L62" s="269">
        <v>0.47060000000000002</v>
      </c>
      <c r="M62" s="269">
        <v>0.1081</v>
      </c>
      <c r="N62" s="270">
        <v>13.79</v>
      </c>
      <c r="O62" s="271">
        <v>0.26</v>
      </c>
      <c r="P62" s="271">
        <v>0.04</v>
      </c>
      <c r="Q62" s="272" t="s">
        <v>171</v>
      </c>
    </row>
  </sheetData>
  <sortState ref="B3:R60">
    <sortCondition descending="1" ref="Q3"/>
  </sortState>
  <mergeCells count="3">
    <mergeCell ref="A2:A3"/>
    <mergeCell ref="B2:B3"/>
    <mergeCell ref="F1:L1"/>
  </mergeCells>
  <pageMargins left="0.25" right="0.25" top="0.25" bottom="0.5" header="0.25" footer="0.25"/>
  <pageSetup orientation="portrait" cellComments="atEnd"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0070C0"/>
  </sheetPr>
  <dimension ref="A1:Q65"/>
  <sheetViews>
    <sheetView workbookViewId="0">
      <selection activeCell="G15" sqref="G15"/>
    </sheetView>
  </sheetViews>
  <sheetFormatPr defaultRowHeight="11.25" x14ac:dyDescent="0.25"/>
  <cols>
    <col min="1" max="1" width="6" style="93" bestFit="1" customWidth="1"/>
    <col min="2" max="2" width="21.5703125" style="94" bestFit="1" customWidth="1"/>
    <col min="3" max="3" width="8.28515625" style="93" bestFit="1" customWidth="1"/>
    <col min="4" max="4" width="6" style="93" bestFit="1" customWidth="1"/>
    <col min="5" max="5" width="10.28515625" style="93" bestFit="1" customWidth="1"/>
    <col min="6" max="6" width="10.42578125" style="93" bestFit="1" customWidth="1"/>
    <col min="7" max="7" width="8.42578125" style="93" bestFit="1" customWidth="1"/>
    <col min="8" max="10" width="12" style="93" bestFit="1" customWidth="1"/>
    <col min="11" max="11" width="13.42578125" style="93" bestFit="1" customWidth="1"/>
    <col min="12" max="12" width="11.42578125" style="93" bestFit="1" customWidth="1"/>
    <col min="13" max="13" width="10.42578125" style="93" bestFit="1" customWidth="1"/>
    <col min="14" max="14" width="11.85546875" style="93" bestFit="1" customWidth="1"/>
    <col min="15" max="15" width="11.42578125" style="93" bestFit="1" customWidth="1"/>
    <col min="16" max="16" width="10.42578125" style="93" bestFit="1" customWidth="1"/>
    <col min="17" max="17" width="12.28515625" style="93" bestFit="1" customWidth="1"/>
    <col min="18" max="16384" width="9.140625" style="93"/>
  </cols>
  <sheetData>
    <row r="1" spans="1:17" ht="22.5" customHeight="1" x14ac:dyDescent="0.25">
      <c r="F1" s="619" t="s">
        <v>262</v>
      </c>
      <c r="G1" s="619"/>
      <c r="H1" s="619"/>
      <c r="I1" s="619"/>
      <c r="J1" s="619"/>
      <c r="K1" s="619"/>
      <c r="L1" s="619"/>
    </row>
    <row r="2" spans="1:17" ht="22.5" customHeight="1" x14ac:dyDescent="0.25">
      <c r="A2" s="620" t="s">
        <v>172</v>
      </c>
      <c r="B2" s="608" t="s">
        <v>7</v>
      </c>
      <c r="C2" s="275" t="s">
        <v>173</v>
      </c>
      <c r="D2" s="276" t="s">
        <v>3</v>
      </c>
      <c r="E2" s="276" t="s">
        <v>176</v>
      </c>
      <c r="F2" s="276" t="s">
        <v>166</v>
      </c>
      <c r="G2" s="276" t="s">
        <v>8</v>
      </c>
      <c r="H2" s="276" t="s">
        <v>176</v>
      </c>
      <c r="I2" s="276" t="s">
        <v>166</v>
      </c>
      <c r="J2" s="276" t="s">
        <v>3</v>
      </c>
      <c r="K2" s="276" t="s">
        <v>21</v>
      </c>
      <c r="L2" s="276" t="s">
        <v>164</v>
      </c>
      <c r="M2" s="276" t="s">
        <v>166</v>
      </c>
      <c r="N2" s="276" t="s">
        <v>164</v>
      </c>
      <c r="O2" s="276" t="s">
        <v>164</v>
      </c>
      <c r="P2" s="276" t="s">
        <v>166</v>
      </c>
      <c r="Q2" s="277" t="s">
        <v>169</v>
      </c>
    </row>
    <row r="3" spans="1:17" ht="22.5" customHeight="1" x14ac:dyDescent="0.25">
      <c r="A3" s="621"/>
      <c r="B3" s="622"/>
      <c r="C3" s="278" t="s">
        <v>174</v>
      </c>
      <c r="D3" s="279" t="s">
        <v>175</v>
      </c>
      <c r="E3" s="279" t="s">
        <v>175</v>
      </c>
      <c r="F3" s="279" t="s">
        <v>175</v>
      </c>
      <c r="G3" s="279" t="s">
        <v>12</v>
      </c>
      <c r="H3" s="279" t="s">
        <v>9</v>
      </c>
      <c r="I3" s="279" t="s">
        <v>9</v>
      </c>
      <c r="J3" s="279" t="s">
        <v>9</v>
      </c>
      <c r="K3" s="279" t="s">
        <v>13</v>
      </c>
      <c r="L3" s="279" t="s">
        <v>165</v>
      </c>
      <c r="M3" s="279" t="s">
        <v>165</v>
      </c>
      <c r="N3" s="279" t="s">
        <v>167</v>
      </c>
      <c r="O3" s="279" t="s">
        <v>168</v>
      </c>
      <c r="P3" s="279" t="s">
        <v>168</v>
      </c>
      <c r="Q3" s="280" t="s">
        <v>170</v>
      </c>
    </row>
    <row r="4" spans="1:17" ht="22.5" customHeight="1" x14ac:dyDescent="0.25">
      <c r="A4" s="281">
        <v>1</v>
      </c>
      <c r="B4" s="282" t="s">
        <v>282</v>
      </c>
      <c r="C4" s="283">
        <v>4.8230000000000004</v>
      </c>
      <c r="D4" s="284">
        <v>4</v>
      </c>
      <c r="E4" s="284">
        <v>2</v>
      </c>
      <c r="F4" s="284">
        <v>1</v>
      </c>
      <c r="G4" s="284">
        <v>22</v>
      </c>
      <c r="H4" s="285">
        <v>60</v>
      </c>
      <c r="I4" s="285">
        <v>120</v>
      </c>
      <c r="J4" s="285">
        <v>230</v>
      </c>
      <c r="K4" s="286">
        <v>0.18179999999999999</v>
      </c>
      <c r="L4" s="287">
        <v>0.75</v>
      </c>
      <c r="M4" s="287">
        <v>0.5</v>
      </c>
      <c r="N4" s="288">
        <v>37.32</v>
      </c>
      <c r="O4" s="289">
        <v>0.62</v>
      </c>
      <c r="P4" s="289">
        <v>0.21</v>
      </c>
      <c r="Q4" s="290">
        <v>0.87</v>
      </c>
    </row>
    <row r="5" spans="1:17" ht="22.5" customHeight="1" x14ac:dyDescent="0.25">
      <c r="A5" s="281">
        <v>2</v>
      </c>
      <c r="B5" s="282" t="s">
        <v>314</v>
      </c>
      <c r="C5" s="283">
        <v>4.2539999999999996</v>
      </c>
      <c r="D5" s="284">
        <v>5</v>
      </c>
      <c r="E5" s="284">
        <v>2</v>
      </c>
      <c r="F5" s="284">
        <v>1</v>
      </c>
      <c r="G5" s="284">
        <v>30</v>
      </c>
      <c r="H5" s="285">
        <v>110</v>
      </c>
      <c r="I5" s="285">
        <v>120</v>
      </c>
      <c r="J5" s="285">
        <v>285</v>
      </c>
      <c r="K5" s="286">
        <v>0.16669999999999999</v>
      </c>
      <c r="L5" s="287">
        <v>0.6</v>
      </c>
      <c r="M5" s="287">
        <v>0.33329999999999999</v>
      </c>
      <c r="N5" s="288">
        <v>54.07</v>
      </c>
      <c r="O5" s="289">
        <v>0.71</v>
      </c>
      <c r="P5" s="289">
        <v>0.24</v>
      </c>
      <c r="Q5" s="290">
        <v>0.85</v>
      </c>
    </row>
    <row r="6" spans="1:17" ht="22.5" customHeight="1" x14ac:dyDescent="0.25">
      <c r="A6" s="281">
        <v>3</v>
      </c>
      <c r="B6" s="282" t="s">
        <v>411</v>
      </c>
      <c r="C6" s="283">
        <v>5.7889999999999997</v>
      </c>
      <c r="D6" s="284">
        <v>6</v>
      </c>
      <c r="E6" s="284">
        <v>1</v>
      </c>
      <c r="F6" s="284">
        <v>2</v>
      </c>
      <c r="G6" s="284">
        <v>35</v>
      </c>
      <c r="H6" s="285">
        <v>50</v>
      </c>
      <c r="I6" s="285">
        <v>240</v>
      </c>
      <c r="J6" s="285">
        <v>345</v>
      </c>
      <c r="K6" s="286">
        <v>0.1714</v>
      </c>
      <c r="L6" s="287">
        <v>0.5</v>
      </c>
      <c r="M6" s="287">
        <v>0.4</v>
      </c>
      <c r="N6" s="288">
        <v>50.1</v>
      </c>
      <c r="O6" s="289">
        <v>0.52</v>
      </c>
      <c r="P6" s="289">
        <v>0.35</v>
      </c>
      <c r="Q6" s="290">
        <v>0.8</v>
      </c>
    </row>
    <row r="7" spans="1:17" ht="22.5" customHeight="1" x14ac:dyDescent="0.25">
      <c r="A7" s="281">
        <v>4</v>
      </c>
      <c r="B7" s="282" t="s">
        <v>277</v>
      </c>
      <c r="C7" s="283">
        <v>9.1720000000000006</v>
      </c>
      <c r="D7" s="284">
        <v>13</v>
      </c>
      <c r="E7" s="284">
        <v>4</v>
      </c>
      <c r="F7" s="284">
        <v>1</v>
      </c>
      <c r="G7" s="284">
        <v>44</v>
      </c>
      <c r="H7" s="285">
        <v>210</v>
      </c>
      <c r="I7" s="285">
        <v>120</v>
      </c>
      <c r="J7" s="285">
        <v>640</v>
      </c>
      <c r="K7" s="286">
        <v>0.29549999999999998</v>
      </c>
      <c r="L7" s="287">
        <v>0.3846</v>
      </c>
      <c r="M7" s="287">
        <v>0.1111</v>
      </c>
      <c r="N7" s="288">
        <v>35.979999999999997</v>
      </c>
      <c r="O7" s="289">
        <v>0.55000000000000004</v>
      </c>
      <c r="P7" s="289">
        <v>0.11</v>
      </c>
      <c r="Q7" s="290">
        <v>0.79</v>
      </c>
    </row>
    <row r="8" spans="1:17" ht="22.5" customHeight="1" x14ac:dyDescent="0.25">
      <c r="A8" s="281">
        <v>5</v>
      </c>
      <c r="B8" s="282" t="s">
        <v>272</v>
      </c>
      <c r="C8" s="283">
        <v>9.0359999999999996</v>
      </c>
      <c r="D8" s="284">
        <v>8</v>
      </c>
      <c r="E8" s="284">
        <v>5</v>
      </c>
      <c r="F8" s="284">
        <v>1</v>
      </c>
      <c r="G8" s="284">
        <v>68</v>
      </c>
      <c r="H8" s="285">
        <v>105</v>
      </c>
      <c r="I8" s="285">
        <v>120</v>
      </c>
      <c r="J8" s="285">
        <v>370</v>
      </c>
      <c r="K8" s="286">
        <v>0.1176</v>
      </c>
      <c r="L8" s="287">
        <v>0.75</v>
      </c>
      <c r="M8" s="287">
        <v>0.33329999999999999</v>
      </c>
      <c r="N8" s="288">
        <v>24.9</v>
      </c>
      <c r="O8" s="289">
        <v>0.66</v>
      </c>
      <c r="P8" s="289">
        <v>0.11</v>
      </c>
      <c r="Q8" s="290">
        <v>0.78</v>
      </c>
    </row>
    <row r="9" spans="1:17" ht="22.5" customHeight="1" x14ac:dyDescent="0.25">
      <c r="A9" s="281">
        <v>6</v>
      </c>
      <c r="B9" s="282" t="s">
        <v>373</v>
      </c>
      <c r="C9" s="283">
        <v>6.0350000000000001</v>
      </c>
      <c r="D9" s="284">
        <v>2</v>
      </c>
      <c r="E9" s="284">
        <v>1</v>
      </c>
      <c r="F9" s="284">
        <v>1</v>
      </c>
      <c r="G9" s="284">
        <v>23</v>
      </c>
      <c r="H9" s="285">
        <v>5</v>
      </c>
      <c r="I9" s="285">
        <v>120</v>
      </c>
      <c r="J9" s="285">
        <v>125</v>
      </c>
      <c r="K9" s="286">
        <v>8.6999999999999994E-2</v>
      </c>
      <c r="L9" s="287">
        <v>1</v>
      </c>
      <c r="M9" s="287">
        <v>1</v>
      </c>
      <c r="N9" s="288">
        <v>20.71</v>
      </c>
      <c r="O9" s="289">
        <v>0.33</v>
      </c>
      <c r="P9" s="289">
        <v>0.17</v>
      </c>
      <c r="Q9" s="290">
        <v>0.72</v>
      </c>
    </row>
    <row r="10" spans="1:17" ht="22.5" customHeight="1" x14ac:dyDescent="0.25">
      <c r="A10" s="281">
        <v>7</v>
      </c>
      <c r="B10" s="282" t="s">
        <v>274</v>
      </c>
      <c r="C10" s="283">
        <v>1.5629999999999999</v>
      </c>
      <c r="D10" s="284">
        <v>2</v>
      </c>
      <c r="E10" s="284">
        <v>2</v>
      </c>
      <c r="F10" s="284">
        <v>0</v>
      </c>
      <c r="G10" s="284">
        <v>7</v>
      </c>
      <c r="H10" s="285">
        <v>125</v>
      </c>
      <c r="I10" s="285">
        <v>0</v>
      </c>
      <c r="J10" s="285">
        <v>125</v>
      </c>
      <c r="K10" s="286">
        <v>0.28570000000000001</v>
      </c>
      <c r="L10" s="287">
        <v>1</v>
      </c>
      <c r="M10" s="287">
        <v>0</v>
      </c>
      <c r="N10" s="288">
        <v>79.97</v>
      </c>
      <c r="O10" s="289">
        <v>1.28</v>
      </c>
      <c r="P10" s="289">
        <v>0</v>
      </c>
      <c r="Q10" s="290">
        <v>0.71</v>
      </c>
    </row>
    <row r="11" spans="1:17" ht="22.5" customHeight="1" x14ac:dyDescent="0.25">
      <c r="A11" s="281">
        <v>8</v>
      </c>
      <c r="B11" s="282" t="s">
        <v>365</v>
      </c>
      <c r="C11" s="283">
        <v>5.1609999999999996</v>
      </c>
      <c r="D11" s="284">
        <v>4</v>
      </c>
      <c r="E11" s="284">
        <v>1</v>
      </c>
      <c r="F11" s="284">
        <v>1</v>
      </c>
      <c r="G11" s="284">
        <v>36</v>
      </c>
      <c r="H11" s="285">
        <v>20</v>
      </c>
      <c r="I11" s="285">
        <v>120</v>
      </c>
      <c r="J11" s="285">
        <v>175</v>
      </c>
      <c r="K11" s="286">
        <v>0.1111</v>
      </c>
      <c r="L11" s="287">
        <v>0.5</v>
      </c>
      <c r="M11" s="287">
        <v>0.33329999999999999</v>
      </c>
      <c r="N11" s="288">
        <v>27.13</v>
      </c>
      <c r="O11" s="289">
        <v>0.39</v>
      </c>
      <c r="P11" s="289">
        <v>0.19</v>
      </c>
      <c r="Q11" s="290">
        <v>0.71</v>
      </c>
    </row>
    <row r="12" spans="1:17" ht="22.5" customHeight="1" x14ac:dyDescent="0.25">
      <c r="A12" s="281">
        <v>9</v>
      </c>
      <c r="B12" s="282" t="s">
        <v>400</v>
      </c>
      <c r="C12" s="283">
        <v>5.9779999999999998</v>
      </c>
      <c r="D12" s="284">
        <v>5</v>
      </c>
      <c r="E12" s="284">
        <v>1</v>
      </c>
      <c r="F12" s="284">
        <v>1</v>
      </c>
      <c r="G12" s="284">
        <v>34</v>
      </c>
      <c r="H12" s="285">
        <v>5</v>
      </c>
      <c r="I12" s="285">
        <v>120</v>
      </c>
      <c r="J12" s="285">
        <v>400</v>
      </c>
      <c r="K12" s="286">
        <v>0.14710000000000001</v>
      </c>
      <c r="L12" s="287">
        <v>0.4</v>
      </c>
      <c r="M12" s="287">
        <v>0.25</v>
      </c>
      <c r="N12" s="288">
        <v>20.91</v>
      </c>
      <c r="O12" s="289">
        <v>0.33</v>
      </c>
      <c r="P12" s="289">
        <v>0.17</v>
      </c>
      <c r="Q12" s="290">
        <v>0.69</v>
      </c>
    </row>
    <row r="13" spans="1:17" ht="22.5" customHeight="1" x14ac:dyDescent="0.25">
      <c r="A13" s="281">
        <v>10</v>
      </c>
      <c r="B13" s="282" t="s">
        <v>325</v>
      </c>
      <c r="C13" s="283">
        <v>5.7969999999999997</v>
      </c>
      <c r="D13" s="284">
        <v>2</v>
      </c>
      <c r="E13" s="284">
        <v>0</v>
      </c>
      <c r="F13" s="284">
        <v>1</v>
      </c>
      <c r="G13" s="284">
        <v>13</v>
      </c>
      <c r="H13" s="285">
        <v>0</v>
      </c>
      <c r="I13" s="285">
        <v>300</v>
      </c>
      <c r="J13" s="285">
        <v>305</v>
      </c>
      <c r="K13" s="286">
        <v>0.15379999999999999</v>
      </c>
      <c r="L13" s="287">
        <v>0.5</v>
      </c>
      <c r="M13" s="287">
        <v>0.5</v>
      </c>
      <c r="N13" s="288">
        <v>51.75</v>
      </c>
      <c r="O13" s="289">
        <v>0.17</v>
      </c>
      <c r="P13" s="289">
        <v>0.17</v>
      </c>
      <c r="Q13" s="290">
        <v>0.69</v>
      </c>
    </row>
    <row r="14" spans="1:17" ht="22.5" customHeight="1" x14ac:dyDescent="0.25">
      <c r="A14" s="281">
        <v>11</v>
      </c>
      <c r="B14" s="282" t="s">
        <v>279</v>
      </c>
      <c r="C14" s="283">
        <v>6.0910000000000002</v>
      </c>
      <c r="D14" s="284">
        <v>7</v>
      </c>
      <c r="E14" s="284">
        <v>4</v>
      </c>
      <c r="F14" s="284">
        <v>0</v>
      </c>
      <c r="G14" s="284">
        <v>25</v>
      </c>
      <c r="H14" s="285">
        <v>245</v>
      </c>
      <c r="I14" s="285">
        <v>0</v>
      </c>
      <c r="J14" s="285">
        <v>495</v>
      </c>
      <c r="K14" s="286">
        <v>0.28000000000000003</v>
      </c>
      <c r="L14" s="287">
        <v>0.57140000000000002</v>
      </c>
      <c r="M14" s="287">
        <v>0</v>
      </c>
      <c r="N14" s="288">
        <v>40.22</v>
      </c>
      <c r="O14" s="289">
        <v>0.66</v>
      </c>
      <c r="P14" s="289">
        <v>0</v>
      </c>
      <c r="Q14" s="290">
        <v>0.65</v>
      </c>
    </row>
    <row r="15" spans="1:17" ht="22.5" customHeight="1" x14ac:dyDescent="0.25">
      <c r="A15" s="281">
        <v>12</v>
      </c>
      <c r="B15" s="282" t="s">
        <v>374</v>
      </c>
      <c r="C15" s="283">
        <v>7.556</v>
      </c>
      <c r="D15" s="284">
        <v>5</v>
      </c>
      <c r="E15" s="284">
        <v>1</v>
      </c>
      <c r="F15" s="284">
        <v>1</v>
      </c>
      <c r="G15" s="284">
        <v>40</v>
      </c>
      <c r="H15" s="285">
        <v>50</v>
      </c>
      <c r="I15" s="285">
        <v>120</v>
      </c>
      <c r="J15" s="285">
        <v>220</v>
      </c>
      <c r="K15" s="286">
        <v>0.125</v>
      </c>
      <c r="L15" s="287">
        <v>0.4</v>
      </c>
      <c r="M15" s="287">
        <v>0.25</v>
      </c>
      <c r="N15" s="288">
        <v>22.5</v>
      </c>
      <c r="O15" s="289">
        <v>0.26</v>
      </c>
      <c r="P15" s="289">
        <v>0.13</v>
      </c>
      <c r="Q15" s="290">
        <v>0.65</v>
      </c>
    </row>
    <row r="16" spans="1:17" ht="22.5" customHeight="1" x14ac:dyDescent="0.25">
      <c r="A16" s="281">
        <v>13</v>
      </c>
      <c r="B16" s="282" t="s">
        <v>318</v>
      </c>
      <c r="C16" s="283">
        <v>5.9290000000000003</v>
      </c>
      <c r="D16" s="284">
        <v>6</v>
      </c>
      <c r="E16" s="284">
        <v>4</v>
      </c>
      <c r="F16" s="284">
        <v>0</v>
      </c>
      <c r="G16" s="284">
        <v>37</v>
      </c>
      <c r="H16" s="285">
        <v>195</v>
      </c>
      <c r="I16" s="285">
        <v>0</v>
      </c>
      <c r="J16" s="285">
        <v>220</v>
      </c>
      <c r="K16" s="286">
        <v>0.16220000000000001</v>
      </c>
      <c r="L16" s="287">
        <v>0.66669999999999996</v>
      </c>
      <c r="M16" s="287">
        <v>0</v>
      </c>
      <c r="N16" s="288">
        <v>32.89</v>
      </c>
      <c r="O16" s="289">
        <v>0.67</v>
      </c>
      <c r="P16" s="289">
        <v>0</v>
      </c>
      <c r="Q16" s="290">
        <v>0.61</v>
      </c>
    </row>
    <row r="17" spans="1:17" ht="22.5" customHeight="1" x14ac:dyDescent="0.25">
      <c r="A17" s="281">
        <v>14</v>
      </c>
      <c r="B17" s="282" t="s">
        <v>316</v>
      </c>
      <c r="C17" s="283">
        <v>3.21</v>
      </c>
      <c r="D17" s="284">
        <v>1</v>
      </c>
      <c r="E17" s="284">
        <v>1</v>
      </c>
      <c r="F17" s="284">
        <v>0</v>
      </c>
      <c r="G17" s="284">
        <v>4</v>
      </c>
      <c r="H17" s="285">
        <v>100</v>
      </c>
      <c r="I17" s="285">
        <v>0</v>
      </c>
      <c r="J17" s="285">
        <v>100</v>
      </c>
      <c r="K17" s="286">
        <v>0.25</v>
      </c>
      <c r="L17" s="287">
        <v>1</v>
      </c>
      <c r="M17" s="287">
        <v>0</v>
      </c>
      <c r="N17" s="288">
        <v>31.15</v>
      </c>
      <c r="O17" s="289">
        <v>0.31</v>
      </c>
      <c r="P17" s="289">
        <v>0</v>
      </c>
      <c r="Q17" s="290">
        <v>0.61</v>
      </c>
    </row>
    <row r="18" spans="1:17" ht="22.5" customHeight="1" x14ac:dyDescent="0.25">
      <c r="A18" s="281">
        <v>15</v>
      </c>
      <c r="B18" s="282" t="s">
        <v>324</v>
      </c>
      <c r="C18" s="283">
        <v>4.2939999999999996</v>
      </c>
      <c r="D18" s="284">
        <v>3</v>
      </c>
      <c r="E18" s="284">
        <v>2</v>
      </c>
      <c r="F18" s="284">
        <v>0</v>
      </c>
      <c r="G18" s="284">
        <v>15</v>
      </c>
      <c r="H18" s="285">
        <v>30</v>
      </c>
      <c r="I18" s="285">
        <v>0</v>
      </c>
      <c r="J18" s="285">
        <v>80</v>
      </c>
      <c r="K18" s="286">
        <v>0.2</v>
      </c>
      <c r="L18" s="287">
        <v>0.66669999999999996</v>
      </c>
      <c r="M18" s="287">
        <v>0</v>
      </c>
      <c r="N18" s="288">
        <v>6.99</v>
      </c>
      <c r="O18" s="289">
        <v>0.47</v>
      </c>
      <c r="P18" s="289">
        <v>0</v>
      </c>
      <c r="Q18" s="290">
        <v>0.57999999999999996</v>
      </c>
    </row>
    <row r="19" spans="1:17" ht="22.5" customHeight="1" x14ac:dyDescent="0.25">
      <c r="A19" s="281">
        <v>16</v>
      </c>
      <c r="B19" s="282" t="s">
        <v>430</v>
      </c>
      <c r="C19" s="283">
        <v>6.5069999999999997</v>
      </c>
      <c r="D19" s="284">
        <v>3</v>
      </c>
      <c r="E19" s="284">
        <v>3</v>
      </c>
      <c r="F19" s="284">
        <v>0</v>
      </c>
      <c r="G19" s="284">
        <v>28</v>
      </c>
      <c r="H19" s="285">
        <v>225</v>
      </c>
      <c r="I19" s="285">
        <v>0</v>
      </c>
      <c r="J19" s="285">
        <v>225</v>
      </c>
      <c r="K19" s="286">
        <v>0.1071</v>
      </c>
      <c r="L19" s="287">
        <v>1</v>
      </c>
      <c r="M19" s="287">
        <v>0</v>
      </c>
      <c r="N19" s="288">
        <v>34.58</v>
      </c>
      <c r="O19" s="289">
        <v>0.46</v>
      </c>
      <c r="P19" s="289">
        <v>0</v>
      </c>
      <c r="Q19" s="290">
        <v>0.56999999999999995</v>
      </c>
    </row>
    <row r="20" spans="1:17" ht="22.5" customHeight="1" x14ac:dyDescent="0.25">
      <c r="A20" s="281">
        <v>17</v>
      </c>
      <c r="B20" s="282" t="s">
        <v>417</v>
      </c>
      <c r="C20" s="283">
        <v>5.9039999999999999</v>
      </c>
      <c r="D20" s="284">
        <v>5</v>
      </c>
      <c r="E20" s="284">
        <v>2</v>
      </c>
      <c r="F20" s="284">
        <v>0</v>
      </c>
      <c r="G20" s="284">
        <v>25</v>
      </c>
      <c r="H20" s="285">
        <v>550</v>
      </c>
      <c r="I20" s="285">
        <v>0</v>
      </c>
      <c r="J20" s="285">
        <v>695</v>
      </c>
      <c r="K20" s="286">
        <v>0.2</v>
      </c>
      <c r="L20" s="287">
        <v>0.4</v>
      </c>
      <c r="M20" s="287">
        <v>0</v>
      </c>
      <c r="N20" s="288">
        <v>93.16</v>
      </c>
      <c r="O20" s="289">
        <v>0.34</v>
      </c>
      <c r="P20" s="289">
        <v>0</v>
      </c>
      <c r="Q20" s="290">
        <v>0.56999999999999995</v>
      </c>
    </row>
    <row r="21" spans="1:17" ht="22.5" customHeight="1" x14ac:dyDescent="0.25">
      <c r="A21" s="281">
        <v>18</v>
      </c>
      <c r="B21" s="282" t="s">
        <v>354</v>
      </c>
      <c r="C21" s="283">
        <v>5.3630000000000004</v>
      </c>
      <c r="D21" s="284">
        <v>2</v>
      </c>
      <c r="E21" s="284">
        <v>2</v>
      </c>
      <c r="F21" s="284">
        <v>0</v>
      </c>
      <c r="G21" s="284">
        <v>18</v>
      </c>
      <c r="H21" s="285">
        <v>100</v>
      </c>
      <c r="I21" s="285">
        <v>0</v>
      </c>
      <c r="J21" s="285">
        <v>100</v>
      </c>
      <c r="K21" s="286">
        <v>0.1111</v>
      </c>
      <c r="L21" s="287">
        <v>1</v>
      </c>
      <c r="M21" s="287">
        <v>0</v>
      </c>
      <c r="N21" s="288">
        <v>18.649999999999999</v>
      </c>
      <c r="O21" s="289">
        <v>0.37</v>
      </c>
      <c r="P21" s="289">
        <v>0</v>
      </c>
      <c r="Q21" s="290">
        <v>0.53</v>
      </c>
    </row>
    <row r="22" spans="1:17" ht="22.5" customHeight="1" x14ac:dyDescent="0.25">
      <c r="A22" s="281">
        <v>19</v>
      </c>
      <c r="B22" s="282" t="s">
        <v>341</v>
      </c>
      <c r="C22" s="283">
        <v>2.4060000000000001</v>
      </c>
      <c r="D22" s="284">
        <v>3</v>
      </c>
      <c r="E22" s="284">
        <v>1</v>
      </c>
      <c r="F22" s="284">
        <v>0</v>
      </c>
      <c r="G22" s="284">
        <v>8</v>
      </c>
      <c r="H22" s="285">
        <v>15</v>
      </c>
      <c r="I22" s="285">
        <v>0</v>
      </c>
      <c r="J22" s="285">
        <v>140</v>
      </c>
      <c r="K22" s="286">
        <v>0.375</v>
      </c>
      <c r="L22" s="287">
        <v>0.33329999999999999</v>
      </c>
      <c r="M22" s="287">
        <v>0</v>
      </c>
      <c r="N22" s="288">
        <v>6.23</v>
      </c>
      <c r="O22" s="289">
        <v>0.42</v>
      </c>
      <c r="P22" s="289">
        <v>0</v>
      </c>
      <c r="Q22" s="290">
        <v>0.53</v>
      </c>
    </row>
    <row r="23" spans="1:17" ht="22.5" customHeight="1" x14ac:dyDescent="0.25">
      <c r="A23" s="281">
        <v>20</v>
      </c>
      <c r="B23" s="282" t="s">
        <v>401</v>
      </c>
      <c r="C23" s="283">
        <v>5.9409999999999998</v>
      </c>
      <c r="D23" s="284">
        <v>7</v>
      </c>
      <c r="E23" s="284">
        <v>2</v>
      </c>
      <c r="F23" s="284">
        <v>0</v>
      </c>
      <c r="G23" s="284">
        <v>23</v>
      </c>
      <c r="H23" s="285">
        <v>70</v>
      </c>
      <c r="I23" s="285">
        <v>0</v>
      </c>
      <c r="J23" s="285">
        <v>235</v>
      </c>
      <c r="K23" s="286">
        <v>0.30430000000000001</v>
      </c>
      <c r="L23" s="287">
        <v>0.28570000000000001</v>
      </c>
      <c r="M23" s="287">
        <v>0</v>
      </c>
      <c r="N23" s="288">
        <v>11.78</v>
      </c>
      <c r="O23" s="289">
        <v>0.34</v>
      </c>
      <c r="P23" s="289">
        <v>0</v>
      </c>
      <c r="Q23" s="290">
        <v>0.52</v>
      </c>
    </row>
    <row r="24" spans="1:17" ht="22.5" customHeight="1" x14ac:dyDescent="0.25">
      <c r="A24" s="281">
        <v>21</v>
      </c>
      <c r="B24" s="282" t="s">
        <v>280</v>
      </c>
      <c r="C24" s="283">
        <v>6.1760000000000002</v>
      </c>
      <c r="D24" s="284">
        <v>6</v>
      </c>
      <c r="E24" s="284">
        <v>2</v>
      </c>
      <c r="F24" s="284">
        <v>0</v>
      </c>
      <c r="G24" s="284">
        <v>31</v>
      </c>
      <c r="H24" s="285">
        <v>170</v>
      </c>
      <c r="I24" s="285">
        <v>0</v>
      </c>
      <c r="J24" s="285">
        <v>305</v>
      </c>
      <c r="K24" s="286">
        <v>0.19350000000000001</v>
      </c>
      <c r="L24" s="287">
        <v>0.33329999999999999</v>
      </c>
      <c r="M24" s="287">
        <v>0</v>
      </c>
      <c r="N24" s="288">
        <v>27.53</v>
      </c>
      <c r="O24" s="289">
        <v>0.32</v>
      </c>
      <c r="P24" s="289">
        <v>0</v>
      </c>
      <c r="Q24" s="290">
        <v>0.51</v>
      </c>
    </row>
    <row r="25" spans="1:17" ht="22.5" customHeight="1" x14ac:dyDescent="0.25">
      <c r="A25" s="281">
        <v>22</v>
      </c>
      <c r="B25" s="282" t="s">
        <v>366</v>
      </c>
      <c r="C25" s="283">
        <v>11.218999999999999</v>
      </c>
      <c r="D25" s="284">
        <v>6</v>
      </c>
      <c r="E25" s="284">
        <v>4</v>
      </c>
      <c r="F25" s="284">
        <v>0</v>
      </c>
      <c r="G25" s="284">
        <v>60</v>
      </c>
      <c r="H25" s="285">
        <v>215</v>
      </c>
      <c r="I25" s="285">
        <v>0</v>
      </c>
      <c r="J25" s="285">
        <v>225</v>
      </c>
      <c r="K25" s="286">
        <v>0.1</v>
      </c>
      <c r="L25" s="287">
        <v>0.66669999999999996</v>
      </c>
      <c r="M25" s="287">
        <v>0</v>
      </c>
      <c r="N25" s="288">
        <v>19.16</v>
      </c>
      <c r="O25" s="289">
        <v>0.36</v>
      </c>
      <c r="P25" s="289">
        <v>0</v>
      </c>
      <c r="Q25" s="290">
        <v>0.5</v>
      </c>
    </row>
    <row r="26" spans="1:17" ht="22.5" customHeight="1" x14ac:dyDescent="0.25">
      <c r="A26" s="281">
        <v>23</v>
      </c>
      <c r="B26" s="282" t="s">
        <v>299</v>
      </c>
      <c r="C26" s="283">
        <v>3.286</v>
      </c>
      <c r="D26" s="284">
        <v>2</v>
      </c>
      <c r="E26" s="284">
        <v>1</v>
      </c>
      <c r="F26" s="284">
        <v>0</v>
      </c>
      <c r="G26" s="284">
        <v>14</v>
      </c>
      <c r="H26" s="285">
        <v>10</v>
      </c>
      <c r="I26" s="285">
        <v>0</v>
      </c>
      <c r="J26" s="285">
        <v>30</v>
      </c>
      <c r="K26" s="286">
        <v>0.1429</v>
      </c>
      <c r="L26" s="287">
        <v>0.5</v>
      </c>
      <c r="M26" s="287">
        <v>0</v>
      </c>
      <c r="N26" s="288">
        <v>3.04</v>
      </c>
      <c r="O26" s="289">
        <v>0.3</v>
      </c>
      <c r="P26" s="289">
        <v>0</v>
      </c>
      <c r="Q26" s="290">
        <v>0.44</v>
      </c>
    </row>
    <row r="27" spans="1:17" ht="22.5" customHeight="1" x14ac:dyDescent="0.25">
      <c r="A27" s="281">
        <v>24</v>
      </c>
      <c r="B27" s="282" t="s">
        <v>432</v>
      </c>
      <c r="C27" s="283">
        <v>7.806</v>
      </c>
      <c r="D27" s="284">
        <v>4</v>
      </c>
      <c r="E27" s="284">
        <v>2</v>
      </c>
      <c r="F27" s="284">
        <v>0</v>
      </c>
      <c r="G27" s="284">
        <v>34</v>
      </c>
      <c r="H27" s="285">
        <v>65</v>
      </c>
      <c r="I27" s="285">
        <v>0</v>
      </c>
      <c r="J27" s="285">
        <v>85</v>
      </c>
      <c r="K27" s="286">
        <v>0.1176</v>
      </c>
      <c r="L27" s="287">
        <v>0.5</v>
      </c>
      <c r="M27" s="287">
        <v>0</v>
      </c>
      <c r="N27" s="288">
        <v>8.33</v>
      </c>
      <c r="O27" s="289">
        <v>0.26</v>
      </c>
      <c r="P27" s="289">
        <v>0</v>
      </c>
      <c r="Q27" s="290">
        <v>0.43</v>
      </c>
    </row>
    <row r="28" spans="1:17" ht="22.5" customHeight="1" x14ac:dyDescent="0.25">
      <c r="A28" s="281">
        <v>25</v>
      </c>
      <c r="B28" s="282" t="s">
        <v>403</v>
      </c>
      <c r="C28" s="283">
        <v>4.3310000000000004</v>
      </c>
      <c r="D28" s="284">
        <v>2</v>
      </c>
      <c r="E28" s="284">
        <v>1</v>
      </c>
      <c r="F28" s="284">
        <v>0</v>
      </c>
      <c r="G28" s="284">
        <v>15</v>
      </c>
      <c r="H28" s="285">
        <v>25</v>
      </c>
      <c r="I28" s="285">
        <v>0</v>
      </c>
      <c r="J28" s="285">
        <v>75</v>
      </c>
      <c r="K28" s="286">
        <v>0.1333</v>
      </c>
      <c r="L28" s="287">
        <v>0.5</v>
      </c>
      <c r="M28" s="287">
        <v>0</v>
      </c>
      <c r="N28" s="288">
        <v>5.77</v>
      </c>
      <c r="O28" s="289">
        <v>0.23</v>
      </c>
      <c r="P28" s="289">
        <v>0</v>
      </c>
      <c r="Q28" s="290">
        <v>0.43</v>
      </c>
    </row>
    <row r="29" spans="1:17" ht="22.5" customHeight="1" x14ac:dyDescent="0.25">
      <c r="A29" s="281">
        <v>26</v>
      </c>
      <c r="B29" s="282" t="s">
        <v>351</v>
      </c>
      <c r="C29" s="283">
        <v>3.6829999999999998</v>
      </c>
      <c r="D29" s="284">
        <v>2</v>
      </c>
      <c r="E29" s="284">
        <v>1</v>
      </c>
      <c r="F29" s="284">
        <v>0</v>
      </c>
      <c r="G29" s="284">
        <v>19</v>
      </c>
      <c r="H29" s="285">
        <v>25</v>
      </c>
      <c r="I29" s="285">
        <v>0</v>
      </c>
      <c r="J29" s="285">
        <v>75</v>
      </c>
      <c r="K29" s="286">
        <v>0.1053</v>
      </c>
      <c r="L29" s="287">
        <v>0.5</v>
      </c>
      <c r="M29" s="287">
        <v>0</v>
      </c>
      <c r="N29" s="288">
        <v>6.79</v>
      </c>
      <c r="O29" s="289">
        <v>0.27</v>
      </c>
      <c r="P29" s="289">
        <v>0</v>
      </c>
      <c r="Q29" s="290">
        <v>0.42</v>
      </c>
    </row>
    <row r="30" spans="1:17" ht="22.5" customHeight="1" x14ac:dyDescent="0.25">
      <c r="A30" s="281">
        <v>27</v>
      </c>
      <c r="B30" s="282" t="s">
        <v>375</v>
      </c>
      <c r="C30" s="283">
        <v>13.169</v>
      </c>
      <c r="D30" s="284">
        <v>3</v>
      </c>
      <c r="E30" s="284">
        <v>2</v>
      </c>
      <c r="F30" s="284">
        <v>0</v>
      </c>
      <c r="G30" s="284">
        <v>18</v>
      </c>
      <c r="H30" s="285">
        <v>20</v>
      </c>
      <c r="I30" s="285">
        <v>0</v>
      </c>
      <c r="J30" s="285">
        <v>30</v>
      </c>
      <c r="K30" s="286">
        <v>0.16669999999999999</v>
      </c>
      <c r="L30" s="287">
        <v>0.66669999999999996</v>
      </c>
      <c r="M30" s="287">
        <v>0</v>
      </c>
      <c r="N30" s="288">
        <v>1.52</v>
      </c>
      <c r="O30" s="289">
        <v>0.15</v>
      </c>
      <c r="P30" s="289">
        <v>0</v>
      </c>
      <c r="Q30" s="290">
        <v>0.42</v>
      </c>
    </row>
    <row r="31" spans="1:17" ht="22.5" customHeight="1" x14ac:dyDescent="0.25">
      <c r="A31" s="281">
        <v>28</v>
      </c>
      <c r="B31" s="282" t="s">
        <v>360</v>
      </c>
      <c r="C31" s="283">
        <v>4.5940000000000003</v>
      </c>
      <c r="D31" s="284">
        <v>2</v>
      </c>
      <c r="E31" s="284">
        <v>1</v>
      </c>
      <c r="F31" s="284">
        <v>0</v>
      </c>
      <c r="G31" s="284">
        <v>21</v>
      </c>
      <c r="H31" s="285">
        <v>120</v>
      </c>
      <c r="I31" s="285">
        <v>0</v>
      </c>
      <c r="J31" s="285">
        <v>125</v>
      </c>
      <c r="K31" s="286">
        <v>9.5200000000000007E-2</v>
      </c>
      <c r="L31" s="287">
        <v>0.5</v>
      </c>
      <c r="M31" s="287">
        <v>0</v>
      </c>
      <c r="N31" s="288">
        <v>26.12</v>
      </c>
      <c r="O31" s="289">
        <v>0.22</v>
      </c>
      <c r="P31" s="289">
        <v>0</v>
      </c>
      <c r="Q31" s="290">
        <v>0.42</v>
      </c>
    </row>
    <row r="32" spans="1:17" ht="22.5" customHeight="1" x14ac:dyDescent="0.25">
      <c r="A32" s="281">
        <v>29</v>
      </c>
      <c r="B32" s="282" t="s">
        <v>332</v>
      </c>
      <c r="C32" s="283">
        <v>5.1319999999999997</v>
      </c>
      <c r="D32" s="284">
        <v>1</v>
      </c>
      <c r="E32" s="284">
        <v>1</v>
      </c>
      <c r="F32" s="284">
        <v>0</v>
      </c>
      <c r="G32" s="284">
        <v>12</v>
      </c>
      <c r="H32" s="285">
        <v>10</v>
      </c>
      <c r="I32" s="285">
        <v>0</v>
      </c>
      <c r="J32" s="285">
        <v>10</v>
      </c>
      <c r="K32" s="286">
        <v>8.3299999999999999E-2</v>
      </c>
      <c r="L32" s="287">
        <v>1</v>
      </c>
      <c r="M32" s="287">
        <v>0</v>
      </c>
      <c r="N32" s="288">
        <v>1.95</v>
      </c>
      <c r="O32" s="289">
        <v>0.19</v>
      </c>
      <c r="P32" s="289">
        <v>0</v>
      </c>
      <c r="Q32" s="290">
        <v>0.4</v>
      </c>
    </row>
    <row r="33" spans="1:17" ht="22.5" customHeight="1" x14ac:dyDescent="0.25">
      <c r="A33" s="281">
        <v>30</v>
      </c>
      <c r="B33" s="282" t="s">
        <v>291</v>
      </c>
      <c r="C33" s="283">
        <v>5.4320000000000004</v>
      </c>
      <c r="D33" s="284">
        <v>1</v>
      </c>
      <c r="E33" s="284">
        <v>1</v>
      </c>
      <c r="F33" s="284">
        <v>0</v>
      </c>
      <c r="G33" s="284">
        <v>28</v>
      </c>
      <c r="H33" s="285">
        <v>50</v>
      </c>
      <c r="I33" s="285">
        <v>0</v>
      </c>
      <c r="J33" s="285">
        <v>50</v>
      </c>
      <c r="K33" s="286">
        <v>3.5700000000000003E-2</v>
      </c>
      <c r="L33" s="287">
        <v>1</v>
      </c>
      <c r="M33" s="287">
        <v>0</v>
      </c>
      <c r="N33" s="288">
        <v>9.1999999999999993</v>
      </c>
      <c r="O33" s="289">
        <v>0.18</v>
      </c>
      <c r="P33" s="289">
        <v>0</v>
      </c>
      <c r="Q33" s="290">
        <v>0.4</v>
      </c>
    </row>
    <row r="34" spans="1:17" ht="22.5" customHeight="1" x14ac:dyDescent="0.25">
      <c r="A34" s="281">
        <v>31</v>
      </c>
      <c r="B34" s="282" t="s">
        <v>317</v>
      </c>
      <c r="C34" s="283">
        <v>6.0419999999999998</v>
      </c>
      <c r="D34" s="284">
        <v>5</v>
      </c>
      <c r="E34" s="284">
        <v>1</v>
      </c>
      <c r="F34" s="284">
        <v>0</v>
      </c>
      <c r="G34" s="284">
        <v>29</v>
      </c>
      <c r="H34" s="285">
        <v>50</v>
      </c>
      <c r="I34" s="285">
        <v>0</v>
      </c>
      <c r="J34" s="285">
        <v>165</v>
      </c>
      <c r="K34" s="286">
        <v>0.1724</v>
      </c>
      <c r="L34" s="287">
        <v>0.2</v>
      </c>
      <c r="M34" s="287">
        <v>0</v>
      </c>
      <c r="N34" s="288">
        <v>8.2799999999999994</v>
      </c>
      <c r="O34" s="289">
        <v>0.17</v>
      </c>
      <c r="P34" s="289">
        <v>0</v>
      </c>
      <c r="Q34" s="290">
        <v>0.39</v>
      </c>
    </row>
    <row r="35" spans="1:17" ht="22.5" customHeight="1" x14ac:dyDescent="0.25">
      <c r="A35" s="281">
        <v>32</v>
      </c>
      <c r="B35" s="282" t="s">
        <v>305</v>
      </c>
      <c r="C35" s="283">
        <v>6.2320000000000002</v>
      </c>
      <c r="D35" s="284">
        <v>1</v>
      </c>
      <c r="E35" s="284">
        <v>1</v>
      </c>
      <c r="F35" s="284">
        <v>0</v>
      </c>
      <c r="G35" s="284">
        <v>15</v>
      </c>
      <c r="H35" s="285">
        <v>25</v>
      </c>
      <c r="I35" s="285">
        <v>0</v>
      </c>
      <c r="J35" s="285">
        <v>25</v>
      </c>
      <c r="K35" s="286">
        <v>6.6699999999999995E-2</v>
      </c>
      <c r="L35" s="287">
        <v>1</v>
      </c>
      <c r="M35" s="287">
        <v>0</v>
      </c>
      <c r="N35" s="288">
        <v>4.01</v>
      </c>
      <c r="O35" s="289">
        <v>0.16</v>
      </c>
      <c r="P35" s="289">
        <v>0</v>
      </c>
      <c r="Q35" s="290">
        <v>0.38</v>
      </c>
    </row>
    <row r="36" spans="1:17" ht="22.5" customHeight="1" x14ac:dyDescent="0.25">
      <c r="A36" s="281">
        <v>33</v>
      </c>
      <c r="B36" s="282" t="s">
        <v>385</v>
      </c>
      <c r="C36" s="283">
        <v>11.342000000000001</v>
      </c>
      <c r="D36" s="284">
        <v>5</v>
      </c>
      <c r="E36" s="284">
        <v>1</v>
      </c>
      <c r="F36" s="284">
        <v>0</v>
      </c>
      <c r="G36" s="284">
        <v>28</v>
      </c>
      <c r="H36" s="285">
        <v>50</v>
      </c>
      <c r="I36" s="285">
        <v>0</v>
      </c>
      <c r="J36" s="285">
        <v>140</v>
      </c>
      <c r="K36" s="286">
        <v>0.17860000000000001</v>
      </c>
      <c r="L36" s="287">
        <v>0.2</v>
      </c>
      <c r="M36" s="287">
        <v>0</v>
      </c>
      <c r="N36" s="288">
        <v>4.41</v>
      </c>
      <c r="O36" s="289">
        <v>0.09</v>
      </c>
      <c r="P36" s="289">
        <v>0</v>
      </c>
      <c r="Q36" s="290">
        <v>0.37</v>
      </c>
    </row>
    <row r="37" spans="1:17" ht="22.5" customHeight="1" x14ac:dyDescent="0.25">
      <c r="A37" s="281">
        <v>34</v>
      </c>
      <c r="B37" s="282" t="s">
        <v>308</v>
      </c>
      <c r="C37" s="283">
        <v>5.952</v>
      </c>
      <c r="D37" s="284">
        <v>5</v>
      </c>
      <c r="E37" s="284">
        <v>1</v>
      </c>
      <c r="F37" s="284">
        <v>0</v>
      </c>
      <c r="G37" s="284">
        <v>29</v>
      </c>
      <c r="H37" s="285">
        <v>20</v>
      </c>
      <c r="I37" s="285">
        <v>0</v>
      </c>
      <c r="J37" s="285">
        <v>165</v>
      </c>
      <c r="K37" s="286">
        <v>0.1724</v>
      </c>
      <c r="L37" s="287">
        <v>0.2</v>
      </c>
      <c r="M37" s="287">
        <v>0</v>
      </c>
      <c r="N37" s="288">
        <v>3.36</v>
      </c>
      <c r="O37" s="289">
        <v>0.17</v>
      </c>
      <c r="P37" s="289">
        <v>0</v>
      </c>
      <c r="Q37" s="290">
        <v>0.37</v>
      </c>
    </row>
    <row r="38" spans="1:17" ht="22.5" customHeight="1" x14ac:dyDescent="0.25">
      <c r="A38" s="281">
        <v>35</v>
      </c>
      <c r="B38" s="282" t="s">
        <v>271</v>
      </c>
      <c r="C38" s="283">
        <v>5.1280000000000001</v>
      </c>
      <c r="D38" s="284">
        <v>1</v>
      </c>
      <c r="E38" s="284">
        <v>1</v>
      </c>
      <c r="F38" s="284">
        <v>0</v>
      </c>
      <c r="G38" s="284">
        <v>24</v>
      </c>
      <c r="H38" s="285">
        <v>5</v>
      </c>
      <c r="I38" s="285">
        <v>0</v>
      </c>
      <c r="J38" s="285">
        <v>5</v>
      </c>
      <c r="K38" s="286">
        <v>4.1700000000000001E-2</v>
      </c>
      <c r="L38" s="287">
        <v>1</v>
      </c>
      <c r="M38" s="287">
        <v>0</v>
      </c>
      <c r="N38" s="288">
        <v>0.98</v>
      </c>
      <c r="O38" s="289">
        <v>0.2</v>
      </c>
      <c r="P38" s="289">
        <v>0</v>
      </c>
      <c r="Q38" s="290">
        <v>0.36</v>
      </c>
    </row>
    <row r="39" spans="1:17" ht="22.5" customHeight="1" x14ac:dyDescent="0.25">
      <c r="A39" s="281">
        <v>36</v>
      </c>
      <c r="B39" s="282" t="s">
        <v>290</v>
      </c>
      <c r="C39" s="283">
        <v>4.5350000000000001</v>
      </c>
      <c r="D39" s="284">
        <v>2</v>
      </c>
      <c r="E39" s="284">
        <v>1</v>
      </c>
      <c r="F39" s="284">
        <v>0</v>
      </c>
      <c r="G39" s="284">
        <v>20</v>
      </c>
      <c r="H39" s="285">
        <v>5</v>
      </c>
      <c r="I39" s="285">
        <v>0</v>
      </c>
      <c r="J39" s="285">
        <v>55</v>
      </c>
      <c r="K39" s="286">
        <v>0.1</v>
      </c>
      <c r="L39" s="287">
        <v>0.5</v>
      </c>
      <c r="M39" s="287">
        <v>0</v>
      </c>
      <c r="N39" s="288">
        <v>1.1000000000000001</v>
      </c>
      <c r="O39" s="289">
        <v>0.22</v>
      </c>
      <c r="P39" s="289">
        <v>0</v>
      </c>
      <c r="Q39" s="290">
        <v>0.36</v>
      </c>
    </row>
    <row r="40" spans="1:17" ht="22.5" customHeight="1" x14ac:dyDescent="0.25">
      <c r="A40" s="281">
        <v>37</v>
      </c>
      <c r="B40" s="282" t="s">
        <v>286</v>
      </c>
      <c r="C40" s="283">
        <v>5.1609999999999996</v>
      </c>
      <c r="D40" s="284">
        <v>2</v>
      </c>
      <c r="E40" s="284">
        <v>1</v>
      </c>
      <c r="F40" s="284">
        <v>0</v>
      </c>
      <c r="G40" s="284">
        <v>24</v>
      </c>
      <c r="H40" s="285">
        <v>15</v>
      </c>
      <c r="I40" s="285">
        <v>0</v>
      </c>
      <c r="J40" s="285">
        <v>65</v>
      </c>
      <c r="K40" s="286">
        <v>8.3299999999999999E-2</v>
      </c>
      <c r="L40" s="287">
        <v>0.5</v>
      </c>
      <c r="M40" s="287">
        <v>0</v>
      </c>
      <c r="N40" s="288">
        <v>2.91</v>
      </c>
      <c r="O40" s="289">
        <v>0.19</v>
      </c>
      <c r="P40" s="289">
        <v>0</v>
      </c>
      <c r="Q40" s="290">
        <v>0.34</v>
      </c>
    </row>
    <row r="41" spans="1:17" ht="22.5" customHeight="1" x14ac:dyDescent="0.25">
      <c r="A41" s="281">
        <v>38</v>
      </c>
      <c r="B41" s="282" t="s">
        <v>392</v>
      </c>
      <c r="C41" s="283">
        <v>4.9409999999999998</v>
      </c>
      <c r="D41" s="284">
        <v>2</v>
      </c>
      <c r="E41" s="284">
        <v>1</v>
      </c>
      <c r="F41" s="284">
        <v>0</v>
      </c>
      <c r="G41" s="284">
        <v>29</v>
      </c>
      <c r="H41" s="285">
        <v>5</v>
      </c>
      <c r="I41" s="285">
        <v>0</v>
      </c>
      <c r="J41" s="285">
        <v>10</v>
      </c>
      <c r="K41" s="286">
        <v>6.9000000000000006E-2</v>
      </c>
      <c r="L41" s="287">
        <v>0.5</v>
      </c>
      <c r="M41" s="287">
        <v>0</v>
      </c>
      <c r="N41" s="288">
        <v>1.01</v>
      </c>
      <c r="O41" s="289">
        <v>0.2</v>
      </c>
      <c r="P41" s="289">
        <v>0</v>
      </c>
      <c r="Q41" s="290">
        <v>0.33</v>
      </c>
    </row>
    <row r="42" spans="1:17" ht="22.5" customHeight="1" x14ac:dyDescent="0.25">
      <c r="A42" s="281">
        <v>39</v>
      </c>
      <c r="B42" s="282" t="s">
        <v>352</v>
      </c>
      <c r="C42" s="283">
        <v>6.1379999999999999</v>
      </c>
      <c r="D42" s="284">
        <v>4</v>
      </c>
      <c r="E42" s="284">
        <v>1</v>
      </c>
      <c r="F42" s="284">
        <v>0</v>
      </c>
      <c r="G42" s="284">
        <v>31</v>
      </c>
      <c r="H42" s="285">
        <v>10</v>
      </c>
      <c r="I42" s="285">
        <v>0</v>
      </c>
      <c r="J42" s="285">
        <v>35</v>
      </c>
      <c r="K42" s="286">
        <v>0.129</v>
      </c>
      <c r="L42" s="287">
        <v>0.25</v>
      </c>
      <c r="M42" s="287">
        <v>0</v>
      </c>
      <c r="N42" s="288">
        <v>1.63</v>
      </c>
      <c r="O42" s="289">
        <v>0.16</v>
      </c>
      <c r="P42" s="289">
        <v>0</v>
      </c>
      <c r="Q42" s="290">
        <v>0.33</v>
      </c>
    </row>
    <row r="43" spans="1:17" ht="22.5" customHeight="1" x14ac:dyDescent="0.25">
      <c r="A43" s="281">
        <v>40</v>
      </c>
      <c r="B43" s="282" t="s">
        <v>336</v>
      </c>
      <c r="C43" s="283">
        <v>8.4429999999999996</v>
      </c>
      <c r="D43" s="284">
        <v>4</v>
      </c>
      <c r="E43" s="284">
        <v>1</v>
      </c>
      <c r="F43" s="284">
        <v>0</v>
      </c>
      <c r="G43" s="284">
        <v>54</v>
      </c>
      <c r="H43" s="285">
        <v>100</v>
      </c>
      <c r="I43" s="285">
        <v>0</v>
      </c>
      <c r="J43" s="285">
        <v>410</v>
      </c>
      <c r="K43" s="286">
        <v>7.4099999999999999E-2</v>
      </c>
      <c r="L43" s="287">
        <v>0.25</v>
      </c>
      <c r="M43" s="287">
        <v>0</v>
      </c>
      <c r="N43" s="288">
        <v>11.84</v>
      </c>
      <c r="O43" s="289">
        <v>0.12</v>
      </c>
      <c r="P43" s="289">
        <v>0</v>
      </c>
      <c r="Q43" s="290">
        <v>0.31</v>
      </c>
    </row>
    <row r="44" spans="1:17" ht="22.5" customHeight="1" x14ac:dyDescent="0.25">
      <c r="A44" s="281">
        <v>41</v>
      </c>
      <c r="B44" s="282" t="s">
        <v>405</v>
      </c>
      <c r="C44" s="283">
        <v>9.5079999999999991</v>
      </c>
      <c r="D44" s="284">
        <v>3</v>
      </c>
      <c r="E44" s="284">
        <v>1</v>
      </c>
      <c r="F44" s="284">
        <v>0</v>
      </c>
      <c r="G44" s="284">
        <v>51</v>
      </c>
      <c r="H44" s="285">
        <v>20</v>
      </c>
      <c r="I44" s="285">
        <v>0</v>
      </c>
      <c r="J44" s="285">
        <v>95</v>
      </c>
      <c r="K44" s="286">
        <v>5.8799999999999998E-2</v>
      </c>
      <c r="L44" s="287">
        <v>0.33329999999999999</v>
      </c>
      <c r="M44" s="287">
        <v>0</v>
      </c>
      <c r="N44" s="288">
        <v>2.1</v>
      </c>
      <c r="O44" s="289">
        <v>0.11</v>
      </c>
      <c r="P44" s="289">
        <v>0</v>
      </c>
      <c r="Q44" s="290">
        <v>0.26</v>
      </c>
    </row>
    <row r="45" spans="1:17" ht="22.5" customHeight="1" x14ac:dyDescent="0.25">
      <c r="A45" s="281">
        <v>42</v>
      </c>
      <c r="B45" s="282" t="s">
        <v>326</v>
      </c>
      <c r="C45" s="283">
        <v>2.6659999999999999</v>
      </c>
      <c r="D45" s="284">
        <v>5</v>
      </c>
      <c r="E45" s="284">
        <v>0</v>
      </c>
      <c r="F45" s="284">
        <v>0</v>
      </c>
      <c r="G45" s="284">
        <v>12</v>
      </c>
      <c r="H45" s="285">
        <v>0</v>
      </c>
      <c r="I45" s="285">
        <v>0</v>
      </c>
      <c r="J45" s="285">
        <v>65</v>
      </c>
      <c r="K45" s="286">
        <v>0.41670000000000001</v>
      </c>
      <c r="L45" s="287">
        <v>0</v>
      </c>
      <c r="M45" s="287">
        <v>0</v>
      </c>
      <c r="N45" s="288">
        <v>0</v>
      </c>
      <c r="O45" s="289">
        <v>0</v>
      </c>
      <c r="P45" s="289">
        <v>0</v>
      </c>
      <c r="Q45" s="290">
        <v>0.21</v>
      </c>
    </row>
    <row r="46" spans="1:17" ht="22.5" customHeight="1" x14ac:dyDescent="0.25">
      <c r="A46" s="281">
        <v>43</v>
      </c>
      <c r="B46" s="282" t="s">
        <v>359</v>
      </c>
      <c r="C46" s="283">
        <v>2.9790000000000001</v>
      </c>
      <c r="D46" s="284">
        <v>2</v>
      </c>
      <c r="E46" s="284">
        <v>0</v>
      </c>
      <c r="F46" s="284">
        <v>0</v>
      </c>
      <c r="G46" s="284">
        <v>8</v>
      </c>
      <c r="H46" s="285">
        <v>0</v>
      </c>
      <c r="I46" s="285">
        <v>0</v>
      </c>
      <c r="J46" s="285">
        <v>45</v>
      </c>
      <c r="K46" s="286">
        <v>0.25</v>
      </c>
      <c r="L46" s="287">
        <v>0</v>
      </c>
      <c r="M46" s="287">
        <v>0</v>
      </c>
      <c r="N46" s="288">
        <v>0</v>
      </c>
      <c r="O46" s="289">
        <v>0</v>
      </c>
      <c r="P46" s="289">
        <v>0</v>
      </c>
      <c r="Q46" s="290">
        <v>0.19</v>
      </c>
    </row>
    <row r="47" spans="1:17" ht="22.5" customHeight="1" x14ac:dyDescent="0.25">
      <c r="A47" s="281">
        <v>44</v>
      </c>
      <c r="B47" s="282" t="s">
        <v>330</v>
      </c>
      <c r="C47" s="283">
        <v>4.1580000000000004</v>
      </c>
      <c r="D47" s="284">
        <v>5</v>
      </c>
      <c r="E47" s="284">
        <v>0</v>
      </c>
      <c r="F47" s="284">
        <v>0</v>
      </c>
      <c r="G47" s="284">
        <v>30</v>
      </c>
      <c r="H47" s="285">
        <v>0</v>
      </c>
      <c r="I47" s="285">
        <v>0</v>
      </c>
      <c r="J47" s="285">
        <v>195</v>
      </c>
      <c r="K47" s="286">
        <v>0.16669999999999999</v>
      </c>
      <c r="L47" s="287">
        <v>0</v>
      </c>
      <c r="M47" s="287">
        <v>0</v>
      </c>
      <c r="N47" s="288">
        <v>0</v>
      </c>
      <c r="O47" s="289">
        <v>0</v>
      </c>
      <c r="P47" s="289">
        <v>0</v>
      </c>
      <c r="Q47" s="290">
        <v>0.15</v>
      </c>
    </row>
    <row r="48" spans="1:17" ht="22.5" customHeight="1" x14ac:dyDescent="0.25">
      <c r="A48" s="281">
        <v>45</v>
      </c>
      <c r="B48" s="282" t="s">
        <v>321</v>
      </c>
      <c r="C48" s="283">
        <v>4.3339999999999996</v>
      </c>
      <c r="D48" s="284">
        <v>2</v>
      </c>
      <c r="E48" s="284">
        <v>0</v>
      </c>
      <c r="F48" s="284">
        <v>0</v>
      </c>
      <c r="G48" s="284">
        <v>15</v>
      </c>
      <c r="H48" s="285">
        <v>0</v>
      </c>
      <c r="I48" s="285">
        <v>0</v>
      </c>
      <c r="J48" s="285">
        <v>30</v>
      </c>
      <c r="K48" s="286">
        <v>0.1333</v>
      </c>
      <c r="L48" s="287">
        <v>0</v>
      </c>
      <c r="M48" s="287">
        <v>0</v>
      </c>
      <c r="N48" s="288">
        <v>0</v>
      </c>
      <c r="O48" s="289">
        <v>0</v>
      </c>
      <c r="P48" s="289">
        <v>0</v>
      </c>
      <c r="Q48" s="290">
        <v>0.13</v>
      </c>
    </row>
    <row r="49" spans="1:17" ht="22.5" customHeight="1" x14ac:dyDescent="0.25">
      <c r="A49" s="281">
        <v>46</v>
      </c>
      <c r="B49" s="282" t="s">
        <v>435</v>
      </c>
      <c r="C49" s="283">
        <v>4.8099999999999996</v>
      </c>
      <c r="D49" s="284">
        <v>2</v>
      </c>
      <c r="E49" s="284">
        <v>0</v>
      </c>
      <c r="F49" s="284">
        <v>0</v>
      </c>
      <c r="G49" s="284">
        <v>20</v>
      </c>
      <c r="H49" s="285">
        <v>0</v>
      </c>
      <c r="I49" s="285">
        <v>0</v>
      </c>
      <c r="J49" s="285">
        <v>25</v>
      </c>
      <c r="K49" s="286">
        <v>0.1</v>
      </c>
      <c r="L49" s="287">
        <v>0</v>
      </c>
      <c r="M49" s="287">
        <v>0</v>
      </c>
      <c r="N49" s="288">
        <v>0</v>
      </c>
      <c r="O49" s="289">
        <v>0</v>
      </c>
      <c r="P49" s="289">
        <v>0</v>
      </c>
      <c r="Q49" s="290">
        <v>0.09</v>
      </c>
    </row>
    <row r="50" spans="1:17" ht="22.5" customHeight="1" x14ac:dyDescent="0.25">
      <c r="A50" s="281">
        <v>47</v>
      </c>
      <c r="B50" s="282" t="s">
        <v>389</v>
      </c>
      <c r="C50" s="283">
        <v>6.3890000000000002</v>
      </c>
      <c r="D50" s="284">
        <v>3</v>
      </c>
      <c r="E50" s="284">
        <v>0</v>
      </c>
      <c r="F50" s="284">
        <v>0</v>
      </c>
      <c r="G50" s="284">
        <v>45</v>
      </c>
      <c r="H50" s="285">
        <v>0</v>
      </c>
      <c r="I50" s="285">
        <v>0</v>
      </c>
      <c r="J50" s="285">
        <v>25</v>
      </c>
      <c r="K50" s="286">
        <v>6.6699999999999995E-2</v>
      </c>
      <c r="L50" s="287">
        <v>0</v>
      </c>
      <c r="M50" s="287">
        <v>0</v>
      </c>
      <c r="N50" s="288">
        <v>0</v>
      </c>
      <c r="O50" s="289">
        <v>0</v>
      </c>
      <c r="P50" s="289">
        <v>0</v>
      </c>
      <c r="Q50" s="290">
        <v>0.06</v>
      </c>
    </row>
    <row r="51" spans="1:17" ht="22.5" customHeight="1" x14ac:dyDescent="0.25">
      <c r="A51" s="281">
        <v>48</v>
      </c>
      <c r="B51" s="282" t="s">
        <v>328</v>
      </c>
      <c r="C51" s="283">
        <v>6.8650000000000002</v>
      </c>
      <c r="D51" s="284">
        <v>1</v>
      </c>
      <c r="E51" s="284">
        <v>0</v>
      </c>
      <c r="F51" s="284">
        <v>0</v>
      </c>
      <c r="G51" s="284">
        <v>15</v>
      </c>
      <c r="H51" s="285">
        <v>0</v>
      </c>
      <c r="I51" s="285">
        <v>0</v>
      </c>
      <c r="J51" s="285">
        <v>5</v>
      </c>
      <c r="K51" s="286">
        <v>6.6699999999999995E-2</v>
      </c>
      <c r="L51" s="287">
        <v>0</v>
      </c>
      <c r="M51" s="287">
        <v>0</v>
      </c>
      <c r="N51" s="288">
        <v>0</v>
      </c>
      <c r="O51" s="289">
        <v>0</v>
      </c>
      <c r="P51" s="289">
        <v>0</v>
      </c>
      <c r="Q51" s="290">
        <v>0.06</v>
      </c>
    </row>
    <row r="52" spans="1:17" ht="22.5" customHeight="1" x14ac:dyDescent="0.25">
      <c r="A52" s="281">
        <v>49</v>
      </c>
      <c r="B52" s="282" t="s">
        <v>408</v>
      </c>
      <c r="C52" s="283">
        <v>2.1480000000000001</v>
      </c>
      <c r="D52" s="284">
        <v>1</v>
      </c>
      <c r="E52" s="284">
        <v>0</v>
      </c>
      <c r="F52" s="284">
        <v>0</v>
      </c>
      <c r="G52" s="284">
        <v>16</v>
      </c>
      <c r="H52" s="285">
        <v>0</v>
      </c>
      <c r="I52" s="285">
        <v>0</v>
      </c>
      <c r="J52" s="285">
        <v>120</v>
      </c>
      <c r="K52" s="286">
        <v>6.25E-2</v>
      </c>
      <c r="L52" s="287">
        <v>0</v>
      </c>
      <c r="M52" s="287">
        <v>0</v>
      </c>
      <c r="N52" s="288">
        <v>0</v>
      </c>
      <c r="O52" s="289">
        <v>0</v>
      </c>
      <c r="P52" s="289">
        <v>0</v>
      </c>
      <c r="Q52" s="290">
        <v>0.06</v>
      </c>
    </row>
    <row r="53" spans="1:17" ht="22.5" customHeight="1" x14ac:dyDescent="0.25">
      <c r="A53" s="281">
        <v>50</v>
      </c>
      <c r="B53" s="282" t="s">
        <v>379</v>
      </c>
      <c r="C53" s="283">
        <v>6.2690000000000001</v>
      </c>
      <c r="D53" s="284">
        <v>1</v>
      </c>
      <c r="E53" s="284">
        <v>0</v>
      </c>
      <c r="F53" s="284">
        <v>0</v>
      </c>
      <c r="G53" s="284">
        <v>20</v>
      </c>
      <c r="H53" s="285">
        <v>0</v>
      </c>
      <c r="I53" s="285">
        <v>0</v>
      </c>
      <c r="J53" s="285">
        <v>200</v>
      </c>
      <c r="K53" s="286">
        <v>0.05</v>
      </c>
      <c r="L53" s="287">
        <v>0</v>
      </c>
      <c r="M53" s="287">
        <v>0</v>
      </c>
      <c r="N53" s="288">
        <v>0</v>
      </c>
      <c r="O53" s="289">
        <v>0</v>
      </c>
      <c r="P53" s="289">
        <v>0</v>
      </c>
      <c r="Q53" s="290">
        <v>0.05</v>
      </c>
    </row>
    <row r="54" spans="1:17" ht="22.5" customHeight="1" x14ac:dyDescent="0.25">
      <c r="A54" s="281">
        <v>51</v>
      </c>
      <c r="B54" s="282" t="s">
        <v>295</v>
      </c>
      <c r="C54" s="283">
        <v>0.79600000000000004</v>
      </c>
      <c r="D54" s="284">
        <v>0</v>
      </c>
      <c r="E54" s="284">
        <v>0</v>
      </c>
      <c r="F54" s="284">
        <v>0</v>
      </c>
      <c r="G54" s="284">
        <v>2</v>
      </c>
      <c r="H54" s="285">
        <v>0</v>
      </c>
      <c r="I54" s="285">
        <v>0</v>
      </c>
      <c r="J54" s="285">
        <v>0</v>
      </c>
      <c r="K54" s="286">
        <v>0</v>
      </c>
      <c r="L54" s="287">
        <v>0</v>
      </c>
      <c r="M54" s="287">
        <v>0</v>
      </c>
      <c r="N54" s="288">
        <v>0</v>
      </c>
      <c r="O54" s="289">
        <v>0</v>
      </c>
      <c r="P54" s="289">
        <v>0</v>
      </c>
      <c r="Q54" s="290">
        <v>0.02</v>
      </c>
    </row>
    <row r="55" spans="1:17" ht="22.5" customHeight="1" x14ac:dyDescent="0.25">
      <c r="A55" s="281">
        <v>52</v>
      </c>
      <c r="B55" s="282" t="s">
        <v>371</v>
      </c>
      <c r="C55" s="283">
        <v>0.60799999999999998</v>
      </c>
      <c r="D55" s="284">
        <v>0</v>
      </c>
      <c r="E55" s="284">
        <v>0</v>
      </c>
      <c r="F55" s="284">
        <v>0</v>
      </c>
      <c r="G55" s="284">
        <v>6</v>
      </c>
      <c r="H55" s="285">
        <v>0</v>
      </c>
      <c r="I55" s="285">
        <v>0</v>
      </c>
      <c r="J55" s="285">
        <v>0</v>
      </c>
      <c r="K55" s="286">
        <v>0</v>
      </c>
      <c r="L55" s="287">
        <v>0</v>
      </c>
      <c r="M55" s="287">
        <v>0</v>
      </c>
      <c r="N55" s="288">
        <v>0</v>
      </c>
      <c r="O55" s="289">
        <v>0</v>
      </c>
      <c r="P55" s="289">
        <v>0</v>
      </c>
      <c r="Q55" s="290">
        <v>0.02</v>
      </c>
    </row>
    <row r="56" spans="1:17" ht="22.5" customHeight="1" x14ac:dyDescent="0.25">
      <c r="A56" s="281">
        <v>53</v>
      </c>
      <c r="B56" s="282" t="s">
        <v>355</v>
      </c>
      <c r="C56" s="283">
        <v>1.042</v>
      </c>
      <c r="D56" s="284">
        <v>0</v>
      </c>
      <c r="E56" s="284">
        <v>0</v>
      </c>
      <c r="F56" s="284">
        <v>0</v>
      </c>
      <c r="G56" s="284">
        <v>2</v>
      </c>
      <c r="H56" s="285">
        <v>0</v>
      </c>
      <c r="I56" s="285">
        <v>0</v>
      </c>
      <c r="J56" s="285">
        <v>0</v>
      </c>
      <c r="K56" s="286">
        <v>0</v>
      </c>
      <c r="L56" s="287">
        <v>0</v>
      </c>
      <c r="M56" s="287">
        <v>0</v>
      </c>
      <c r="N56" s="288">
        <v>0</v>
      </c>
      <c r="O56" s="289">
        <v>0</v>
      </c>
      <c r="P56" s="289">
        <v>0</v>
      </c>
      <c r="Q56" s="290">
        <v>0.02</v>
      </c>
    </row>
    <row r="57" spans="1:17" ht="22.5" customHeight="1" x14ac:dyDescent="0.25">
      <c r="A57" s="281">
        <v>54</v>
      </c>
      <c r="B57" s="282" t="s">
        <v>398</v>
      </c>
      <c r="C57" s="283">
        <v>4.1749999999999998</v>
      </c>
      <c r="D57" s="284">
        <v>0</v>
      </c>
      <c r="E57" s="284">
        <v>0</v>
      </c>
      <c r="F57" s="284">
        <v>0</v>
      </c>
      <c r="G57" s="284">
        <v>28</v>
      </c>
      <c r="H57" s="285">
        <v>0</v>
      </c>
      <c r="I57" s="285">
        <v>0</v>
      </c>
      <c r="J57" s="285">
        <v>0</v>
      </c>
      <c r="K57" s="286">
        <v>0</v>
      </c>
      <c r="L57" s="287">
        <v>0</v>
      </c>
      <c r="M57" s="287">
        <v>0</v>
      </c>
      <c r="N57" s="288">
        <v>0</v>
      </c>
      <c r="O57" s="289">
        <v>0</v>
      </c>
      <c r="P57" s="289">
        <v>0</v>
      </c>
      <c r="Q57" s="290">
        <v>0.02</v>
      </c>
    </row>
    <row r="58" spans="1:17" ht="22.5" customHeight="1" x14ac:dyDescent="0.25">
      <c r="A58" s="281">
        <v>55</v>
      </c>
      <c r="B58" s="282" t="s">
        <v>357</v>
      </c>
      <c r="C58" s="283">
        <v>4.4080000000000004</v>
      </c>
      <c r="D58" s="284">
        <v>0</v>
      </c>
      <c r="E58" s="284">
        <v>0</v>
      </c>
      <c r="F58" s="284">
        <v>0</v>
      </c>
      <c r="G58" s="284">
        <v>20</v>
      </c>
      <c r="H58" s="285">
        <v>0</v>
      </c>
      <c r="I58" s="285">
        <v>0</v>
      </c>
      <c r="J58" s="285">
        <v>0</v>
      </c>
      <c r="K58" s="286">
        <v>0</v>
      </c>
      <c r="L58" s="287">
        <v>0</v>
      </c>
      <c r="M58" s="287">
        <v>0</v>
      </c>
      <c r="N58" s="288">
        <v>0</v>
      </c>
      <c r="O58" s="289">
        <v>0</v>
      </c>
      <c r="P58" s="289">
        <v>0</v>
      </c>
      <c r="Q58" s="290">
        <v>0.02</v>
      </c>
    </row>
    <row r="59" spans="1:17" ht="22.5" customHeight="1" x14ac:dyDescent="0.25">
      <c r="A59" s="281">
        <v>56</v>
      </c>
      <c r="B59" s="282" t="s">
        <v>397</v>
      </c>
      <c r="C59" s="283">
        <v>4.4020000000000001</v>
      </c>
      <c r="D59" s="284">
        <v>0</v>
      </c>
      <c r="E59" s="284">
        <v>0</v>
      </c>
      <c r="F59" s="284">
        <v>0</v>
      </c>
      <c r="G59" s="284">
        <v>3</v>
      </c>
      <c r="H59" s="285">
        <v>0</v>
      </c>
      <c r="I59" s="285">
        <v>0</v>
      </c>
      <c r="J59" s="285">
        <v>0</v>
      </c>
      <c r="K59" s="286">
        <v>0</v>
      </c>
      <c r="L59" s="287">
        <v>0</v>
      </c>
      <c r="M59" s="287">
        <v>0</v>
      </c>
      <c r="N59" s="288">
        <v>0</v>
      </c>
      <c r="O59" s="289">
        <v>0</v>
      </c>
      <c r="P59" s="289">
        <v>0</v>
      </c>
      <c r="Q59" s="290">
        <v>0.02</v>
      </c>
    </row>
    <row r="60" spans="1:17" ht="22.5" customHeight="1" x14ac:dyDescent="0.25">
      <c r="A60" s="281">
        <v>57</v>
      </c>
      <c r="B60" s="282" t="s">
        <v>356</v>
      </c>
      <c r="C60" s="283">
        <v>2.1619999999999999</v>
      </c>
      <c r="D60" s="284">
        <v>0</v>
      </c>
      <c r="E60" s="284">
        <v>0</v>
      </c>
      <c r="F60" s="284">
        <v>0</v>
      </c>
      <c r="G60" s="284">
        <v>8</v>
      </c>
      <c r="H60" s="285">
        <v>0</v>
      </c>
      <c r="I60" s="285">
        <v>0</v>
      </c>
      <c r="J60" s="285">
        <v>0</v>
      </c>
      <c r="K60" s="286">
        <v>0</v>
      </c>
      <c r="L60" s="287">
        <v>0</v>
      </c>
      <c r="M60" s="287">
        <v>0</v>
      </c>
      <c r="N60" s="288">
        <v>0</v>
      </c>
      <c r="O60" s="289">
        <v>0</v>
      </c>
      <c r="P60" s="289">
        <v>0</v>
      </c>
      <c r="Q60" s="290">
        <v>0.02</v>
      </c>
    </row>
    <row r="61" spans="1:17" ht="22.5" customHeight="1" x14ac:dyDescent="0.25">
      <c r="A61" s="281">
        <v>58</v>
      </c>
      <c r="B61" s="282" t="s">
        <v>362</v>
      </c>
      <c r="C61" s="283">
        <v>0.26</v>
      </c>
      <c r="D61" s="284">
        <v>0</v>
      </c>
      <c r="E61" s="284">
        <v>0</v>
      </c>
      <c r="F61" s="284">
        <v>0</v>
      </c>
      <c r="G61" s="284">
        <v>1</v>
      </c>
      <c r="H61" s="285">
        <v>0</v>
      </c>
      <c r="I61" s="285">
        <v>0</v>
      </c>
      <c r="J61" s="285">
        <v>0</v>
      </c>
      <c r="K61" s="286">
        <v>0</v>
      </c>
      <c r="L61" s="287">
        <v>0</v>
      </c>
      <c r="M61" s="287">
        <v>0</v>
      </c>
      <c r="N61" s="288">
        <v>0</v>
      </c>
      <c r="O61" s="289">
        <v>0</v>
      </c>
      <c r="P61" s="289">
        <v>0</v>
      </c>
      <c r="Q61" s="290">
        <v>0.02</v>
      </c>
    </row>
    <row r="62" spans="1:17" ht="22.5" customHeight="1" x14ac:dyDescent="0.25">
      <c r="A62" s="281">
        <v>59</v>
      </c>
      <c r="B62" s="282" t="s">
        <v>269</v>
      </c>
      <c r="C62" s="283">
        <v>2.5680000000000001</v>
      </c>
      <c r="D62" s="284">
        <v>0</v>
      </c>
      <c r="E62" s="284">
        <v>0</v>
      </c>
      <c r="F62" s="284">
        <v>0</v>
      </c>
      <c r="G62" s="284">
        <v>18</v>
      </c>
      <c r="H62" s="285">
        <v>0</v>
      </c>
      <c r="I62" s="285">
        <v>0</v>
      </c>
      <c r="J62" s="285">
        <v>0</v>
      </c>
      <c r="K62" s="286">
        <v>0</v>
      </c>
      <c r="L62" s="287">
        <v>0</v>
      </c>
      <c r="M62" s="287">
        <v>0</v>
      </c>
      <c r="N62" s="288">
        <v>0</v>
      </c>
      <c r="O62" s="289">
        <v>0</v>
      </c>
      <c r="P62" s="289">
        <v>0</v>
      </c>
      <c r="Q62" s="290">
        <v>0.02</v>
      </c>
    </row>
    <row r="63" spans="1:17" ht="22.5" customHeight="1" x14ac:dyDescent="0.25">
      <c r="A63" s="281" t="s">
        <v>171</v>
      </c>
      <c r="B63" s="291" t="s">
        <v>3</v>
      </c>
      <c r="C63" s="292">
        <v>310.096</v>
      </c>
      <c r="D63" s="293">
        <v>178</v>
      </c>
      <c r="E63" s="293">
        <v>68</v>
      </c>
      <c r="F63" s="293">
        <v>11</v>
      </c>
      <c r="G63" s="294">
        <v>1390</v>
      </c>
      <c r="H63" s="295">
        <v>3285</v>
      </c>
      <c r="I63" s="295">
        <v>1500</v>
      </c>
      <c r="J63" s="295">
        <v>8400</v>
      </c>
      <c r="K63" s="296">
        <v>0.12809999999999999</v>
      </c>
      <c r="L63" s="297">
        <v>0.44379999999999997</v>
      </c>
      <c r="M63" s="297">
        <v>0.1</v>
      </c>
      <c r="N63" s="298">
        <v>15.43</v>
      </c>
      <c r="O63" s="299">
        <v>0.25</v>
      </c>
      <c r="P63" s="299">
        <v>0.04</v>
      </c>
      <c r="Q63" s="300" t="s">
        <v>171</v>
      </c>
    </row>
    <row r="64" spans="1:17" ht="22.5" customHeight="1" x14ac:dyDescent="0.25"/>
    <row r="65" ht="22.5" customHeight="1" x14ac:dyDescent="0.25"/>
  </sheetData>
  <mergeCells count="3">
    <mergeCell ref="F1:L1"/>
    <mergeCell ref="A2:A3"/>
    <mergeCell ref="B2:B3"/>
  </mergeCell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tabColor rgb="FF0070C0"/>
  </sheetPr>
  <dimension ref="A1:Q70"/>
  <sheetViews>
    <sheetView workbookViewId="0">
      <selection activeCell="G15" sqref="G15"/>
    </sheetView>
  </sheetViews>
  <sheetFormatPr defaultRowHeight="22.5" customHeight="1" x14ac:dyDescent="0.25"/>
  <cols>
    <col min="1" max="1" width="6" style="93" bestFit="1" customWidth="1"/>
    <col min="2" max="2" width="21.5703125" style="94" bestFit="1" customWidth="1"/>
    <col min="3" max="3" width="8.28515625" style="93" bestFit="1" customWidth="1"/>
    <col min="4" max="4" width="6" style="93" bestFit="1" customWidth="1"/>
    <col min="5" max="5" width="10.28515625" style="93" bestFit="1" customWidth="1"/>
    <col min="6" max="6" width="10.42578125" style="93" bestFit="1" customWidth="1"/>
    <col min="7" max="7" width="8.42578125" style="93" bestFit="1" customWidth="1"/>
    <col min="8" max="8" width="12" style="93" bestFit="1" customWidth="1"/>
    <col min="9" max="9" width="10.42578125" style="93" bestFit="1" customWidth="1"/>
    <col min="10" max="10" width="12" style="93" bestFit="1" customWidth="1"/>
    <col min="11" max="11" width="13.42578125" style="93" bestFit="1" customWidth="1"/>
    <col min="12" max="12" width="11.42578125" style="93" bestFit="1" customWidth="1"/>
    <col min="13" max="13" width="10.42578125" style="93" bestFit="1" customWidth="1"/>
    <col min="14" max="14" width="11.85546875" style="93" bestFit="1" customWidth="1"/>
    <col min="15" max="15" width="11.42578125" style="93" bestFit="1" customWidth="1"/>
    <col min="16" max="16" width="10.42578125" style="93" bestFit="1" customWidth="1"/>
    <col min="17" max="17" width="12.28515625" style="93" bestFit="1" customWidth="1"/>
    <col min="18" max="16384" width="9.140625" style="93"/>
  </cols>
  <sheetData>
    <row r="1" spans="1:17" ht="22.5" customHeight="1" x14ac:dyDescent="0.25">
      <c r="F1" s="626" t="s">
        <v>263</v>
      </c>
      <c r="G1" s="626"/>
      <c r="H1" s="626"/>
      <c r="I1" s="626"/>
      <c r="J1" s="626"/>
      <c r="K1" s="626"/>
      <c r="L1" s="626"/>
    </row>
    <row r="2" spans="1:17" ht="22.5" customHeight="1" x14ac:dyDescent="0.25">
      <c r="A2" s="623" t="s">
        <v>172</v>
      </c>
      <c r="B2" s="608" t="s">
        <v>7</v>
      </c>
      <c r="C2" s="315" t="s">
        <v>173</v>
      </c>
      <c r="D2" s="316" t="s">
        <v>3</v>
      </c>
      <c r="E2" s="316" t="s">
        <v>176</v>
      </c>
      <c r="F2" s="316" t="s">
        <v>166</v>
      </c>
      <c r="G2" s="316" t="s">
        <v>8</v>
      </c>
      <c r="H2" s="316" t="s">
        <v>176</v>
      </c>
      <c r="I2" s="316" t="s">
        <v>166</v>
      </c>
      <c r="J2" s="316" t="s">
        <v>3</v>
      </c>
      <c r="K2" s="316" t="s">
        <v>21</v>
      </c>
      <c r="L2" s="316" t="s">
        <v>164</v>
      </c>
      <c r="M2" s="316" t="s">
        <v>166</v>
      </c>
      <c r="N2" s="316" t="s">
        <v>164</v>
      </c>
      <c r="O2" s="316" t="s">
        <v>164</v>
      </c>
      <c r="P2" s="316" t="s">
        <v>166</v>
      </c>
      <c r="Q2" s="317" t="s">
        <v>169</v>
      </c>
    </row>
    <row r="3" spans="1:17" ht="22.5" customHeight="1" x14ac:dyDescent="0.25">
      <c r="A3" s="624"/>
      <c r="B3" s="625"/>
      <c r="C3" s="318" t="s">
        <v>174</v>
      </c>
      <c r="D3" s="319" t="s">
        <v>175</v>
      </c>
      <c r="E3" s="319" t="s">
        <v>175</v>
      </c>
      <c r="F3" s="319" t="s">
        <v>175</v>
      </c>
      <c r="G3" s="319" t="s">
        <v>12</v>
      </c>
      <c r="H3" s="319" t="s">
        <v>9</v>
      </c>
      <c r="I3" s="319" t="s">
        <v>9</v>
      </c>
      <c r="J3" s="319" t="s">
        <v>9</v>
      </c>
      <c r="K3" s="319" t="s">
        <v>13</v>
      </c>
      <c r="L3" s="319" t="s">
        <v>165</v>
      </c>
      <c r="M3" s="319" t="s">
        <v>165</v>
      </c>
      <c r="N3" s="319" t="s">
        <v>167</v>
      </c>
      <c r="O3" s="319" t="s">
        <v>168</v>
      </c>
      <c r="P3" s="319" t="s">
        <v>168</v>
      </c>
      <c r="Q3" s="320" t="s">
        <v>170</v>
      </c>
    </row>
    <row r="4" spans="1:17" ht="22.5" customHeight="1" x14ac:dyDescent="0.25">
      <c r="A4" s="301">
        <v>1</v>
      </c>
      <c r="B4" s="321" t="s">
        <v>430</v>
      </c>
      <c r="C4" s="303">
        <v>6.4219999999999997</v>
      </c>
      <c r="D4" s="302">
        <v>5</v>
      </c>
      <c r="E4" s="302">
        <v>4</v>
      </c>
      <c r="F4" s="302">
        <v>0</v>
      </c>
      <c r="G4" s="302">
        <v>19</v>
      </c>
      <c r="H4" s="304">
        <v>490</v>
      </c>
      <c r="I4" s="304">
        <v>0</v>
      </c>
      <c r="J4" s="304">
        <v>495</v>
      </c>
      <c r="K4" s="305">
        <v>0.26319999999999999</v>
      </c>
      <c r="L4" s="306">
        <v>0.8</v>
      </c>
      <c r="M4" s="306">
        <v>0</v>
      </c>
      <c r="N4" s="307">
        <v>76.3</v>
      </c>
      <c r="O4" s="308">
        <v>0.62</v>
      </c>
      <c r="P4" s="308">
        <v>0</v>
      </c>
      <c r="Q4" s="309">
        <v>0.69</v>
      </c>
    </row>
    <row r="5" spans="1:17" ht="22.5" customHeight="1" x14ac:dyDescent="0.25">
      <c r="A5" s="301">
        <v>2</v>
      </c>
      <c r="B5" s="321" t="s">
        <v>274</v>
      </c>
      <c r="C5" s="303">
        <v>2.105</v>
      </c>
      <c r="D5" s="302">
        <v>2</v>
      </c>
      <c r="E5" s="302">
        <v>2</v>
      </c>
      <c r="F5" s="302">
        <v>0</v>
      </c>
      <c r="G5" s="302">
        <v>9</v>
      </c>
      <c r="H5" s="304">
        <v>60</v>
      </c>
      <c r="I5" s="304">
        <v>0</v>
      </c>
      <c r="J5" s="304">
        <v>60</v>
      </c>
      <c r="K5" s="305">
        <v>0.22220000000000001</v>
      </c>
      <c r="L5" s="306">
        <v>1</v>
      </c>
      <c r="M5" s="306">
        <v>0</v>
      </c>
      <c r="N5" s="307">
        <v>28.5</v>
      </c>
      <c r="O5" s="308">
        <v>0.95</v>
      </c>
      <c r="P5" s="308">
        <v>0</v>
      </c>
      <c r="Q5" s="309">
        <v>0.69</v>
      </c>
    </row>
    <row r="6" spans="1:17" ht="22.5" customHeight="1" x14ac:dyDescent="0.25">
      <c r="A6" s="301">
        <v>3</v>
      </c>
      <c r="B6" s="321" t="s">
        <v>286</v>
      </c>
      <c r="C6" s="303">
        <v>2.2919999999999998</v>
      </c>
      <c r="D6" s="302">
        <v>1</v>
      </c>
      <c r="E6" s="302">
        <v>1</v>
      </c>
      <c r="F6" s="302">
        <v>0</v>
      </c>
      <c r="G6" s="302">
        <v>7</v>
      </c>
      <c r="H6" s="304">
        <v>100</v>
      </c>
      <c r="I6" s="304">
        <v>0</v>
      </c>
      <c r="J6" s="304">
        <v>100</v>
      </c>
      <c r="K6" s="305">
        <v>0.1429</v>
      </c>
      <c r="L6" s="306">
        <v>1</v>
      </c>
      <c r="M6" s="306">
        <v>0</v>
      </c>
      <c r="N6" s="307">
        <v>43.63</v>
      </c>
      <c r="O6" s="308">
        <v>0.44</v>
      </c>
      <c r="P6" s="308">
        <v>0</v>
      </c>
      <c r="Q6" s="309">
        <v>0.66</v>
      </c>
    </row>
    <row r="7" spans="1:17" ht="22.5" customHeight="1" x14ac:dyDescent="0.25">
      <c r="A7" s="301">
        <v>4</v>
      </c>
      <c r="B7" s="321" t="s">
        <v>408</v>
      </c>
      <c r="C7" s="303">
        <v>1.002</v>
      </c>
      <c r="D7" s="302">
        <v>1</v>
      </c>
      <c r="E7" s="302">
        <v>1</v>
      </c>
      <c r="F7" s="302">
        <v>0</v>
      </c>
      <c r="G7" s="302">
        <v>5</v>
      </c>
      <c r="H7" s="304">
        <v>5</v>
      </c>
      <c r="I7" s="304">
        <v>0</v>
      </c>
      <c r="J7" s="304">
        <v>5</v>
      </c>
      <c r="K7" s="305">
        <v>0.2</v>
      </c>
      <c r="L7" s="306">
        <v>1</v>
      </c>
      <c r="M7" s="306">
        <v>0</v>
      </c>
      <c r="N7" s="307">
        <v>4.99</v>
      </c>
      <c r="O7" s="308">
        <v>1</v>
      </c>
      <c r="P7" s="308">
        <v>0</v>
      </c>
      <c r="Q7" s="309">
        <v>0.66</v>
      </c>
    </row>
    <row r="8" spans="1:17" ht="22.5" customHeight="1" x14ac:dyDescent="0.25">
      <c r="A8" s="301">
        <v>5</v>
      </c>
      <c r="B8" s="321" t="s">
        <v>403</v>
      </c>
      <c r="C8" s="303">
        <v>2.698</v>
      </c>
      <c r="D8" s="302">
        <v>2</v>
      </c>
      <c r="E8" s="302">
        <v>1</v>
      </c>
      <c r="F8" s="302">
        <v>0</v>
      </c>
      <c r="G8" s="302">
        <v>5</v>
      </c>
      <c r="H8" s="304">
        <v>120</v>
      </c>
      <c r="I8" s="304">
        <v>0</v>
      </c>
      <c r="J8" s="304">
        <v>130</v>
      </c>
      <c r="K8" s="305">
        <v>0.4</v>
      </c>
      <c r="L8" s="306">
        <v>0.5</v>
      </c>
      <c r="M8" s="306">
        <v>0</v>
      </c>
      <c r="N8" s="307">
        <v>44.48</v>
      </c>
      <c r="O8" s="308">
        <v>0.37</v>
      </c>
      <c r="P8" s="308">
        <v>0</v>
      </c>
      <c r="Q8" s="309">
        <v>0.65</v>
      </c>
    </row>
    <row r="9" spans="1:17" ht="22.5" customHeight="1" x14ac:dyDescent="0.25">
      <c r="A9" s="301">
        <v>6</v>
      </c>
      <c r="B9" s="321" t="s">
        <v>422</v>
      </c>
      <c r="C9" s="303">
        <v>9.4260000000000002</v>
      </c>
      <c r="D9" s="302">
        <v>7</v>
      </c>
      <c r="E9" s="302">
        <v>6</v>
      </c>
      <c r="F9" s="302">
        <v>0</v>
      </c>
      <c r="G9" s="302">
        <v>51</v>
      </c>
      <c r="H9" s="304">
        <v>125</v>
      </c>
      <c r="I9" s="304">
        <v>0</v>
      </c>
      <c r="J9" s="304">
        <v>130</v>
      </c>
      <c r="K9" s="305">
        <v>0.13730000000000001</v>
      </c>
      <c r="L9" s="306">
        <v>0.85709999999999997</v>
      </c>
      <c r="M9" s="306">
        <v>0</v>
      </c>
      <c r="N9" s="307">
        <v>13.26</v>
      </c>
      <c r="O9" s="308">
        <v>0.64</v>
      </c>
      <c r="P9" s="308">
        <v>0</v>
      </c>
      <c r="Q9" s="309">
        <v>0.65</v>
      </c>
    </row>
    <row r="10" spans="1:17" ht="22.5" customHeight="1" x14ac:dyDescent="0.25">
      <c r="A10" s="301">
        <v>7</v>
      </c>
      <c r="B10" s="321" t="s">
        <v>341</v>
      </c>
      <c r="C10" s="303">
        <v>4.4649999999999999</v>
      </c>
      <c r="D10" s="302">
        <v>2</v>
      </c>
      <c r="E10" s="302">
        <v>2</v>
      </c>
      <c r="F10" s="302">
        <v>0</v>
      </c>
      <c r="G10" s="302">
        <v>14</v>
      </c>
      <c r="H10" s="304">
        <v>25</v>
      </c>
      <c r="I10" s="304">
        <v>0</v>
      </c>
      <c r="J10" s="304">
        <v>25</v>
      </c>
      <c r="K10" s="305">
        <v>0.1429</v>
      </c>
      <c r="L10" s="306">
        <v>1</v>
      </c>
      <c r="M10" s="306">
        <v>0</v>
      </c>
      <c r="N10" s="307">
        <v>5.6</v>
      </c>
      <c r="O10" s="308">
        <v>0.45</v>
      </c>
      <c r="P10" s="308">
        <v>0</v>
      </c>
      <c r="Q10" s="309">
        <v>0.64</v>
      </c>
    </row>
    <row r="11" spans="1:17" ht="22.5" customHeight="1" x14ac:dyDescent="0.25">
      <c r="A11" s="301">
        <v>8</v>
      </c>
      <c r="B11" s="321" t="s">
        <v>401</v>
      </c>
      <c r="C11" s="303">
        <v>7.2069999999999999</v>
      </c>
      <c r="D11" s="302">
        <v>3</v>
      </c>
      <c r="E11" s="302">
        <v>3</v>
      </c>
      <c r="F11" s="302">
        <v>0</v>
      </c>
      <c r="G11" s="302">
        <v>38</v>
      </c>
      <c r="H11" s="304">
        <v>60</v>
      </c>
      <c r="I11" s="304">
        <v>0</v>
      </c>
      <c r="J11" s="304">
        <v>60</v>
      </c>
      <c r="K11" s="305">
        <v>7.8899999999999998E-2</v>
      </c>
      <c r="L11" s="306">
        <v>1</v>
      </c>
      <c r="M11" s="306">
        <v>0</v>
      </c>
      <c r="N11" s="307">
        <v>8.33</v>
      </c>
      <c r="O11" s="308">
        <v>0.42</v>
      </c>
      <c r="P11" s="308">
        <v>0</v>
      </c>
      <c r="Q11" s="309">
        <v>0.62</v>
      </c>
    </row>
    <row r="12" spans="1:17" ht="22.5" customHeight="1" x14ac:dyDescent="0.25">
      <c r="A12" s="301">
        <v>9</v>
      </c>
      <c r="B12" s="321" t="s">
        <v>400</v>
      </c>
      <c r="C12" s="303">
        <v>6.5979999999999999</v>
      </c>
      <c r="D12" s="302">
        <v>3</v>
      </c>
      <c r="E12" s="302">
        <v>2</v>
      </c>
      <c r="F12" s="302">
        <v>0</v>
      </c>
      <c r="G12" s="302">
        <v>25</v>
      </c>
      <c r="H12" s="304">
        <v>130</v>
      </c>
      <c r="I12" s="304">
        <v>0</v>
      </c>
      <c r="J12" s="304">
        <v>180</v>
      </c>
      <c r="K12" s="305">
        <v>0.12</v>
      </c>
      <c r="L12" s="306">
        <v>0.66669999999999996</v>
      </c>
      <c r="M12" s="306">
        <v>0</v>
      </c>
      <c r="N12" s="307">
        <v>19.7</v>
      </c>
      <c r="O12" s="308">
        <v>0.3</v>
      </c>
      <c r="P12" s="308">
        <v>0</v>
      </c>
      <c r="Q12" s="309">
        <v>0.61</v>
      </c>
    </row>
    <row r="13" spans="1:17" ht="22.5" customHeight="1" x14ac:dyDescent="0.25">
      <c r="A13" s="301">
        <v>10</v>
      </c>
      <c r="B13" s="321" t="s">
        <v>435</v>
      </c>
      <c r="C13" s="303">
        <v>2.5459999999999998</v>
      </c>
      <c r="D13" s="302">
        <v>2</v>
      </c>
      <c r="E13" s="302">
        <v>1</v>
      </c>
      <c r="F13" s="302">
        <v>0</v>
      </c>
      <c r="G13" s="302">
        <v>9</v>
      </c>
      <c r="H13" s="304">
        <v>10</v>
      </c>
      <c r="I13" s="304">
        <v>0</v>
      </c>
      <c r="J13" s="304">
        <v>30</v>
      </c>
      <c r="K13" s="305">
        <v>0.22220000000000001</v>
      </c>
      <c r="L13" s="306">
        <v>0.5</v>
      </c>
      <c r="M13" s="306">
        <v>0</v>
      </c>
      <c r="N13" s="307">
        <v>3.93</v>
      </c>
      <c r="O13" s="308">
        <v>0.39</v>
      </c>
      <c r="P13" s="308">
        <v>0</v>
      </c>
      <c r="Q13" s="309">
        <v>0.61</v>
      </c>
    </row>
    <row r="14" spans="1:17" ht="22.5" customHeight="1" x14ac:dyDescent="0.25">
      <c r="A14" s="301">
        <v>11</v>
      </c>
      <c r="B14" s="321" t="s">
        <v>308</v>
      </c>
      <c r="C14" s="303">
        <v>6.524</v>
      </c>
      <c r="D14" s="302">
        <v>4</v>
      </c>
      <c r="E14" s="302">
        <v>2</v>
      </c>
      <c r="F14" s="302">
        <v>0</v>
      </c>
      <c r="G14" s="302">
        <v>40</v>
      </c>
      <c r="H14" s="304">
        <v>170</v>
      </c>
      <c r="I14" s="304">
        <v>0</v>
      </c>
      <c r="J14" s="304">
        <v>270</v>
      </c>
      <c r="K14" s="305">
        <v>0.1</v>
      </c>
      <c r="L14" s="306">
        <v>0.5</v>
      </c>
      <c r="M14" s="306">
        <v>0</v>
      </c>
      <c r="N14" s="307">
        <v>26.06</v>
      </c>
      <c r="O14" s="308">
        <v>0.31</v>
      </c>
      <c r="P14" s="308">
        <v>0</v>
      </c>
      <c r="Q14" s="309">
        <v>0.6</v>
      </c>
    </row>
    <row r="15" spans="1:17" ht="22.5" customHeight="1" x14ac:dyDescent="0.25">
      <c r="A15" s="301">
        <v>12</v>
      </c>
      <c r="B15" s="321" t="s">
        <v>432</v>
      </c>
      <c r="C15" s="303">
        <v>7.6680000000000001</v>
      </c>
      <c r="D15" s="302">
        <v>2</v>
      </c>
      <c r="E15" s="302">
        <v>2</v>
      </c>
      <c r="F15" s="302">
        <v>0</v>
      </c>
      <c r="G15" s="302">
        <v>25</v>
      </c>
      <c r="H15" s="304">
        <v>30</v>
      </c>
      <c r="I15" s="304">
        <v>0</v>
      </c>
      <c r="J15" s="304">
        <v>30</v>
      </c>
      <c r="K15" s="305">
        <v>0.08</v>
      </c>
      <c r="L15" s="306">
        <v>1</v>
      </c>
      <c r="M15" s="306">
        <v>0</v>
      </c>
      <c r="N15" s="307">
        <v>3.91</v>
      </c>
      <c r="O15" s="308">
        <v>0.26</v>
      </c>
      <c r="P15" s="308">
        <v>0</v>
      </c>
      <c r="Q15" s="309">
        <v>0.59</v>
      </c>
    </row>
    <row r="16" spans="1:17" ht="22.5" customHeight="1" x14ac:dyDescent="0.25">
      <c r="A16" s="301">
        <v>13</v>
      </c>
      <c r="B16" s="321" t="s">
        <v>272</v>
      </c>
      <c r="C16" s="303">
        <v>6.4409999999999998</v>
      </c>
      <c r="D16" s="302">
        <v>5</v>
      </c>
      <c r="E16" s="302">
        <v>2</v>
      </c>
      <c r="F16" s="302">
        <v>0</v>
      </c>
      <c r="G16" s="302">
        <v>32</v>
      </c>
      <c r="H16" s="304">
        <v>10</v>
      </c>
      <c r="I16" s="304">
        <v>0</v>
      </c>
      <c r="J16" s="304">
        <v>85</v>
      </c>
      <c r="K16" s="305">
        <v>0.15620000000000001</v>
      </c>
      <c r="L16" s="306">
        <v>0.4</v>
      </c>
      <c r="M16" s="306">
        <v>0</v>
      </c>
      <c r="N16" s="307">
        <v>1.55</v>
      </c>
      <c r="O16" s="308">
        <v>0.31</v>
      </c>
      <c r="P16" s="308">
        <v>0</v>
      </c>
      <c r="Q16" s="309">
        <v>0.57999999999999996</v>
      </c>
    </row>
    <row r="17" spans="1:17" ht="22.5" customHeight="1" x14ac:dyDescent="0.25">
      <c r="A17" s="301">
        <v>14</v>
      </c>
      <c r="B17" s="321" t="s">
        <v>318</v>
      </c>
      <c r="C17" s="303">
        <v>6.4089999999999998</v>
      </c>
      <c r="D17" s="302">
        <v>2</v>
      </c>
      <c r="E17" s="302">
        <v>2</v>
      </c>
      <c r="F17" s="302">
        <v>0</v>
      </c>
      <c r="G17" s="302">
        <v>29</v>
      </c>
      <c r="H17" s="304">
        <v>10</v>
      </c>
      <c r="I17" s="304">
        <v>0</v>
      </c>
      <c r="J17" s="304">
        <v>10</v>
      </c>
      <c r="K17" s="305">
        <v>6.9000000000000006E-2</v>
      </c>
      <c r="L17" s="306">
        <v>1</v>
      </c>
      <c r="M17" s="306">
        <v>0</v>
      </c>
      <c r="N17" s="307">
        <v>1.56</v>
      </c>
      <c r="O17" s="308">
        <v>0.31</v>
      </c>
      <c r="P17" s="308">
        <v>0</v>
      </c>
      <c r="Q17" s="309">
        <v>0.56999999999999995</v>
      </c>
    </row>
    <row r="18" spans="1:17" ht="22.5" customHeight="1" x14ac:dyDescent="0.25">
      <c r="A18" s="301">
        <v>15</v>
      </c>
      <c r="B18" s="321" t="s">
        <v>301</v>
      </c>
      <c r="C18" s="303">
        <v>6.9340000000000002</v>
      </c>
      <c r="D18" s="302">
        <v>4</v>
      </c>
      <c r="E18" s="302">
        <v>1</v>
      </c>
      <c r="F18" s="302">
        <v>0</v>
      </c>
      <c r="G18" s="302">
        <v>32</v>
      </c>
      <c r="H18" s="304">
        <v>100</v>
      </c>
      <c r="I18" s="304">
        <v>0</v>
      </c>
      <c r="J18" s="304">
        <v>140</v>
      </c>
      <c r="K18" s="305">
        <v>0.125</v>
      </c>
      <c r="L18" s="306">
        <v>0.25</v>
      </c>
      <c r="M18" s="306">
        <v>0</v>
      </c>
      <c r="N18" s="307">
        <v>14.42</v>
      </c>
      <c r="O18" s="308">
        <v>0.14000000000000001</v>
      </c>
      <c r="P18" s="308">
        <v>0</v>
      </c>
      <c r="Q18" s="309">
        <v>0.56000000000000005</v>
      </c>
    </row>
    <row r="19" spans="1:17" ht="22.5" customHeight="1" x14ac:dyDescent="0.25">
      <c r="A19" s="301">
        <v>16</v>
      </c>
      <c r="B19" s="321" t="s">
        <v>352</v>
      </c>
      <c r="C19" s="303">
        <v>7.0359999999999996</v>
      </c>
      <c r="D19" s="302">
        <v>2</v>
      </c>
      <c r="E19" s="302">
        <v>1</v>
      </c>
      <c r="F19" s="302">
        <v>0</v>
      </c>
      <c r="G19" s="302">
        <v>20</v>
      </c>
      <c r="H19" s="304">
        <v>100</v>
      </c>
      <c r="I19" s="304">
        <v>0</v>
      </c>
      <c r="J19" s="304">
        <v>110</v>
      </c>
      <c r="K19" s="305">
        <v>0.1</v>
      </c>
      <c r="L19" s="306">
        <v>0.5</v>
      </c>
      <c r="M19" s="306">
        <v>0</v>
      </c>
      <c r="N19" s="307">
        <v>14.21</v>
      </c>
      <c r="O19" s="308">
        <v>0.14000000000000001</v>
      </c>
      <c r="P19" s="308">
        <v>0</v>
      </c>
      <c r="Q19" s="309">
        <v>0.56000000000000005</v>
      </c>
    </row>
    <row r="20" spans="1:17" ht="22.5" customHeight="1" x14ac:dyDescent="0.25">
      <c r="A20" s="301">
        <v>17</v>
      </c>
      <c r="B20" s="321" t="s">
        <v>271</v>
      </c>
      <c r="C20" s="303">
        <v>6.4649999999999999</v>
      </c>
      <c r="D20" s="302">
        <v>2</v>
      </c>
      <c r="E20" s="302">
        <v>1</v>
      </c>
      <c r="F20" s="302">
        <v>0</v>
      </c>
      <c r="G20" s="302">
        <v>31</v>
      </c>
      <c r="H20" s="304">
        <v>50</v>
      </c>
      <c r="I20" s="304">
        <v>0</v>
      </c>
      <c r="J20" s="304">
        <v>55</v>
      </c>
      <c r="K20" s="305">
        <v>6.4500000000000002E-2</v>
      </c>
      <c r="L20" s="306">
        <v>0.5</v>
      </c>
      <c r="M20" s="306">
        <v>0</v>
      </c>
      <c r="N20" s="307">
        <v>7.73</v>
      </c>
      <c r="O20" s="308">
        <v>0.15</v>
      </c>
      <c r="P20" s="308">
        <v>0</v>
      </c>
      <c r="Q20" s="309">
        <v>0.55000000000000004</v>
      </c>
    </row>
    <row r="21" spans="1:17" ht="22.5" customHeight="1" x14ac:dyDescent="0.25">
      <c r="A21" s="301">
        <v>18</v>
      </c>
      <c r="B21" s="321" t="s">
        <v>360</v>
      </c>
      <c r="C21" s="303">
        <v>4.1580000000000004</v>
      </c>
      <c r="D21" s="302">
        <v>1</v>
      </c>
      <c r="E21" s="302">
        <v>1</v>
      </c>
      <c r="F21" s="302">
        <v>0</v>
      </c>
      <c r="G21" s="302">
        <v>15</v>
      </c>
      <c r="H21" s="304">
        <v>5</v>
      </c>
      <c r="I21" s="304">
        <v>0</v>
      </c>
      <c r="J21" s="304">
        <v>5</v>
      </c>
      <c r="K21" s="305">
        <v>6.6699999999999995E-2</v>
      </c>
      <c r="L21" s="306">
        <v>1</v>
      </c>
      <c r="M21" s="306">
        <v>0</v>
      </c>
      <c r="N21" s="307">
        <v>1.2</v>
      </c>
      <c r="O21" s="308">
        <v>0.24</v>
      </c>
      <c r="P21" s="308">
        <v>0</v>
      </c>
      <c r="Q21" s="309">
        <v>0.55000000000000004</v>
      </c>
    </row>
    <row r="22" spans="1:17" ht="22.5" customHeight="1" x14ac:dyDescent="0.25">
      <c r="A22" s="301">
        <v>19</v>
      </c>
      <c r="B22" s="321" t="s">
        <v>417</v>
      </c>
      <c r="C22" s="303">
        <v>7.0960000000000001</v>
      </c>
      <c r="D22" s="302">
        <v>1</v>
      </c>
      <c r="E22" s="302">
        <v>1</v>
      </c>
      <c r="F22" s="302">
        <v>0</v>
      </c>
      <c r="G22" s="302">
        <v>33</v>
      </c>
      <c r="H22" s="304">
        <v>600</v>
      </c>
      <c r="I22" s="304">
        <v>0</v>
      </c>
      <c r="J22" s="304">
        <v>600</v>
      </c>
      <c r="K22" s="305">
        <v>3.0300000000000001E-2</v>
      </c>
      <c r="L22" s="306">
        <v>1</v>
      </c>
      <c r="M22" s="306">
        <v>0</v>
      </c>
      <c r="N22" s="307">
        <v>84.55</v>
      </c>
      <c r="O22" s="308">
        <v>0.14000000000000001</v>
      </c>
      <c r="P22" s="308">
        <v>0</v>
      </c>
      <c r="Q22" s="309">
        <v>0.55000000000000004</v>
      </c>
    </row>
    <row r="23" spans="1:17" ht="22.5" customHeight="1" x14ac:dyDescent="0.25">
      <c r="A23" s="301">
        <v>20</v>
      </c>
      <c r="B23" s="321" t="s">
        <v>305</v>
      </c>
      <c r="C23" s="303">
        <v>6.5890000000000004</v>
      </c>
      <c r="D23" s="302">
        <v>1</v>
      </c>
      <c r="E23" s="302">
        <v>1</v>
      </c>
      <c r="F23" s="302">
        <v>0</v>
      </c>
      <c r="G23" s="302">
        <v>18</v>
      </c>
      <c r="H23" s="304">
        <v>25</v>
      </c>
      <c r="I23" s="304">
        <v>0</v>
      </c>
      <c r="J23" s="304">
        <v>25</v>
      </c>
      <c r="K23" s="305">
        <v>5.5599999999999997E-2</v>
      </c>
      <c r="L23" s="306">
        <v>1</v>
      </c>
      <c r="M23" s="306">
        <v>0</v>
      </c>
      <c r="N23" s="307">
        <v>3.79</v>
      </c>
      <c r="O23" s="308">
        <v>0.15</v>
      </c>
      <c r="P23" s="308">
        <v>0</v>
      </c>
      <c r="Q23" s="309">
        <v>0.54</v>
      </c>
    </row>
    <row r="24" spans="1:17" ht="22.5" customHeight="1" x14ac:dyDescent="0.25">
      <c r="A24" s="301">
        <v>21</v>
      </c>
      <c r="B24" s="321" t="s">
        <v>356</v>
      </c>
      <c r="C24" s="303">
        <v>8.6760000000000002</v>
      </c>
      <c r="D24" s="302">
        <v>1</v>
      </c>
      <c r="E24" s="302">
        <v>1</v>
      </c>
      <c r="F24" s="302">
        <v>0</v>
      </c>
      <c r="G24" s="302">
        <v>31</v>
      </c>
      <c r="H24" s="304">
        <v>50</v>
      </c>
      <c r="I24" s="304">
        <v>0</v>
      </c>
      <c r="J24" s="304">
        <v>50</v>
      </c>
      <c r="K24" s="305">
        <v>3.2300000000000002E-2</v>
      </c>
      <c r="L24" s="306">
        <v>1</v>
      </c>
      <c r="M24" s="306">
        <v>0</v>
      </c>
      <c r="N24" s="307">
        <v>5.76</v>
      </c>
      <c r="O24" s="308">
        <v>0.12</v>
      </c>
      <c r="P24" s="308">
        <v>0</v>
      </c>
      <c r="Q24" s="309">
        <v>0.52</v>
      </c>
    </row>
    <row r="25" spans="1:17" ht="22.5" customHeight="1" x14ac:dyDescent="0.25">
      <c r="A25" s="301">
        <v>22</v>
      </c>
      <c r="B25" s="321" t="s">
        <v>277</v>
      </c>
      <c r="C25" s="303">
        <v>11.129</v>
      </c>
      <c r="D25" s="302">
        <v>7</v>
      </c>
      <c r="E25" s="302">
        <v>1</v>
      </c>
      <c r="F25" s="302">
        <v>0</v>
      </c>
      <c r="G25" s="302">
        <v>45</v>
      </c>
      <c r="H25" s="304">
        <v>5</v>
      </c>
      <c r="I25" s="304">
        <v>0</v>
      </c>
      <c r="J25" s="304">
        <v>150</v>
      </c>
      <c r="K25" s="305">
        <v>0.15559999999999999</v>
      </c>
      <c r="L25" s="306">
        <v>0.1429</v>
      </c>
      <c r="M25" s="306">
        <v>0</v>
      </c>
      <c r="N25" s="307">
        <v>0.45</v>
      </c>
      <c r="O25" s="308">
        <v>0.09</v>
      </c>
      <c r="P25" s="308">
        <v>0</v>
      </c>
      <c r="Q25" s="309">
        <v>0.52</v>
      </c>
    </row>
    <row r="26" spans="1:17" ht="22.5" customHeight="1" x14ac:dyDescent="0.25">
      <c r="A26" s="301">
        <v>23</v>
      </c>
      <c r="B26" s="321" t="s">
        <v>325</v>
      </c>
      <c r="C26" s="303">
        <v>7.2290000000000001</v>
      </c>
      <c r="D26" s="302">
        <v>1</v>
      </c>
      <c r="E26" s="302">
        <v>1</v>
      </c>
      <c r="F26" s="302">
        <v>0</v>
      </c>
      <c r="G26" s="302">
        <v>30</v>
      </c>
      <c r="H26" s="304">
        <v>25</v>
      </c>
      <c r="I26" s="304">
        <v>0</v>
      </c>
      <c r="J26" s="304">
        <v>25</v>
      </c>
      <c r="K26" s="305">
        <v>3.3300000000000003E-2</v>
      </c>
      <c r="L26" s="306">
        <v>1</v>
      </c>
      <c r="M26" s="306">
        <v>0</v>
      </c>
      <c r="N26" s="307">
        <v>3.46</v>
      </c>
      <c r="O26" s="308">
        <v>0.14000000000000001</v>
      </c>
      <c r="P26" s="308">
        <v>0</v>
      </c>
      <c r="Q26" s="309">
        <v>0.52</v>
      </c>
    </row>
    <row r="27" spans="1:17" ht="22.5" customHeight="1" x14ac:dyDescent="0.25">
      <c r="A27" s="301">
        <v>24</v>
      </c>
      <c r="B27" s="321" t="s">
        <v>366</v>
      </c>
      <c r="C27" s="303">
        <v>9.42</v>
      </c>
      <c r="D27" s="302">
        <v>2</v>
      </c>
      <c r="E27" s="302">
        <v>1</v>
      </c>
      <c r="F27" s="302">
        <v>0</v>
      </c>
      <c r="G27" s="302">
        <v>46</v>
      </c>
      <c r="H27" s="304">
        <v>25</v>
      </c>
      <c r="I27" s="304">
        <v>0</v>
      </c>
      <c r="J27" s="304">
        <v>75</v>
      </c>
      <c r="K27" s="305">
        <v>4.3499999999999997E-2</v>
      </c>
      <c r="L27" s="306">
        <v>0.5</v>
      </c>
      <c r="M27" s="306">
        <v>0</v>
      </c>
      <c r="N27" s="307">
        <v>2.65</v>
      </c>
      <c r="O27" s="308">
        <v>0.11</v>
      </c>
      <c r="P27" s="308">
        <v>0</v>
      </c>
      <c r="Q27" s="309">
        <v>0.49</v>
      </c>
    </row>
    <row r="28" spans="1:17" ht="22.5" customHeight="1" x14ac:dyDescent="0.25">
      <c r="A28" s="301">
        <v>25</v>
      </c>
      <c r="B28" s="321" t="s">
        <v>389</v>
      </c>
      <c r="C28" s="303">
        <v>7.1580000000000004</v>
      </c>
      <c r="D28" s="302">
        <v>1</v>
      </c>
      <c r="E28" s="302">
        <v>1</v>
      </c>
      <c r="F28" s="302">
        <v>0</v>
      </c>
      <c r="G28" s="302">
        <v>38</v>
      </c>
      <c r="H28" s="304">
        <v>10</v>
      </c>
      <c r="I28" s="304">
        <v>0</v>
      </c>
      <c r="J28" s="304">
        <v>10</v>
      </c>
      <c r="K28" s="305">
        <v>2.63E-2</v>
      </c>
      <c r="L28" s="306">
        <v>1</v>
      </c>
      <c r="M28" s="306">
        <v>0</v>
      </c>
      <c r="N28" s="307">
        <v>1.4</v>
      </c>
      <c r="O28" s="308">
        <v>0.14000000000000001</v>
      </c>
      <c r="P28" s="308">
        <v>0</v>
      </c>
      <c r="Q28" s="309">
        <v>0.49</v>
      </c>
    </row>
    <row r="29" spans="1:17" ht="22.5" customHeight="1" x14ac:dyDescent="0.25">
      <c r="A29" s="301">
        <v>26</v>
      </c>
      <c r="B29" s="321" t="s">
        <v>385</v>
      </c>
      <c r="C29" s="303">
        <v>1.867</v>
      </c>
      <c r="D29" s="302">
        <v>2</v>
      </c>
      <c r="E29" s="302">
        <v>0</v>
      </c>
      <c r="F29" s="302">
        <v>0</v>
      </c>
      <c r="G29" s="302">
        <v>4</v>
      </c>
      <c r="H29" s="304">
        <v>0</v>
      </c>
      <c r="I29" s="304">
        <v>0</v>
      </c>
      <c r="J29" s="304">
        <v>100</v>
      </c>
      <c r="K29" s="305">
        <v>0.5</v>
      </c>
      <c r="L29" s="306">
        <v>0</v>
      </c>
      <c r="M29" s="306">
        <v>0</v>
      </c>
      <c r="N29" s="307">
        <v>0</v>
      </c>
      <c r="O29" s="308">
        <v>0</v>
      </c>
      <c r="P29" s="308">
        <v>0</v>
      </c>
      <c r="Q29" s="309">
        <v>0.21</v>
      </c>
    </row>
    <row r="30" spans="1:17" ht="22.5" customHeight="1" x14ac:dyDescent="0.25">
      <c r="A30" s="301">
        <v>27</v>
      </c>
      <c r="B30" s="321" t="s">
        <v>357</v>
      </c>
      <c r="C30" s="303">
        <v>0.94299999999999995</v>
      </c>
      <c r="D30" s="302">
        <v>1</v>
      </c>
      <c r="E30" s="302">
        <v>0</v>
      </c>
      <c r="F30" s="302">
        <v>0</v>
      </c>
      <c r="G30" s="302">
        <v>2</v>
      </c>
      <c r="H30" s="304">
        <v>0</v>
      </c>
      <c r="I30" s="304">
        <v>0</v>
      </c>
      <c r="J30" s="304">
        <v>5</v>
      </c>
      <c r="K30" s="305">
        <v>0.5</v>
      </c>
      <c r="L30" s="306">
        <v>0</v>
      </c>
      <c r="M30" s="306">
        <v>0</v>
      </c>
      <c r="N30" s="307">
        <v>0</v>
      </c>
      <c r="O30" s="308">
        <v>0</v>
      </c>
      <c r="P30" s="308">
        <v>0</v>
      </c>
      <c r="Q30" s="309">
        <v>0.21</v>
      </c>
    </row>
    <row r="31" spans="1:17" ht="22.5" customHeight="1" x14ac:dyDescent="0.25">
      <c r="A31" s="301">
        <v>28</v>
      </c>
      <c r="B31" s="321" t="s">
        <v>332</v>
      </c>
      <c r="C31" s="303">
        <v>3.0990000000000002</v>
      </c>
      <c r="D31" s="302">
        <v>2</v>
      </c>
      <c r="E31" s="302">
        <v>0</v>
      </c>
      <c r="F31" s="302">
        <v>0</v>
      </c>
      <c r="G31" s="302">
        <v>5</v>
      </c>
      <c r="H31" s="304">
        <v>0</v>
      </c>
      <c r="I31" s="304">
        <v>0</v>
      </c>
      <c r="J31" s="304">
        <v>55</v>
      </c>
      <c r="K31" s="305">
        <v>0.4</v>
      </c>
      <c r="L31" s="306">
        <v>0</v>
      </c>
      <c r="M31" s="306">
        <v>0</v>
      </c>
      <c r="N31" s="307">
        <v>0</v>
      </c>
      <c r="O31" s="308">
        <v>0</v>
      </c>
      <c r="P31" s="308">
        <v>0</v>
      </c>
      <c r="Q31" s="309">
        <v>0.2</v>
      </c>
    </row>
    <row r="32" spans="1:17" ht="22.5" customHeight="1" x14ac:dyDescent="0.25">
      <c r="A32" s="301">
        <v>29</v>
      </c>
      <c r="B32" s="321" t="s">
        <v>326</v>
      </c>
      <c r="C32" s="303">
        <v>3.681</v>
      </c>
      <c r="D32" s="302">
        <v>1</v>
      </c>
      <c r="E32" s="302">
        <v>0</v>
      </c>
      <c r="F32" s="302">
        <v>0</v>
      </c>
      <c r="G32" s="302">
        <v>11</v>
      </c>
      <c r="H32" s="304">
        <v>0</v>
      </c>
      <c r="I32" s="304">
        <v>0</v>
      </c>
      <c r="J32" s="304">
        <v>20</v>
      </c>
      <c r="K32" s="305">
        <v>9.0899999999999995E-2</v>
      </c>
      <c r="L32" s="306">
        <v>0</v>
      </c>
      <c r="M32" s="306">
        <v>0</v>
      </c>
      <c r="N32" s="307">
        <v>0</v>
      </c>
      <c r="O32" s="308">
        <v>0</v>
      </c>
      <c r="P32" s="308">
        <v>0</v>
      </c>
      <c r="Q32" s="309">
        <v>0.16</v>
      </c>
    </row>
    <row r="33" spans="1:17" ht="22.5" customHeight="1" x14ac:dyDescent="0.25">
      <c r="A33" s="301">
        <v>30</v>
      </c>
      <c r="B33" s="321" t="s">
        <v>375</v>
      </c>
      <c r="C33" s="303">
        <v>12.705</v>
      </c>
      <c r="D33" s="302">
        <v>1</v>
      </c>
      <c r="E33" s="302">
        <v>0</v>
      </c>
      <c r="F33" s="302">
        <v>0</v>
      </c>
      <c r="G33" s="302">
        <v>14</v>
      </c>
      <c r="H33" s="304">
        <v>0</v>
      </c>
      <c r="I33" s="304">
        <v>0</v>
      </c>
      <c r="J33" s="304">
        <v>20</v>
      </c>
      <c r="K33" s="305">
        <v>7.1400000000000005E-2</v>
      </c>
      <c r="L33" s="306">
        <v>0</v>
      </c>
      <c r="M33" s="306">
        <v>0</v>
      </c>
      <c r="N33" s="307">
        <v>0</v>
      </c>
      <c r="O33" s="308">
        <v>0</v>
      </c>
      <c r="P33" s="308">
        <v>0</v>
      </c>
      <c r="Q33" s="309">
        <v>0.15</v>
      </c>
    </row>
    <row r="34" spans="1:17" ht="22.5" customHeight="1" x14ac:dyDescent="0.25">
      <c r="A34" s="301">
        <v>31</v>
      </c>
      <c r="B34" s="321" t="s">
        <v>336</v>
      </c>
      <c r="C34" s="303">
        <v>2.8050000000000002</v>
      </c>
      <c r="D34" s="302">
        <v>1</v>
      </c>
      <c r="E34" s="302">
        <v>0</v>
      </c>
      <c r="F34" s="302">
        <v>0</v>
      </c>
      <c r="G34" s="302">
        <v>16</v>
      </c>
      <c r="H34" s="304">
        <v>0</v>
      </c>
      <c r="I34" s="304">
        <v>0</v>
      </c>
      <c r="J34" s="304">
        <v>50</v>
      </c>
      <c r="K34" s="305">
        <v>6.25E-2</v>
      </c>
      <c r="L34" s="306">
        <v>0</v>
      </c>
      <c r="M34" s="306">
        <v>0</v>
      </c>
      <c r="N34" s="307">
        <v>0</v>
      </c>
      <c r="O34" s="308">
        <v>0</v>
      </c>
      <c r="P34" s="308">
        <v>0</v>
      </c>
      <c r="Q34" s="309">
        <v>0.14000000000000001</v>
      </c>
    </row>
    <row r="35" spans="1:17" ht="22.5" customHeight="1" x14ac:dyDescent="0.25">
      <c r="A35" s="301">
        <v>32</v>
      </c>
      <c r="B35" s="321" t="s">
        <v>299</v>
      </c>
      <c r="C35" s="303">
        <v>4.4669999999999996</v>
      </c>
      <c r="D35" s="302">
        <v>1</v>
      </c>
      <c r="E35" s="302">
        <v>0</v>
      </c>
      <c r="F35" s="302">
        <v>0</v>
      </c>
      <c r="G35" s="302">
        <v>17</v>
      </c>
      <c r="H35" s="304">
        <v>0</v>
      </c>
      <c r="I35" s="304">
        <v>0</v>
      </c>
      <c r="J35" s="304">
        <v>5</v>
      </c>
      <c r="K35" s="305">
        <v>5.8799999999999998E-2</v>
      </c>
      <c r="L35" s="306">
        <v>0</v>
      </c>
      <c r="M35" s="306">
        <v>0</v>
      </c>
      <c r="N35" s="307">
        <v>0</v>
      </c>
      <c r="O35" s="308">
        <v>0</v>
      </c>
      <c r="P35" s="308">
        <v>0</v>
      </c>
      <c r="Q35" s="309">
        <v>0.13</v>
      </c>
    </row>
    <row r="36" spans="1:17" ht="22.5" customHeight="1" x14ac:dyDescent="0.25">
      <c r="A36" s="301">
        <v>33</v>
      </c>
      <c r="B36" s="321" t="s">
        <v>280</v>
      </c>
      <c r="C36" s="303">
        <v>6.9630000000000001</v>
      </c>
      <c r="D36" s="302">
        <v>1</v>
      </c>
      <c r="E36" s="302">
        <v>0</v>
      </c>
      <c r="F36" s="302">
        <v>0</v>
      </c>
      <c r="G36" s="302">
        <v>17</v>
      </c>
      <c r="H36" s="304">
        <v>0</v>
      </c>
      <c r="I36" s="304">
        <v>0</v>
      </c>
      <c r="J36" s="304">
        <v>15</v>
      </c>
      <c r="K36" s="305">
        <v>5.8799999999999998E-2</v>
      </c>
      <c r="L36" s="306">
        <v>0</v>
      </c>
      <c r="M36" s="306">
        <v>0</v>
      </c>
      <c r="N36" s="307">
        <v>0</v>
      </c>
      <c r="O36" s="308">
        <v>0</v>
      </c>
      <c r="P36" s="308">
        <v>0</v>
      </c>
      <c r="Q36" s="309">
        <v>0.13</v>
      </c>
    </row>
    <row r="37" spans="1:17" ht="22.5" customHeight="1" x14ac:dyDescent="0.25">
      <c r="A37" s="301">
        <v>34</v>
      </c>
      <c r="B37" s="321" t="s">
        <v>371</v>
      </c>
      <c r="C37" s="303">
        <v>7.3529999999999998</v>
      </c>
      <c r="D37" s="302">
        <v>2</v>
      </c>
      <c r="E37" s="302">
        <v>0</v>
      </c>
      <c r="F37" s="302">
        <v>0</v>
      </c>
      <c r="G37" s="302">
        <v>36</v>
      </c>
      <c r="H37" s="304">
        <v>0</v>
      </c>
      <c r="I37" s="304">
        <v>0</v>
      </c>
      <c r="J37" s="304">
        <v>25</v>
      </c>
      <c r="K37" s="305">
        <v>5.5599999999999997E-2</v>
      </c>
      <c r="L37" s="306">
        <v>0</v>
      </c>
      <c r="M37" s="306">
        <v>0</v>
      </c>
      <c r="N37" s="307">
        <v>0</v>
      </c>
      <c r="O37" s="308">
        <v>0</v>
      </c>
      <c r="P37" s="308">
        <v>0</v>
      </c>
      <c r="Q37" s="309">
        <v>0.12</v>
      </c>
    </row>
    <row r="38" spans="1:17" ht="22.5" customHeight="1" x14ac:dyDescent="0.25">
      <c r="A38" s="301">
        <v>35</v>
      </c>
      <c r="B38" s="321" t="s">
        <v>374</v>
      </c>
      <c r="C38" s="303">
        <v>6.8609999999999998</v>
      </c>
      <c r="D38" s="302">
        <v>1</v>
      </c>
      <c r="E38" s="302">
        <v>0</v>
      </c>
      <c r="F38" s="302">
        <v>0</v>
      </c>
      <c r="G38" s="302">
        <v>21</v>
      </c>
      <c r="H38" s="304">
        <v>0</v>
      </c>
      <c r="I38" s="304">
        <v>0</v>
      </c>
      <c r="J38" s="304">
        <v>50</v>
      </c>
      <c r="K38" s="305">
        <v>4.7600000000000003E-2</v>
      </c>
      <c r="L38" s="306">
        <v>0</v>
      </c>
      <c r="M38" s="306">
        <v>0</v>
      </c>
      <c r="N38" s="307">
        <v>0</v>
      </c>
      <c r="O38" s="308">
        <v>0</v>
      </c>
      <c r="P38" s="308">
        <v>0</v>
      </c>
      <c r="Q38" s="309">
        <v>0.12</v>
      </c>
    </row>
    <row r="39" spans="1:17" ht="22.5" customHeight="1" x14ac:dyDescent="0.25">
      <c r="A39" s="301">
        <v>36</v>
      </c>
      <c r="B39" s="321" t="s">
        <v>317</v>
      </c>
      <c r="C39" s="303">
        <v>7.4269999999999996</v>
      </c>
      <c r="D39" s="302">
        <v>1</v>
      </c>
      <c r="E39" s="302">
        <v>0</v>
      </c>
      <c r="F39" s="302">
        <v>0</v>
      </c>
      <c r="G39" s="302">
        <v>32</v>
      </c>
      <c r="H39" s="304">
        <v>0</v>
      </c>
      <c r="I39" s="304">
        <v>0</v>
      </c>
      <c r="J39" s="304">
        <v>50</v>
      </c>
      <c r="K39" s="305">
        <v>3.1199999999999999E-2</v>
      </c>
      <c r="L39" s="306">
        <v>0</v>
      </c>
      <c r="M39" s="306">
        <v>0</v>
      </c>
      <c r="N39" s="307">
        <v>0</v>
      </c>
      <c r="O39" s="308">
        <v>0</v>
      </c>
      <c r="P39" s="308">
        <v>0</v>
      </c>
      <c r="Q39" s="309">
        <v>0.11</v>
      </c>
    </row>
    <row r="40" spans="1:17" ht="22.5" customHeight="1" x14ac:dyDescent="0.25">
      <c r="A40" s="301">
        <v>37</v>
      </c>
      <c r="B40" s="321" t="s">
        <v>405</v>
      </c>
      <c r="C40" s="303">
        <v>8.1240000000000006</v>
      </c>
      <c r="D40" s="302">
        <v>1</v>
      </c>
      <c r="E40" s="302">
        <v>0</v>
      </c>
      <c r="F40" s="302">
        <v>0</v>
      </c>
      <c r="G40" s="302">
        <v>31</v>
      </c>
      <c r="H40" s="304">
        <v>0</v>
      </c>
      <c r="I40" s="304">
        <v>0</v>
      </c>
      <c r="J40" s="304">
        <v>25</v>
      </c>
      <c r="K40" s="305">
        <v>3.2300000000000002E-2</v>
      </c>
      <c r="L40" s="306">
        <v>0</v>
      </c>
      <c r="M40" s="306">
        <v>0</v>
      </c>
      <c r="N40" s="307">
        <v>0</v>
      </c>
      <c r="O40" s="308">
        <v>0</v>
      </c>
      <c r="P40" s="308">
        <v>0</v>
      </c>
      <c r="Q40" s="309">
        <v>0.11</v>
      </c>
    </row>
    <row r="41" spans="1:17" ht="22.5" customHeight="1" x14ac:dyDescent="0.25">
      <c r="A41" s="301">
        <v>38</v>
      </c>
      <c r="B41" s="321" t="s">
        <v>351</v>
      </c>
      <c r="C41" s="303">
        <v>2.3929999999999998</v>
      </c>
      <c r="D41" s="302">
        <v>0</v>
      </c>
      <c r="E41" s="302">
        <v>0</v>
      </c>
      <c r="F41" s="302">
        <v>0</v>
      </c>
      <c r="G41" s="302">
        <v>7</v>
      </c>
      <c r="H41" s="304">
        <v>0</v>
      </c>
      <c r="I41" s="304">
        <v>0</v>
      </c>
      <c r="J41" s="304">
        <v>0</v>
      </c>
      <c r="K41" s="305">
        <v>0</v>
      </c>
      <c r="L41" s="306">
        <v>0</v>
      </c>
      <c r="M41" s="306">
        <v>0</v>
      </c>
      <c r="N41" s="307">
        <v>0</v>
      </c>
      <c r="O41" s="308">
        <v>0</v>
      </c>
      <c r="P41" s="308">
        <v>0</v>
      </c>
      <c r="Q41" s="309">
        <v>0.01</v>
      </c>
    </row>
    <row r="42" spans="1:17" ht="22.5" customHeight="1" x14ac:dyDescent="0.25">
      <c r="A42" s="301">
        <v>39</v>
      </c>
      <c r="B42" s="321" t="s">
        <v>392</v>
      </c>
      <c r="C42" s="303">
        <v>2.1669999999999998</v>
      </c>
      <c r="D42" s="302">
        <v>0</v>
      </c>
      <c r="E42" s="302">
        <v>0</v>
      </c>
      <c r="F42" s="302">
        <v>0</v>
      </c>
      <c r="G42" s="302">
        <v>13</v>
      </c>
      <c r="H42" s="304">
        <v>0</v>
      </c>
      <c r="I42" s="304">
        <v>0</v>
      </c>
      <c r="J42" s="304">
        <v>0</v>
      </c>
      <c r="K42" s="305">
        <v>0</v>
      </c>
      <c r="L42" s="306">
        <v>0</v>
      </c>
      <c r="M42" s="306">
        <v>0</v>
      </c>
      <c r="N42" s="307">
        <v>0</v>
      </c>
      <c r="O42" s="308">
        <v>0</v>
      </c>
      <c r="P42" s="308">
        <v>0</v>
      </c>
      <c r="Q42" s="309">
        <v>0.01</v>
      </c>
    </row>
    <row r="43" spans="1:17" ht="22.5" customHeight="1" x14ac:dyDescent="0.25">
      <c r="A43" s="301">
        <v>40</v>
      </c>
      <c r="B43" s="321" t="s">
        <v>279</v>
      </c>
      <c r="C43" s="303">
        <v>6.6029999999999998</v>
      </c>
      <c r="D43" s="302">
        <v>0</v>
      </c>
      <c r="E43" s="302">
        <v>0</v>
      </c>
      <c r="F43" s="302">
        <v>0</v>
      </c>
      <c r="G43" s="302">
        <v>34</v>
      </c>
      <c r="H43" s="304">
        <v>0</v>
      </c>
      <c r="I43" s="304">
        <v>0</v>
      </c>
      <c r="J43" s="304">
        <v>0</v>
      </c>
      <c r="K43" s="305">
        <v>0</v>
      </c>
      <c r="L43" s="306">
        <v>0</v>
      </c>
      <c r="M43" s="306">
        <v>0</v>
      </c>
      <c r="N43" s="307">
        <v>0</v>
      </c>
      <c r="O43" s="308">
        <v>0</v>
      </c>
      <c r="P43" s="308">
        <v>0</v>
      </c>
      <c r="Q43" s="309">
        <v>0.01</v>
      </c>
    </row>
    <row r="44" spans="1:17" ht="22.5" customHeight="1" x14ac:dyDescent="0.25">
      <c r="A44" s="301">
        <v>41</v>
      </c>
      <c r="B44" s="321" t="s">
        <v>330</v>
      </c>
      <c r="C44" s="303">
        <v>0.626</v>
      </c>
      <c r="D44" s="302">
        <v>0</v>
      </c>
      <c r="E44" s="302">
        <v>0</v>
      </c>
      <c r="F44" s="302">
        <v>0</v>
      </c>
      <c r="G44" s="302">
        <v>1</v>
      </c>
      <c r="H44" s="304">
        <v>0</v>
      </c>
      <c r="I44" s="304">
        <v>0</v>
      </c>
      <c r="J44" s="304">
        <v>0</v>
      </c>
      <c r="K44" s="305">
        <v>0</v>
      </c>
      <c r="L44" s="306">
        <v>0</v>
      </c>
      <c r="M44" s="306">
        <v>0</v>
      </c>
      <c r="N44" s="307">
        <v>0</v>
      </c>
      <c r="O44" s="308">
        <v>0</v>
      </c>
      <c r="P44" s="308">
        <v>0</v>
      </c>
      <c r="Q44" s="309">
        <v>0.01</v>
      </c>
    </row>
    <row r="45" spans="1:17" ht="22.5" customHeight="1" x14ac:dyDescent="0.25">
      <c r="A45" s="301">
        <v>42</v>
      </c>
      <c r="B45" s="321" t="s">
        <v>335</v>
      </c>
      <c r="C45" s="303">
        <v>1.254</v>
      </c>
      <c r="D45" s="302">
        <v>0</v>
      </c>
      <c r="E45" s="302">
        <v>0</v>
      </c>
      <c r="F45" s="302">
        <v>0</v>
      </c>
      <c r="G45" s="302">
        <v>4</v>
      </c>
      <c r="H45" s="304">
        <v>0</v>
      </c>
      <c r="I45" s="304">
        <v>0</v>
      </c>
      <c r="J45" s="304">
        <v>0</v>
      </c>
      <c r="K45" s="305">
        <v>0</v>
      </c>
      <c r="L45" s="306">
        <v>0</v>
      </c>
      <c r="M45" s="306">
        <v>0</v>
      </c>
      <c r="N45" s="307">
        <v>0</v>
      </c>
      <c r="O45" s="308">
        <v>0</v>
      </c>
      <c r="P45" s="308">
        <v>0</v>
      </c>
      <c r="Q45" s="309">
        <v>0.01</v>
      </c>
    </row>
    <row r="46" spans="1:17" ht="22.5" customHeight="1" x14ac:dyDescent="0.25">
      <c r="A46" s="301">
        <v>43</v>
      </c>
      <c r="B46" s="321" t="s">
        <v>314</v>
      </c>
      <c r="C46" s="303">
        <v>0.127</v>
      </c>
      <c r="D46" s="302">
        <v>0</v>
      </c>
      <c r="E46" s="302">
        <v>0</v>
      </c>
      <c r="F46" s="302">
        <v>0</v>
      </c>
      <c r="G46" s="302">
        <v>1</v>
      </c>
      <c r="H46" s="304">
        <v>0</v>
      </c>
      <c r="I46" s="304">
        <v>0</v>
      </c>
      <c r="J46" s="304">
        <v>0</v>
      </c>
      <c r="K46" s="305">
        <v>0</v>
      </c>
      <c r="L46" s="306">
        <v>0</v>
      </c>
      <c r="M46" s="306">
        <v>0</v>
      </c>
      <c r="N46" s="307">
        <v>0</v>
      </c>
      <c r="O46" s="308">
        <v>0</v>
      </c>
      <c r="P46" s="308">
        <v>0</v>
      </c>
      <c r="Q46" s="309">
        <v>0.01</v>
      </c>
    </row>
    <row r="47" spans="1:17" ht="22.5" customHeight="1" x14ac:dyDescent="0.25">
      <c r="A47" s="301">
        <v>44</v>
      </c>
      <c r="B47" s="321" t="s">
        <v>287</v>
      </c>
      <c r="C47" s="303">
        <v>0.495</v>
      </c>
      <c r="D47" s="302">
        <v>0</v>
      </c>
      <c r="E47" s="302">
        <v>0</v>
      </c>
      <c r="F47" s="302">
        <v>0</v>
      </c>
      <c r="G47" s="302">
        <v>1</v>
      </c>
      <c r="H47" s="304">
        <v>0</v>
      </c>
      <c r="I47" s="304">
        <v>0</v>
      </c>
      <c r="J47" s="304">
        <v>0</v>
      </c>
      <c r="K47" s="305">
        <v>0</v>
      </c>
      <c r="L47" s="306">
        <v>0</v>
      </c>
      <c r="M47" s="306">
        <v>0</v>
      </c>
      <c r="N47" s="307">
        <v>0</v>
      </c>
      <c r="O47" s="308">
        <v>0</v>
      </c>
      <c r="P47" s="308">
        <v>0</v>
      </c>
      <c r="Q47" s="309">
        <v>0.01</v>
      </c>
    </row>
    <row r="48" spans="1:17" ht="22.5" customHeight="1" x14ac:dyDescent="0.25">
      <c r="A48" s="301">
        <v>45</v>
      </c>
      <c r="B48" s="321" t="s">
        <v>383</v>
      </c>
      <c r="C48" s="303">
        <v>0.35299999999999998</v>
      </c>
      <c r="D48" s="302">
        <v>0</v>
      </c>
      <c r="E48" s="302">
        <v>0</v>
      </c>
      <c r="F48" s="302">
        <v>0</v>
      </c>
      <c r="G48" s="302">
        <v>2</v>
      </c>
      <c r="H48" s="304">
        <v>0</v>
      </c>
      <c r="I48" s="304">
        <v>0</v>
      </c>
      <c r="J48" s="304">
        <v>0</v>
      </c>
      <c r="K48" s="305">
        <v>0</v>
      </c>
      <c r="L48" s="306">
        <v>0</v>
      </c>
      <c r="M48" s="306">
        <v>0</v>
      </c>
      <c r="N48" s="307">
        <v>0</v>
      </c>
      <c r="O48" s="308">
        <v>0</v>
      </c>
      <c r="P48" s="308">
        <v>0</v>
      </c>
      <c r="Q48" s="309">
        <v>0.01</v>
      </c>
    </row>
    <row r="49" spans="1:17" ht="22.5" customHeight="1" x14ac:dyDescent="0.25">
      <c r="A49" s="301">
        <v>46</v>
      </c>
      <c r="B49" s="321" t="s">
        <v>302</v>
      </c>
      <c r="C49" s="303">
        <v>1.69</v>
      </c>
      <c r="D49" s="302">
        <v>0</v>
      </c>
      <c r="E49" s="302">
        <v>0</v>
      </c>
      <c r="F49" s="302">
        <v>0</v>
      </c>
      <c r="G49" s="302">
        <v>1</v>
      </c>
      <c r="H49" s="304">
        <v>0</v>
      </c>
      <c r="I49" s="304">
        <v>0</v>
      </c>
      <c r="J49" s="304">
        <v>0</v>
      </c>
      <c r="K49" s="305">
        <v>0</v>
      </c>
      <c r="L49" s="306">
        <v>0</v>
      </c>
      <c r="M49" s="306">
        <v>0</v>
      </c>
      <c r="N49" s="307">
        <v>0</v>
      </c>
      <c r="O49" s="308">
        <v>0</v>
      </c>
      <c r="P49" s="308">
        <v>0</v>
      </c>
      <c r="Q49" s="309">
        <v>0.01</v>
      </c>
    </row>
    <row r="50" spans="1:17" ht="22.5" customHeight="1" x14ac:dyDescent="0.25">
      <c r="A50" s="301">
        <v>47</v>
      </c>
      <c r="B50" s="321" t="s">
        <v>365</v>
      </c>
      <c r="C50" s="303">
        <v>4.5449999999999999</v>
      </c>
      <c r="D50" s="302">
        <v>0</v>
      </c>
      <c r="E50" s="302">
        <v>0</v>
      </c>
      <c r="F50" s="302">
        <v>0</v>
      </c>
      <c r="G50" s="302">
        <v>21</v>
      </c>
      <c r="H50" s="304">
        <v>0</v>
      </c>
      <c r="I50" s="304">
        <v>0</v>
      </c>
      <c r="J50" s="304">
        <v>0</v>
      </c>
      <c r="K50" s="305">
        <v>0</v>
      </c>
      <c r="L50" s="306">
        <v>0</v>
      </c>
      <c r="M50" s="306">
        <v>0</v>
      </c>
      <c r="N50" s="307">
        <v>0</v>
      </c>
      <c r="O50" s="308">
        <v>0</v>
      </c>
      <c r="P50" s="308">
        <v>0</v>
      </c>
      <c r="Q50" s="309">
        <v>0.01</v>
      </c>
    </row>
    <row r="51" spans="1:17" ht="22.5" customHeight="1" x14ac:dyDescent="0.25">
      <c r="A51" s="301">
        <v>48</v>
      </c>
      <c r="B51" s="321" t="s">
        <v>398</v>
      </c>
      <c r="C51" s="303">
        <v>1.25</v>
      </c>
      <c r="D51" s="302">
        <v>0</v>
      </c>
      <c r="E51" s="302">
        <v>0</v>
      </c>
      <c r="F51" s="302">
        <v>0</v>
      </c>
      <c r="G51" s="302">
        <v>7</v>
      </c>
      <c r="H51" s="304">
        <v>0</v>
      </c>
      <c r="I51" s="304">
        <v>0</v>
      </c>
      <c r="J51" s="304">
        <v>0</v>
      </c>
      <c r="K51" s="305">
        <v>0</v>
      </c>
      <c r="L51" s="306">
        <v>0</v>
      </c>
      <c r="M51" s="306">
        <v>0</v>
      </c>
      <c r="N51" s="307">
        <v>0</v>
      </c>
      <c r="O51" s="308">
        <v>0</v>
      </c>
      <c r="P51" s="308">
        <v>0</v>
      </c>
      <c r="Q51" s="309">
        <v>0.01</v>
      </c>
    </row>
    <row r="52" spans="1:17" ht="22.5" customHeight="1" x14ac:dyDescent="0.25">
      <c r="A52" s="301">
        <v>49</v>
      </c>
      <c r="B52" s="321" t="s">
        <v>324</v>
      </c>
      <c r="C52" s="303">
        <v>3.4649999999999999</v>
      </c>
      <c r="D52" s="302">
        <v>0</v>
      </c>
      <c r="E52" s="302">
        <v>0</v>
      </c>
      <c r="F52" s="302">
        <v>0</v>
      </c>
      <c r="G52" s="302">
        <v>13</v>
      </c>
      <c r="H52" s="304">
        <v>0</v>
      </c>
      <c r="I52" s="304">
        <v>0</v>
      </c>
      <c r="J52" s="304">
        <v>0</v>
      </c>
      <c r="K52" s="305">
        <v>0</v>
      </c>
      <c r="L52" s="306">
        <v>0</v>
      </c>
      <c r="M52" s="306">
        <v>0</v>
      </c>
      <c r="N52" s="307">
        <v>0</v>
      </c>
      <c r="O52" s="308">
        <v>0</v>
      </c>
      <c r="P52" s="308">
        <v>0</v>
      </c>
      <c r="Q52" s="309">
        <v>0.01</v>
      </c>
    </row>
    <row r="53" spans="1:17" ht="22.5" customHeight="1" x14ac:dyDescent="0.25">
      <c r="A53" s="301">
        <v>50</v>
      </c>
      <c r="B53" s="321" t="s">
        <v>329</v>
      </c>
      <c r="C53" s="303">
        <v>3.4849999999999999</v>
      </c>
      <c r="D53" s="302">
        <v>0</v>
      </c>
      <c r="E53" s="302">
        <v>0</v>
      </c>
      <c r="F53" s="302">
        <v>0</v>
      </c>
      <c r="G53" s="302">
        <v>15</v>
      </c>
      <c r="H53" s="304">
        <v>0</v>
      </c>
      <c r="I53" s="304">
        <v>0</v>
      </c>
      <c r="J53" s="304">
        <v>0</v>
      </c>
      <c r="K53" s="305">
        <v>0</v>
      </c>
      <c r="L53" s="306">
        <v>0</v>
      </c>
      <c r="M53" s="306">
        <v>0</v>
      </c>
      <c r="N53" s="307">
        <v>0</v>
      </c>
      <c r="O53" s="308">
        <v>0</v>
      </c>
      <c r="P53" s="308">
        <v>0</v>
      </c>
      <c r="Q53" s="309">
        <v>0.01</v>
      </c>
    </row>
    <row r="54" spans="1:17" ht="22.5" customHeight="1" x14ac:dyDescent="0.25">
      <c r="A54" s="301">
        <v>51</v>
      </c>
      <c r="B54" s="321" t="s">
        <v>354</v>
      </c>
      <c r="C54" s="303">
        <v>4.8579999999999997</v>
      </c>
      <c r="D54" s="302">
        <v>0</v>
      </c>
      <c r="E54" s="302">
        <v>0</v>
      </c>
      <c r="F54" s="302">
        <v>0</v>
      </c>
      <c r="G54" s="302">
        <v>11</v>
      </c>
      <c r="H54" s="304">
        <v>0</v>
      </c>
      <c r="I54" s="304">
        <v>0</v>
      </c>
      <c r="J54" s="304">
        <v>0</v>
      </c>
      <c r="K54" s="305">
        <v>0</v>
      </c>
      <c r="L54" s="306">
        <v>0</v>
      </c>
      <c r="M54" s="306">
        <v>0</v>
      </c>
      <c r="N54" s="307">
        <v>0</v>
      </c>
      <c r="O54" s="308">
        <v>0</v>
      </c>
      <c r="P54" s="308">
        <v>0</v>
      </c>
      <c r="Q54" s="309">
        <v>0.01</v>
      </c>
    </row>
    <row r="55" spans="1:17" ht="22.5" customHeight="1" x14ac:dyDescent="0.25">
      <c r="A55" s="301">
        <v>52</v>
      </c>
      <c r="B55" s="321" t="s">
        <v>328</v>
      </c>
      <c r="C55" s="303">
        <v>6.774</v>
      </c>
      <c r="D55" s="302">
        <v>0</v>
      </c>
      <c r="E55" s="302">
        <v>0</v>
      </c>
      <c r="F55" s="302">
        <v>0</v>
      </c>
      <c r="G55" s="302">
        <v>13</v>
      </c>
      <c r="H55" s="304">
        <v>0</v>
      </c>
      <c r="I55" s="304">
        <v>0</v>
      </c>
      <c r="J55" s="304">
        <v>0</v>
      </c>
      <c r="K55" s="305">
        <v>0</v>
      </c>
      <c r="L55" s="306">
        <v>0</v>
      </c>
      <c r="M55" s="306">
        <v>0</v>
      </c>
      <c r="N55" s="307">
        <v>0</v>
      </c>
      <c r="O55" s="308">
        <v>0</v>
      </c>
      <c r="P55" s="308">
        <v>0</v>
      </c>
      <c r="Q55" s="309">
        <v>0.01</v>
      </c>
    </row>
    <row r="56" spans="1:17" ht="22.5" customHeight="1" x14ac:dyDescent="0.25">
      <c r="A56" s="301">
        <v>53</v>
      </c>
      <c r="B56" s="321" t="s">
        <v>373</v>
      </c>
      <c r="C56" s="303">
        <v>7.07</v>
      </c>
      <c r="D56" s="302">
        <v>0</v>
      </c>
      <c r="E56" s="302">
        <v>0</v>
      </c>
      <c r="F56" s="302">
        <v>0</v>
      </c>
      <c r="G56" s="302">
        <v>34</v>
      </c>
      <c r="H56" s="304">
        <v>0</v>
      </c>
      <c r="I56" s="304">
        <v>0</v>
      </c>
      <c r="J56" s="304">
        <v>0</v>
      </c>
      <c r="K56" s="305">
        <v>0</v>
      </c>
      <c r="L56" s="306">
        <v>0</v>
      </c>
      <c r="M56" s="306">
        <v>0</v>
      </c>
      <c r="N56" s="307">
        <v>0</v>
      </c>
      <c r="O56" s="308">
        <v>0</v>
      </c>
      <c r="P56" s="308">
        <v>0</v>
      </c>
      <c r="Q56" s="309">
        <v>0.01</v>
      </c>
    </row>
    <row r="57" spans="1:17" ht="22.5" customHeight="1" x14ac:dyDescent="0.25">
      <c r="A57" s="301">
        <v>54</v>
      </c>
      <c r="B57" s="321" t="s">
        <v>359</v>
      </c>
      <c r="C57" s="303">
        <v>0.88100000000000001</v>
      </c>
      <c r="D57" s="302">
        <v>0</v>
      </c>
      <c r="E57" s="302">
        <v>0</v>
      </c>
      <c r="F57" s="302">
        <v>0</v>
      </c>
      <c r="G57" s="302">
        <v>1</v>
      </c>
      <c r="H57" s="304">
        <v>0</v>
      </c>
      <c r="I57" s="304">
        <v>0</v>
      </c>
      <c r="J57" s="304">
        <v>0</v>
      </c>
      <c r="K57" s="305">
        <v>0</v>
      </c>
      <c r="L57" s="306">
        <v>0</v>
      </c>
      <c r="M57" s="306">
        <v>0</v>
      </c>
      <c r="N57" s="307">
        <v>0</v>
      </c>
      <c r="O57" s="308">
        <v>0</v>
      </c>
      <c r="P57" s="308">
        <v>0</v>
      </c>
      <c r="Q57" s="309">
        <v>0.01</v>
      </c>
    </row>
    <row r="58" spans="1:17" ht="22.5" customHeight="1" x14ac:dyDescent="0.25">
      <c r="A58" s="301">
        <v>55</v>
      </c>
      <c r="B58" s="321" t="s">
        <v>414</v>
      </c>
      <c r="C58" s="303">
        <v>1.3520000000000001</v>
      </c>
      <c r="D58" s="302">
        <v>0</v>
      </c>
      <c r="E58" s="302">
        <v>0</v>
      </c>
      <c r="F58" s="302">
        <v>0</v>
      </c>
      <c r="G58" s="302">
        <v>1</v>
      </c>
      <c r="H58" s="304">
        <v>0</v>
      </c>
      <c r="I58" s="304">
        <v>0</v>
      </c>
      <c r="J58" s="304">
        <v>0</v>
      </c>
      <c r="K58" s="305">
        <v>0</v>
      </c>
      <c r="L58" s="306">
        <v>0</v>
      </c>
      <c r="M58" s="306">
        <v>0</v>
      </c>
      <c r="N58" s="307">
        <v>0</v>
      </c>
      <c r="O58" s="308">
        <v>0</v>
      </c>
      <c r="P58" s="308">
        <v>0</v>
      </c>
      <c r="Q58" s="309">
        <v>0.01</v>
      </c>
    </row>
    <row r="59" spans="1:17" ht="22.5" customHeight="1" x14ac:dyDescent="0.25">
      <c r="A59" s="301">
        <v>56</v>
      </c>
      <c r="B59" s="321" t="s">
        <v>397</v>
      </c>
      <c r="C59" s="303">
        <v>6.875</v>
      </c>
      <c r="D59" s="302">
        <v>0</v>
      </c>
      <c r="E59" s="302">
        <v>0</v>
      </c>
      <c r="F59" s="302">
        <v>0</v>
      </c>
      <c r="G59" s="302">
        <v>7</v>
      </c>
      <c r="H59" s="304">
        <v>0</v>
      </c>
      <c r="I59" s="304">
        <v>0</v>
      </c>
      <c r="J59" s="304">
        <v>0</v>
      </c>
      <c r="K59" s="305">
        <v>0</v>
      </c>
      <c r="L59" s="306">
        <v>0</v>
      </c>
      <c r="M59" s="306">
        <v>0</v>
      </c>
      <c r="N59" s="307">
        <v>0</v>
      </c>
      <c r="O59" s="308">
        <v>0</v>
      </c>
      <c r="P59" s="308">
        <v>0</v>
      </c>
      <c r="Q59" s="309">
        <v>0.01</v>
      </c>
    </row>
    <row r="60" spans="1:17" ht="22.5" customHeight="1" x14ac:dyDescent="0.25">
      <c r="A60" s="301">
        <v>57</v>
      </c>
      <c r="B60" s="321" t="s">
        <v>379</v>
      </c>
      <c r="C60" s="303">
        <v>6.1280000000000001</v>
      </c>
      <c r="D60" s="302">
        <v>0</v>
      </c>
      <c r="E60" s="302">
        <v>0</v>
      </c>
      <c r="F60" s="302">
        <v>0</v>
      </c>
      <c r="G60" s="302">
        <v>19</v>
      </c>
      <c r="H60" s="304">
        <v>0</v>
      </c>
      <c r="I60" s="304">
        <v>0</v>
      </c>
      <c r="J60" s="304">
        <v>0</v>
      </c>
      <c r="K60" s="305">
        <v>0</v>
      </c>
      <c r="L60" s="306">
        <v>0</v>
      </c>
      <c r="M60" s="306">
        <v>0</v>
      </c>
      <c r="N60" s="307">
        <v>0</v>
      </c>
      <c r="O60" s="308">
        <v>0</v>
      </c>
      <c r="P60" s="308">
        <v>0</v>
      </c>
      <c r="Q60" s="309">
        <v>0.01</v>
      </c>
    </row>
    <row r="61" spans="1:17" ht="22.5" customHeight="1" x14ac:dyDescent="0.25">
      <c r="A61" s="301">
        <v>58</v>
      </c>
      <c r="B61" s="321" t="s">
        <v>290</v>
      </c>
      <c r="C61" s="303">
        <v>0.44900000000000001</v>
      </c>
      <c r="D61" s="302">
        <v>0</v>
      </c>
      <c r="E61" s="302">
        <v>0</v>
      </c>
      <c r="F61" s="302">
        <v>0</v>
      </c>
      <c r="G61" s="302">
        <v>1</v>
      </c>
      <c r="H61" s="304">
        <v>0</v>
      </c>
      <c r="I61" s="304">
        <v>0</v>
      </c>
      <c r="J61" s="304">
        <v>0</v>
      </c>
      <c r="K61" s="305">
        <v>0</v>
      </c>
      <c r="L61" s="306">
        <v>0</v>
      </c>
      <c r="M61" s="306">
        <v>0</v>
      </c>
      <c r="N61" s="307">
        <v>0</v>
      </c>
      <c r="O61" s="308">
        <v>0</v>
      </c>
      <c r="P61" s="308">
        <v>0</v>
      </c>
      <c r="Q61" s="309">
        <v>0.01</v>
      </c>
    </row>
    <row r="62" spans="1:17" ht="22.5" customHeight="1" x14ac:dyDescent="0.25">
      <c r="A62" s="301">
        <v>59</v>
      </c>
      <c r="B62" s="321" t="s">
        <v>291</v>
      </c>
      <c r="C62" s="303">
        <v>1.429</v>
      </c>
      <c r="D62" s="302">
        <v>0</v>
      </c>
      <c r="E62" s="302">
        <v>0</v>
      </c>
      <c r="F62" s="302">
        <v>0</v>
      </c>
      <c r="G62" s="302">
        <v>9</v>
      </c>
      <c r="H62" s="304">
        <v>0</v>
      </c>
      <c r="I62" s="304">
        <v>0</v>
      </c>
      <c r="J62" s="304">
        <v>0</v>
      </c>
      <c r="K62" s="305">
        <v>0</v>
      </c>
      <c r="L62" s="306">
        <v>0</v>
      </c>
      <c r="M62" s="306">
        <v>0</v>
      </c>
      <c r="N62" s="307">
        <v>0</v>
      </c>
      <c r="O62" s="308">
        <v>0</v>
      </c>
      <c r="P62" s="308">
        <v>0</v>
      </c>
      <c r="Q62" s="309">
        <v>0.01</v>
      </c>
    </row>
    <row r="63" spans="1:17" ht="22.5" customHeight="1" x14ac:dyDescent="0.25">
      <c r="A63" s="301">
        <v>60</v>
      </c>
      <c r="B63" s="321" t="s">
        <v>337</v>
      </c>
      <c r="C63" s="303">
        <v>1.2190000000000001</v>
      </c>
      <c r="D63" s="302">
        <v>0</v>
      </c>
      <c r="E63" s="302">
        <v>0</v>
      </c>
      <c r="F63" s="302">
        <v>0</v>
      </c>
      <c r="G63" s="302">
        <v>3</v>
      </c>
      <c r="H63" s="304">
        <v>0</v>
      </c>
      <c r="I63" s="304">
        <v>0</v>
      </c>
      <c r="J63" s="304">
        <v>0</v>
      </c>
      <c r="K63" s="305">
        <v>0</v>
      </c>
      <c r="L63" s="306">
        <v>0</v>
      </c>
      <c r="M63" s="306">
        <v>0</v>
      </c>
      <c r="N63" s="307">
        <v>0</v>
      </c>
      <c r="O63" s="308">
        <v>0</v>
      </c>
      <c r="P63" s="308">
        <v>0</v>
      </c>
      <c r="Q63" s="309">
        <v>0.01</v>
      </c>
    </row>
    <row r="64" spans="1:17" ht="22.5" customHeight="1" x14ac:dyDescent="0.25">
      <c r="A64" s="301">
        <v>61</v>
      </c>
      <c r="B64" s="321" t="s">
        <v>411</v>
      </c>
      <c r="C64" s="303">
        <v>1.1639999999999999</v>
      </c>
      <c r="D64" s="302">
        <v>0</v>
      </c>
      <c r="E64" s="302">
        <v>0</v>
      </c>
      <c r="F64" s="302">
        <v>0</v>
      </c>
      <c r="G64" s="302">
        <v>4</v>
      </c>
      <c r="H64" s="304">
        <v>0</v>
      </c>
      <c r="I64" s="304">
        <v>0</v>
      </c>
      <c r="J64" s="304">
        <v>0</v>
      </c>
      <c r="K64" s="305">
        <v>0</v>
      </c>
      <c r="L64" s="306">
        <v>0</v>
      </c>
      <c r="M64" s="306">
        <v>0</v>
      </c>
      <c r="N64" s="307">
        <v>0</v>
      </c>
      <c r="O64" s="308">
        <v>0</v>
      </c>
      <c r="P64" s="308">
        <v>0</v>
      </c>
      <c r="Q64" s="309">
        <v>0.01</v>
      </c>
    </row>
    <row r="65" spans="1:17" ht="22.5" customHeight="1" x14ac:dyDescent="0.25">
      <c r="A65" s="301">
        <v>62</v>
      </c>
      <c r="B65" s="321" t="s">
        <v>297</v>
      </c>
      <c r="C65" s="303">
        <v>0.63400000000000001</v>
      </c>
      <c r="D65" s="302">
        <v>0</v>
      </c>
      <c r="E65" s="302">
        <v>0</v>
      </c>
      <c r="F65" s="302">
        <v>0</v>
      </c>
      <c r="G65" s="302">
        <v>1</v>
      </c>
      <c r="H65" s="304">
        <v>0</v>
      </c>
      <c r="I65" s="304">
        <v>0</v>
      </c>
      <c r="J65" s="304">
        <v>0</v>
      </c>
      <c r="K65" s="305">
        <v>0</v>
      </c>
      <c r="L65" s="306">
        <v>0</v>
      </c>
      <c r="M65" s="306">
        <v>0</v>
      </c>
      <c r="N65" s="307">
        <v>0</v>
      </c>
      <c r="O65" s="308">
        <v>0</v>
      </c>
      <c r="P65" s="308">
        <v>0</v>
      </c>
      <c r="Q65" s="309">
        <v>0.01</v>
      </c>
    </row>
    <row r="66" spans="1:17" ht="22.5" customHeight="1" x14ac:dyDescent="0.25">
      <c r="A66" s="301">
        <v>63</v>
      </c>
      <c r="B66" s="321" t="s">
        <v>276</v>
      </c>
      <c r="C66" s="303">
        <v>0.89800000000000002</v>
      </c>
      <c r="D66" s="302">
        <v>0</v>
      </c>
      <c r="E66" s="302">
        <v>0</v>
      </c>
      <c r="F66" s="302">
        <v>0</v>
      </c>
      <c r="G66" s="302">
        <v>2</v>
      </c>
      <c r="H66" s="304">
        <v>0</v>
      </c>
      <c r="I66" s="304">
        <v>0</v>
      </c>
      <c r="J66" s="304">
        <v>0</v>
      </c>
      <c r="K66" s="305">
        <v>0</v>
      </c>
      <c r="L66" s="306">
        <v>0</v>
      </c>
      <c r="M66" s="306">
        <v>0</v>
      </c>
      <c r="N66" s="307">
        <v>0</v>
      </c>
      <c r="O66" s="308">
        <v>0</v>
      </c>
      <c r="P66" s="308">
        <v>0</v>
      </c>
      <c r="Q66" s="309">
        <v>0.01</v>
      </c>
    </row>
    <row r="67" spans="1:17" ht="22.5" customHeight="1" x14ac:dyDescent="0.25">
      <c r="A67" s="301">
        <v>64</v>
      </c>
      <c r="B67" s="321" t="s">
        <v>362</v>
      </c>
      <c r="C67" s="303">
        <v>1.647</v>
      </c>
      <c r="D67" s="302">
        <v>0</v>
      </c>
      <c r="E67" s="302">
        <v>0</v>
      </c>
      <c r="F67" s="302">
        <v>0</v>
      </c>
      <c r="G67" s="302">
        <v>9</v>
      </c>
      <c r="H67" s="304">
        <v>0</v>
      </c>
      <c r="I67" s="304">
        <v>0</v>
      </c>
      <c r="J67" s="304">
        <v>0</v>
      </c>
      <c r="K67" s="305">
        <v>0</v>
      </c>
      <c r="L67" s="306">
        <v>0</v>
      </c>
      <c r="M67" s="306">
        <v>0</v>
      </c>
      <c r="N67" s="307">
        <v>0</v>
      </c>
      <c r="O67" s="308">
        <v>0</v>
      </c>
      <c r="P67" s="308">
        <v>0</v>
      </c>
      <c r="Q67" s="309">
        <v>0.01</v>
      </c>
    </row>
    <row r="68" spans="1:17" ht="22.5" customHeight="1" x14ac:dyDescent="0.25">
      <c r="A68" s="301">
        <v>65</v>
      </c>
      <c r="B68" s="321" t="s">
        <v>321</v>
      </c>
      <c r="C68" s="303">
        <v>2.2490000000000001</v>
      </c>
      <c r="D68" s="302">
        <v>0</v>
      </c>
      <c r="E68" s="302">
        <v>0</v>
      </c>
      <c r="F68" s="302">
        <v>0</v>
      </c>
      <c r="G68" s="302">
        <v>6</v>
      </c>
      <c r="H68" s="304">
        <v>0</v>
      </c>
      <c r="I68" s="304">
        <v>0</v>
      </c>
      <c r="J68" s="304">
        <v>0</v>
      </c>
      <c r="K68" s="305">
        <v>0</v>
      </c>
      <c r="L68" s="306">
        <v>0</v>
      </c>
      <c r="M68" s="306">
        <v>0</v>
      </c>
      <c r="N68" s="307">
        <v>0</v>
      </c>
      <c r="O68" s="308">
        <v>0</v>
      </c>
      <c r="P68" s="308">
        <v>0</v>
      </c>
      <c r="Q68" s="309">
        <v>0.01</v>
      </c>
    </row>
    <row r="69" spans="1:17" ht="22.5" customHeight="1" x14ac:dyDescent="0.25">
      <c r="A69" s="301">
        <v>66</v>
      </c>
      <c r="B69" s="321" t="s">
        <v>269</v>
      </c>
      <c r="C69" s="303">
        <v>1.7130000000000001</v>
      </c>
      <c r="D69" s="302">
        <v>0</v>
      </c>
      <c r="E69" s="302">
        <v>0</v>
      </c>
      <c r="F69" s="302">
        <v>0</v>
      </c>
      <c r="G69" s="302">
        <v>4</v>
      </c>
      <c r="H69" s="304">
        <v>0</v>
      </c>
      <c r="I69" s="304">
        <v>0</v>
      </c>
      <c r="J69" s="304">
        <v>0</v>
      </c>
      <c r="K69" s="305">
        <v>0</v>
      </c>
      <c r="L69" s="306">
        <v>0</v>
      </c>
      <c r="M69" s="306">
        <v>0</v>
      </c>
      <c r="N69" s="307">
        <v>0</v>
      </c>
      <c r="O69" s="308">
        <v>0</v>
      </c>
      <c r="P69" s="308">
        <v>0</v>
      </c>
      <c r="Q69" s="309">
        <v>0.01</v>
      </c>
    </row>
    <row r="70" spans="1:17" ht="22.5" customHeight="1" x14ac:dyDescent="0.25">
      <c r="A70" s="301" t="s">
        <v>171</v>
      </c>
      <c r="B70" s="322" t="s">
        <v>3</v>
      </c>
      <c r="C70" s="311">
        <v>293.77699999999999</v>
      </c>
      <c r="D70" s="310">
        <v>79</v>
      </c>
      <c r="E70" s="310">
        <v>42</v>
      </c>
      <c r="F70" s="310">
        <v>0</v>
      </c>
      <c r="G70" s="312">
        <v>1098</v>
      </c>
      <c r="H70" s="313">
        <v>2340</v>
      </c>
      <c r="I70" s="313">
        <v>0</v>
      </c>
      <c r="J70" s="313">
        <v>3275</v>
      </c>
      <c r="K70" s="314">
        <v>7.1900000000000006E-2</v>
      </c>
      <c r="L70" s="323">
        <v>0.53159999999999996</v>
      </c>
      <c r="M70" s="323">
        <v>0</v>
      </c>
      <c r="N70" s="324">
        <v>7.97</v>
      </c>
      <c r="O70" s="325">
        <v>0.14000000000000001</v>
      </c>
      <c r="P70" s="325">
        <v>0</v>
      </c>
      <c r="Q70" s="326" t="s">
        <v>171</v>
      </c>
    </row>
  </sheetData>
  <sortState ref="B3:R68">
    <sortCondition descending="1" ref="Q3"/>
  </sortState>
  <mergeCells count="3">
    <mergeCell ref="A2:A3"/>
    <mergeCell ref="B2:B3"/>
    <mergeCell ref="F1:L1"/>
  </mergeCells>
  <pageMargins left="0.25" right="0.25" top="0.25" bottom="0.5" header="0.25" footer="0.25"/>
  <pageSetup orientation="portrait" cellComments="atEnd"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rgb="FF0070C0"/>
    <pageSetUpPr fitToPage="1"/>
  </sheetPr>
  <dimension ref="A1:Q78"/>
  <sheetViews>
    <sheetView workbookViewId="0">
      <selection activeCell="G15" sqref="G15"/>
    </sheetView>
  </sheetViews>
  <sheetFormatPr defaultRowHeight="22.5" customHeight="1" x14ac:dyDescent="0.25"/>
  <cols>
    <col min="1" max="1" width="6" style="93" bestFit="1" customWidth="1"/>
    <col min="2" max="2" width="21.5703125" style="94" bestFit="1" customWidth="1"/>
    <col min="3" max="3" width="8.28515625" style="93" bestFit="1" customWidth="1"/>
    <col min="4" max="4" width="6" style="93" bestFit="1" customWidth="1"/>
    <col min="5" max="5" width="10.28515625" style="93" bestFit="1" customWidth="1"/>
    <col min="6" max="6" width="10.42578125" style="93" bestFit="1" customWidth="1"/>
    <col min="7" max="7" width="8.42578125" style="93" bestFit="1" customWidth="1"/>
    <col min="8" max="8" width="12" style="93" bestFit="1" customWidth="1"/>
    <col min="9" max="9" width="10.42578125" style="93" bestFit="1" customWidth="1"/>
    <col min="10" max="10" width="12" style="93" bestFit="1" customWidth="1"/>
    <col min="11" max="11" width="13.42578125" style="93" bestFit="1" customWidth="1"/>
    <col min="12" max="12" width="11.42578125" style="93" bestFit="1" customWidth="1"/>
    <col min="13" max="13" width="10.42578125" style="93" bestFit="1" customWidth="1"/>
    <col min="14" max="14" width="11.85546875" style="93" bestFit="1" customWidth="1"/>
    <col min="15" max="15" width="11.42578125" style="93" bestFit="1" customWidth="1"/>
    <col min="16" max="16" width="10.42578125" style="93" bestFit="1" customWidth="1"/>
    <col min="17" max="17" width="12.28515625" style="93" bestFit="1" customWidth="1"/>
    <col min="18" max="16384" width="9.140625" style="93"/>
  </cols>
  <sheetData>
    <row r="1" spans="1:17" ht="22.5" customHeight="1" x14ac:dyDescent="0.25">
      <c r="F1" s="630" t="s">
        <v>264</v>
      </c>
      <c r="G1" s="630"/>
      <c r="H1" s="630"/>
      <c r="I1" s="630"/>
      <c r="J1" s="630"/>
      <c r="K1" s="630"/>
      <c r="L1" s="630"/>
    </row>
    <row r="2" spans="1:17" ht="22.5" customHeight="1" x14ac:dyDescent="0.25">
      <c r="A2" s="627" t="s">
        <v>172</v>
      </c>
      <c r="B2" s="608" t="s">
        <v>7</v>
      </c>
      <c r="C2" s="341" t="s">
        <v>173</v>
      </c>
      <c r="D2" s="342" t="s">
        <v>3</v>
      </c>
      <c r="E2" s="342" t="s">
        <v>176</v>
      </c>
      <c r="F2" s="342" t="s">
        <v>166</v>
      </c>
      <c r="G2" s="342" t="s">
        <v>8</v>
      </c>
      <c r="H2" s="342" t="s">
        <v>176</v>
      </c>
      <c r="I2" s="342" t="s">
        <v>166</v>
      </c>
      <c r="J2" s="342" t="s">
        <v>3</v>
      </c>
      <c r="K2" s="342" t="s">
        <v>21</v>
      </c>
      <c r="L2" s="342" t="s">
        <v>164</v>
      </c>
      <c r="M2" s="342" t="s">
        <v>166</v>
      </c>
      <c r="N2" s="342" t="s">
        <v>164</v>
      </c>
      <c r="O2" s="342" t="s">
        <v>164</v>
      </c>
      <c r="P2" s="342" t="s">
        <v>166</v>
      </c>
      <c r="Q2" s="343" t="s">
        <v>169</v>
      </c>
    </row>
    <row r="3" spans="1:17" ht="22.5" customHeight="1" x14ac:dyDescent="0.25">
      <c r="A3" s="628"/>
      <c r="B3" s="629"/>
      <c r="C3" s="344" t="s">
        <v>174</v>
      </c>
      <c r="D3" s="345" t="s">
        <v>175</v>
      </c>
      <c r="E3" s="345" t="s">
        <v>175</v>
      </c>
      <c r="F3" s="345" t="s">
        <v>175</v>
      </c>
      <c r="G3" s="345" t="s">
        <v>12</v>
      </c>
      <c r="H3" s="345" t="s">
        <v>9</v>
      </c>
      <c r="I3" s="345" t="s">
        <v>9</v>
      </c>
      <c r="J3" s="345" t="s">
        <v>9</v>
      </c>
      <c r="K3" s="345" t="s">
        <v>13</v>
      </c>
      <c r="L3" s="345" t="s">
        <v>165</v>
      </c>
      <c r="M3" s="345" t="s">
        <v>165</v>
      </c>
      <c r="N3" s="345" t="s">
        <v>167</v>
      </c>
      <c r="O3" s="345" t="s">
        <v>168</v>
      </c>
      <c r="P3" s="345" t="s">
        <v>168</v>
      </c>
      <c r="Q3" s="346" t="s">
        <v>170</v>
      </c>
    </row>
    <row r="4" spans="1:17" ht="22.5" customHeight="1" x14ac:dyDescent="0.25">
      <c r="A4" s="327">
        <v>1</v>
      </c>
      <c r="B4" s="347" t="s">
        <v>272</v>
      </c>
      <c r="C4" s="329">
        <v>6.24</v>
      </c>
      <c r="D4" s="328">
        <v>10</v>
      </c>
      <c r="E4" s="328">
        <v>6</v>
      </c>
      <c r="F4" s="328">
        <v>1</v>
      </c>
      <c r="G4" s="328">
        <v>30</v>
      </c>
      <c r="H4" s="330">
        <v>215</v>
      </c>
      <c r="I4" s="330">
        <v>120</v>
      </c>
      <c r="J4" s="330">
        <v>355</v>
      </c>
      <c r="K4" s="331">
        <v>0.33329999999999999</v>
      </c>
      <c r="L4" s="332">
        <v>0.7</v>
      </c>
      <c r="M4" s="332">
        <v>0.25</v>
      </c>
      <c r="N4" s="333">
        <v>53.69</v>
      </c>
      <c r="O4" s="334">
        <v>1.1200000000000001</v>
      </c>
      <c r="P4" s="334">
        <v>0.16</v>
      </c>
      <c r="Q4" s="335">
        <v>0.91</v>
      </c>
    </row>
    <row r="5" spans="1:17" ht="22.5" customHeight="1" x14ac:dyDescent="0.25">
      <c r="A5" s="327">
        <v>2</v>
      </c>
      <c r="B5" s="347" t="s">
        <v>341</v>
      </c>
      <c r="C5" s="329">
        <v>4.5179999999999998</v>
      </c>
      <c r="D5" s="328">
        <v>2</v>
      </c>
      <c r="E5" s="328">
        <v>1</v>
      </c>
      <c r="F5" s="328">
        <v>1</v>
      </c>
      <c r="G5" s="328">
        <v>10</v>
      </c>
      <c r="H5" s="330">
        <v>50</v>
      </c>
      <c r="I5" s="330">
        <v>120</v>
      </c>
      <c r="J5" s="330">
        <v>170</v>
      </c>
      <c r="K5" s="331">
        <v>0.2</v>
      </c>
      <c r="L5" s="332">
        <v>1</v>
      </c>
      <c r="M5" s="332">
        <v>1</v>
      </c>
      <c r="N5" s="333">
        <v>37.630000000000003</v>
      </c>
      <c r="O5" s="334">
        <v>0.44</v>
      </c>
      <c r="P5" s="334">
        <v>0.22</v>
      </c>
      <c r="Q5" s="335">
        <v>0.87</v>
      </c>
    </row>
    <row r="6" spans="1:17" ht="22.5" customHeight="1" x14ac:dyDescent="0.25">
      <c r="A6" s="327">
        <v>3</v>
      </c>
      <c r="B6" s="347" t="s">
        <v>373</v>
      </c>
      <c r="C6" s="329">
        <v>7.133</v>
      </c>
      <c r="D6" s="328">
        <v>3</v>
      </c>
      <c r="E6" s="328">
        <v>2</v>
      </c>
      <c r="F6" s="328">
        <v>1</v>
      </c>
      <c r="G6" s="328">
        <v>23</v>
      </c>
      <c r="H6" s="330">
        <v>210</v>
      </c>
      <c r="I6" s="330">
        <v>120</v>
      </c>
      <c r="J6" s="330">
        <v>330</v>
      </c>
      <c r="K6" s="331">
        <v>0.13039999999999999</v>
      </c>
      <c r="L6" s="332">
        <v>1</v>
      </c>
      <c r="M6" s="332">
        <v>1</v>
      </c>
      <c r="N6" s="333">
        <v>46.26</v>
      </c>
      <c r="O6" s="334">
        <v>0.42</v>
      </c>
      <c r="P6" s="334">
        <v>0.14000000000000001</v>
      </c>
      <c r="Q6" s="335">
        <v>0.84</v>
      </c>
    </row>
    <row r="7" spans="1:17" ht="22.5" customHeight="1" x14ac:dyDescent="0.25">
      <c r="A7" s="327">
        <v>4</v>
      </c>
      <c r="B7" s="347" t="s">
        <v>269</v>
      </c>
      <c r="C7" s="329">
        <v>5.9089999999999998</v>
      </c>
      <c r="D7" s="328">
        <v>3</v>
      </c>
      <c r="E7" s="328">
        <v>1</v>
      </c>
      <c r="F7" s="328">
        <v>1</v>
      </c>
      <c r="G7" s="328">
        <v>18</v>
      </c>
      <c r="H7" s="330">
        <v>40</v>
      </c>
      <c r="I7" s="330">
        <v>50</v>
      </c>
      <c r="J7" s="330">
        <v>100</v>
      </c>
      <c r="K7" s="331">
        <v>0.16669999999999999</v>
      </c>
      <c r="L7" s="332">
        <v>0.66669999999999996</v>
      </c>
      <c r="M7" s="332">
        <v>0.5</v>
      </c>
      <c r="N7" s="333">
        <v>15.23</v>
      </c>
      <c r="O7" s="334">
        <v>0.34</v>
      </c>
      <c r="P7" s="334">
        <v>0.17</v>
      </c>
      <c r="Q7" s="335">
        <v>0.81</v>
      </c>
    </row>
    <row r="8" spans="1:17" ht="22.5" customHeight="1" x14ac:dyDescent="0.25">
      <c r="A8" s="327">
        <v>5</v>
      </c>
      <c r="B8" s="347" t="s">
        <v>374</v>
      </c>
      <c r="C8" s="329">
        <v>6.9160000000000004</v>
      </c>
      <c r="D8" s="328">
        <v>3</v>
      </c>
      <c r="E8" s="328">
        <v>1</v>
      </c>
      <c r="F8" s="328">
        <v>1</v>
      </c>
      <c r="G8" s="328">
        <v>22</v>
      </c>
      <c r="H8" s="330">
        <v>10</v>
      </c>
      <c r="I8" s="330">
        <v>120</v>
      </c>
      <c r="J8" s="330">
        <v>155</v>
      </c>
      <c r="K8" s="331">
        <v>0.13639999999999999</v>
      </c>
      <c r="L8" s="332">
        <v>0.66669999999999996</v>
      </c>
      <c r="M8" s="332">
        <v>0.5</v>
      </c>
      <c r="N8" s="333">
        <v>18.8</v>
      </c>
      <c r="O8" s="334">
        <v>0.28999999999999998</v>
      </c>
      <c r="P8" s="334">
        <v>0.14000000000000001</v>
      </c>
      <c r="Q8" s="335">
        <v>0.79</v>
      </c>
    </row>
    <row r="9" spans="1:17" ht="22.5" customHeight="1" x14ac:dyDescent="0.25">
      <c r="A9" s="327">
        <v>6</v>
      </c>
      <c r="B9" s="347" t="s">
        <v>317</v>
      </c>
      <c r="C9" s="329">
        <v>8.8409999999999993</v>
      </c>
      <c r="D9" s="328">
        <v>3</v>
      </c>
      <c r="E9" s="328">
        <v>1</v>
      </c>
      <c r="F9" s="328">
        <v>1</v>
      </c>
      <c r="G9" s="328">
        <v>30</v>
      </c>
      <c r="H9" s="330">
        <v>10</v>
      </c>
      <c r="I9" s="330">
        <v>120</v>
      </c>
      <c r="J9" s="330">
        <v>250</v>
      </c>
      <c r="K9" s="331">
        <v>0.1</v>
      </c>
      <c r="L9" s="332">
        <v>0.66669999999999996</v>
      </c>
      <c r="M9" s="332">
        <v>0.5</v>
      </c>
      <c r="N9" s="333">
        <v>14.7</v>
      </c>
      <c r="O9" s="334">
        <v>0.23</v>
      </c>
      <c r="P9" s="334">
        <v>0.11</v>
      </c>
      <c r="Q9" s="335">
        <v>0.76</v>
      </c>
    </row>
    <row r="10" spans="1:17" ht="22.5" customHeight="1" x14ac:dyDescent="0.25">
      <c r="A10" s="327">
        <v>7</v>
      </c>
      <c r="B10" s="347" t="s">
        <v>422</v>
      </c>
      <c r="C10" s="329">
        <v>14.224</v>
      </c>
      <c r="D10" s="328">
        <v>4</v>
      </c>
      <c r="E10" s="328">
        <v>2</v>
      </c>
      <c r="F10" s="328">
        <v>1</v>
      </c>
      <c r="G10" s="328">
        <v>51</v>
      </c>
      <c r="H10" s="330">
        <v>200</v>
      </c>
      <c r="I10" s="330">
        <v>120</v>
      </c>
      <c r="J10" s="330">
        <v>330</v>
      </c>
      <c r="K10" s="331">
        <v>7.8399999999999997E-2</v>
      </c>
      <c r="L10" s="332">
        <v>0.75</v>
      </c>
      <c r="M10" s="332">
        <v>0.5</v>
      </c>
      <c r="N10" s="333">
        <v>22.5</v>
      </c>
      <c r="O10" s="334">
        <v>0.21</v>
      </c>
      <c r="P10" s="334">
        <v>7.0000000000000007E-2</v>
      </c>
      <c r="Q10" s="335">
        <v>0.75</v>
      </c>
    </row>
    <row r="11" spans="1:17" ht="22.5" customHeight="1" x14ac:dyDescent="0.25">
      <c r="A11" s="327">
        <v>8</v>
      </c>
      <c r="B11" s="347" t="s">
        <v>383</v>
      </c>
      <c r="C11" s="329">
        <v>9.7460000000000004</v>
      </c>
      <c r="D11" s="328">
        <v>3</v>
      </c>
      <c r="E11" s="328">
        <v>1</v>
      </c>
      <c r="F11" s="328">
        <v>1</v>
      </c>
      <c r="G11" s="328">
        <v>37</v>
      </c>
      <c r="H11" s="330">
        <v>50</v>
      </c>
      <c r="I11" s="330">
        <v>60</v>
      </c>
      <c r="J11" s="330">
        <v>130</v>
      </c>
      <c r="K11" s="331">
        <v>8.1100000000000005E-2</v>
      </c>
      <c r="L11" s="332">
        <v>0.66669999999999996</v>
      </c>
      <c r="M11" s="332">
        <v>0.5</v>
      </c>
      <c r="N11" s="333">
        <v>11.29</v>
      </c>
      <c r="O11" s="334">
        <v>0.21</v>
      </c>
      <c r="P11" s="334">
        <v>0.1</v>
      </c>
      <c r="Q11" s="335">
        <v>0.72</v>
      </c>
    </row>
    <row r="12" spans="1:17" ht="22.5" customHeight="1" x14ac:dyDescent="0.25">
      <c r="A12" s="327">
        <v>9</v>
      </c>
      <c r="B12" s="347" t="s">
        <v>271</v>
      </c>
      <c r="C12" s="329">
        <v>5.8780000000000001</v>
      </c>
      <c r="D12" s="328">
        <v>5</v>
      </c>
      <c r="E12" s="328">
        <v>5</v>
      </c>
      <c r="F12" s="328">
        <v>0</v>
      </c>
      <c r="G12" s="328">
        <v>17</v>
      </c>
      <c r="H12" s="330">
        <v>215</v>
      </c>
      <c r="I12" s="330">
        <v>0</v>
      </c>
      <c r="J12" s="330">
        <v>215</v>
      </c>
      <c r="K12" s="331">
        <v>0.29409999999999997</v>
      </c>
      <c r="L12" s="332">
        <v>1</v>
      </c>
      <c r="M12" s="332">
        <v>0</v>
      </c>
      <c r="N12" s="333">
        <v>36.58</v>
      </c>
      <c r="O12" s="334">
        <v>0.85</v>
      </c>
      <c r="P12" s="334">
        <v>0</v>
      </c>
      <c r="Q12" s="335">
        <v>0.69</v>
      </c>
    </row>
    <row r="13" spans="1:17" ht="22.5" customHeight="1" x14ac:dyDescent="0.25">
      <c r="A13" s="327">
        <v>10</v>
      </c>
      <c r="B13" s="347" t="s">
        <v>298</v>
      </c>
      <c r="C13" s="329">
        <v>1.411</v>
      </c>
      <c r="D13" s="328">
        <v>1</v>
      </c>
      <c r="E13" s="328">
        <v>1</v>
      </c>
      <c r="F13" s="328">
        <v>0</v>
      </c>
      <c r="G13" s="328">
        <v>4</v>
      </c>
      <c r="H13" s="330">
        <v>100</v>
      </c>
      <c r="I13" s="330">
        <v>0</v>
      </c>
      <c r="J13" s="330">
        <v>100</v>
      </c>
      <c r="K13" s="331">
        <v>0.25</v>
      </c>
      <c r="L13" s="332">
        <v>1</v>
      </c>
      <c r="M13" s="332">
        <v>0</v>
      </c>
      <c r="N13" s="333">
        <v>70.87</v>
      </c>
      <c r="O13" s="334">
        <v>0.71</v>
      </c>
      <c r="P13" s="334">
        <v>0</v>
      </c>
      <c r="Q13" s="335">
        <v>0.67</v>
      </c>
    </row>
    <row r="14" spans="1:17" ht="22.5" customHeight="1" x14ac:dyDescent="0.25">
      <c r="A14" s="327">
        <v>11</v>
      </c>
      <c r="B14" s="347" t="s">
        <v>277</v>
      </c>
      <c r="C14" s="329">
        <v>10.281000000000001</v>
      </c>
      <c r="D14" s="328">
        <v>11</v>
      </c>
      <c r="E14" s="328">
        <v>8</v>
      </c>
      <c r="F14" s="328">
        <v>0</v>
      </c>
      <c r="G14" s="328">
        <v>37</v>
      </c>
      <c r="H14" s="330">
        <v>100</v>
      </c>
      <c r="I14" s="330">
        <v>0</v>
      </c>
      <c r="J14" s="330">
        <v>155</v>
      </c>
      <c r="K14" s="331">
        <v>0.29730000000000001</v>
      </c>
      <c r="L14" s="332">
        <v>0.72729999999999995</v>
      </c>
      <c r="M14" s="332">
        <v>0</v>
      </c>
      <c r="N14" s="333">
        <v>9.73</v>
      </c>
      <c r="O14" s="334">
        <v>0.78</v>
      </c>
      <c r="P14" s="334">
        <v>0</v>
      </c>
      <c r="Q14" s="335">
        <v>0.65</v>
      </c>
    </row>
    <row r="15" spans="1:17" ht="22.5" customHeight="1" x14ac:dyDescent="0.25">
      <c r="A15" s="327">
        <v>12</v>
      </c>
      <c r="B15" s="347" t="s">
        <v>283</v>
      </c>
      <c r="C15" s="329">
        <v>1.9330000000000001</v>
      </c>
      <c r="D15" s="328">
        <v>1</v>
      </c>
      <c r="E15" s="328">
        <v>1</v>
      </c>
      <c r="F15" s="328">
        <v>0</v>
      </c>
      <c r="G15" s="328">
        <v>5</v>
      </c>
      <c r="H15" s="330">
        <v>25</v>
      </c>
      <c r="I15" s="330">
        <v>0</v>
      </c>
      <c r="J15" s="330">
        <v>25</v>
      </c>
      <c r="K15" s="331">
        <v>0.2</v>
      </c>
      <c r="L15" s="332">
        <v>1</v>
      </c>
      <c r="M15" s="332">
        <v>0</v>
      </c>
      <c r="N15" s="333">
        <v>12.93</v>
      </c>
      <c r="O15" s="334">
        <v>0.52</v>
      </c>
      <c r="P15" s="334">
        <v>0</v>
      </c>
      <c r="Q15" s="335">
        <v>0.63</v>
      </c>
    </row>
    <row r="16" spans="1:17" ht="22.5" customHeight="1" x14ac:dyDescent="0.25">
      <c r="A16" s="327">
        <v>13</v>
      </c>
      <c r="B16" s="347" t="s">
        <v>330</v>
      </c>
      <c r="C16" s="329">
        <v>3.3530000000000002</v>
      </c>
      <c r="D16" s="328">
        <v>3</v>
      </c>
      <c r="E16" s="328">
        <v>2</v>
      </c>
      <c r="F16" s="328">
        <v>0</v>
      </c>
      <c r="G16" s="328">
        <v>11</v>
      </c>
      <c r="H16" s="330">
        <v>45</v>
      </c>
      <c r="I16" s="330">
        <v>0</v>
      </c>
      <c r="J16" s="330">
        <v>95</v>
      </c>
      <c r="K16" s="331">
        <v>0.2727</v>
      </c>
      <c r="L16" s="332">
        <v>0.66669999999999996</v>
      </c>
      <c r="M16" s="332">
        <v>0</v>
      </c>
      <c r="N16" s="333">
        <v>13.42</v>
      </c>
      <c r="O16" s="334">
        <v>0.6</v>
      </c>
      <c r="P16" s="334">
        <v>0</v>
      </c>
      <c r="Q16" s="335">
        <v>0.63</v>
      </c>
    </row>
    <row r="17" spans="1:17" ht="22.5" customHeight="1" x14ac:dyDescent="0.25">
      <c r="A17" s="327">
        <v>14</v>
      </c>
      <c r="B17" s="347" t="s">
        <v>291</v>
      </c>
      <c r="C17" s="329">
        <v>1.4730000000000001</v>
      </c>
      <c r="D17" s="328">
        <v>1</v>
      </c>
      <c r="E17" s="328">
        <v>1</v>
      </c>
      <c r="F17" s="328">
        <v>0</v>
      </c>
      <c r="G17" s="328">
        <v>6</v>
      </c>
      <c r="H17" s="330">
        <v>10</v>
      </c>
      <c r="I17" s="330">
        <v>0</v>
      </c>
      <c r="J17" s="330">
        <v>10</v>
      </c>
      <c r="K17" s="331">
        <v>0.16669999999999999</v>
      </c>
      <c r="L17" s="332">
        <v>1</v>
      </c>
      <c r="M17" s="332">
        <v>0</v>
      </c>
      <c r="N17" s="333">
        <v>6.79</v>
      </c>
      <c r="O17" s="334">
        <v>0.68</v>
      </c>
      <c r="P17" s="334">
        <v>0</v>
      </c>
      <c r="Q17" s="335">
        <v>0.61</v>
      </c>
    </row>
    <row r="18" spans="1:17" ht="22.5" customHeight="1" x14ac:dyDescent="0.25">
      <c r="A18" s="327">
        <v>15</v>
      </c>
      <c r="B18" s="347" t="s">
        <v>403</v>
      </c>
      <c r="C18" s="329">
        <v>1.2509999999999999</v>
      </c>
      <c r="D18" s="328">
        <v>2</v>
      </c>
      <c r="E18" s="328">
        <v>1</v>
      </c>
      <c r="F18" s="328">
        <v>0</v>
      </c>
      <c r="G18" s="328">
        <v>4</v>
      </c>
      <c r="H18" s="330">
        <v>5</v>
      </c>
      <c r="I18" s="330">
        <v>0</v>
      </c>
      <c r="J18" s="330">
        <v>15</v>
      </c>
      <c r="K18" s="331">
        <v>0.5</v>
      </c>
      <c r="L18" s="332">
        <v>0.5</v>
      </c>
      <c r="M18" s="332">
        <v>0</v>
      </c>
      <c r="N18" s="333">
        <v>4</v>
      </c>
      <c r="O18" s="334">
        <v>0.8</v>
      </c>
      <c r="P18" s="334">
        <v>0</v>
      </c>
      <c r="Q18" s="335">
        <v>0.61</v>
      </c>
    </row>
    <row r="19" spans="1:17" ht="22.5" customHeight="1" x14ac:dyDescent="0.25">
      <c r="A19" s="327">
        <v>16</v>
      </c>
      <c r="B19" s="347" t="s">
        <v>297</v>
      </c>
      <c r="C19" s="329">
        <v>2.1080000000000001</v>
      </c>
      <c r="D19" s="328">
        <v>1</v>
      </c>
      <c r="E19" s="328">
        <v>1</v>
      </c>
      <c r="F19" s="328">
        <v>0</v>
      </c>
      <c r="G19" s="328">
        <v>8</v>
      </c>
      <c r="H19" s="330">
        <v>10</v>
      </c>
      <c r="I19" s="330">
        <v>0</v>
      </c>
      <c r="J19" s="330">
        <v>10</v>
      </c>
      <c r="K19" s="331">
        <v>0.125</v>
      </c>
      <c r="L19" s="332">
        <v>1</v>
      </c>
      <c r="M19" s="332">
        <v>0</v>
      </c>
      <c r="N19" s="333">
        <v>4.74</v>
      </c>
      <c r="O19" s="334">
        <v>0.47</v>
      </c>
      <c r="P19" s="334">
        <v>0</v>
      </c>
      <c r="Q19" s="335">
        <v>0.59</v>
      </c>
    </row>
    <row r="20" spans="1:17" ht="22.5" customHeight="1" x14ac:dyDescent="0.25">
      <c r="A20" s="327">
        <v>17</v>
      </c>
      <c r="B20" s="347" t="s">
        <v>279</v>
      </c>
      <c r="C20" s="329">
        <v>6.7329999999999997</v>
      </c>
      <c r="D20" s="328">
        <v>2</v>
      </c>
      <c r="E20" s="328">
        <v>2</v>
      </c>
      <c r="F20" s="328">
        <v>0</v>
      </c>
      <c r="G20" s="328">
        <v>17</v>
      </c>
      <c r="H20" s="330">
        <v>75</v>
      </c>
      <c r="I20" s="330">
        <v>0</v>
      </c>
      <c r="J20" s="330">
        <v>75</v>
      </c>
      <c r="K20" s="331">
        <v>0.1176</v>
      </c>
      <c r="L20" s="332">
        <v>1</v>
      </c>
      <c r="M20" s="332">
        <v>0</v>
      </c>
      <c r="N20" s="333">
        <v>11.14</v>
      </c>
      <c r="O20" s="334">
        <v>0.3</v>
      </c>
      <c r="P20" s="334">
        <v>0</v>
      </c>
      <c r="Q20" s="335">
        <v>0.57999999999999996</v>
      </c>
    </row>
    <row r="21" spans="1:17" ht="22.5" customHeight="1" x14ac:dyDescent="0.25">
      <c r="A21" s="327">
        <v>18</v>
      </c>
      <c r="B21" s="347" t="s">
        <v>400</v>
      </c>
      <c r="C21" s="329">
        <v>6.7990000000000004</v>
      </c>
      <c r="D21" s="328">
        <v>2</v>
      </c>
      <c r="E21" s="328">
        <v>2</v>
      </c>
      <c r="F21" s="328">
        <v>0</v>
      </c>
      <c r="G21" s="328">
        <v>25</v>
      </c>
      <c r="H21" s="330">
        <v>1005</v>
      </c>
      <c r="I21" s="330">
        <v>0</v>
      </c>
      <c r="J21" s="330">
        <v>1005</v>
      </c>
      <c r="K21" s="331">
        <v>0.08</v>
      </c>
      <c r="L21" s="332">
        <v>1</v>
      </c>
      <c r="M21" s="332">
        <v>0</v>
      </c>
      <c r="N21" s="333">
        <v>147.82</v>
      </c>
      <c r="O21" s="334">
        <v>0.28999999999999998</v>
      </c>
      <c r="P21" s="334">
        <v>0</v>
      </c>
      <c r="Q21" s="335">
        <v>0.56999999999999995</v>
      </c>
    </row>
    <row r="22" spans="1:17" ht="22.5" customHeight="1" x14ac:dyDescent="0.25">
      <c r="A22" s="327">
        <v>19</v>
      </c>
      <c r="B22" s="347" t="s">
        <v>318</v>
      </c>
      <c r="C22" s="329">
        <v>6.8360000000000003</v>
      </c>
      <c r="D22" s="328">
        <v>4</v>
      </c>
      <c r="E22" s="328">
        <v>2</v>
      </c>
      <c r="F22" s="328">
        <v>0</v>
      </c>
      <c r="G22" s="328">
        <v>29</v>
      </c>
      <c r="H22" s="330">
        <v>550</v>
      </c>
      <c r="I22" s="330">
        <v>0</v>
      </c>
      <c r="J22" s="330">
        <v>625</v>
      </c>
      <c r="K22" s="331">
        <v>0.13789999999999999</v>
      </c>
      <c r="L22" s="332">
        <v>0.5</v>
      </c>
      <c r="M22" s="332">
        <v>0</v>
      </c>
      <c r="N22" s="333">
        <v>80.459999999999994</v>
      </c>
      <c r="O22" s="334">
        <v>0.28999999999999998</v>
      </c>
      <c r="P22" s="334">
        <v>0</v>
      </c>
      <c r="Q22" s="335">
        <v>0.56000000000000005</v>
      </c>
    </row>
    <row r="23" spans="1:17" ht="22.5" customHeight="1" x14ac:dyDescent="0.25">
      <c r="A23" s="327">
        <v>20</v>
      </c>
      <c r="B23" s="347" t="s">
        <v>398</v>
      </c>
      <c r="C23" s="329">
        <v>2.3380000000000001</v>
      </c>
      <c r="D23" s="328">
        <v>1</v>
      </c>
      <c r="E23" s="328">
        <v>1</v>
      </c>
      <c r="F23" s="328">
        <v>0</v>
      </c>
      <c r="G23" s="328">
        <v>12</v>
      </c>
      <c r="H23" s="330">
        <v>25</v>
      </c>
      <c r="I23" s="330">
        <v>0</v>
      </c>
      <c r="J23" s="330">
        <v>25</v>
      </c>
      <c r="K23" s="331">
        <v>8.3299999999999999E-2</v>
      </c>
      <c r="L23" s="332">
        <v>1</v>
      </c>
      <c r="M23" s="332">
        <v>0</v>
      </c>
      <c r="N23" s="333">
        <v>10.69</v>
      </c>
      <c r="O23" s="334">
        <v>0.43</v>
      </c>
      <c r="P23" s="334">
        <v>0</v>
      </c>
      <c r="Q23" s="335">
        <v>0.56000000000000005</v>
      </c>
    </row>
    <row r="24" spans="1:17" ht="22.5" customHeight="1" x14ac:dyDescent="0.25">
      <c r="A24" s="327">
        <v>21</v>
      </c>
      <c r="B24" s="347" t="s">
        <v>290</v>
      </c>
      <c r="C24" s="329">
        <v>2.2050000000000001</v>
      </c>
      <c r="D24" s="328">
        <v>2</v>
      </c>
      <c r="E24" s="328">
        <v>1</v>
      </c>
      <c r="F24" s="328">
        <v>0</v>
      </c>
      <c r="G24" s="328">
        <v>8</v>
      </c>
      <c r="H24" s="330">
        <v>5</v>
      </c>
      <c r="I24" s="330">
        <v>0</v>
      </c>
      <c r="J24" s="330">
        <v>55</v>
      </c>
      <c r="K24" s="331">
        <v>0.25</v>
      </c>
      <c r="L24" s="332">
        <v>0.5</v>
      </c>
      <c r="M24" s="332">
        <v>0</v>
      </c>
      <c r="N24" s="333">
        <v>2.27</v>
      </c>
      <c r="O24" s="334">
        <v>0.45</v>
      </c>
      <c r="P24" s="334">
        <v>0</v>
      </c>
      <c r="Q24" s="335">
        <v>0.55000000000000004</v>
      </c>
    </row>
    <row r="25" spans="1:17" ht="22.5" customHeight="1" x14ac:dyDescent="0.25">
      <c r="A25" s="327">
        <v>22</v>
      </c>
      <c r="B25" s="347" t="s">
        <v>359</v>
      </c>
      <c r="C25" s="329">
        <v>2.3010000000000002</v>
      </c>
      <c r="D25" s="328">
        <v>3</v>
      </c>
      <c r="E25" s="328">
        <v>1</v>
      </c>
      <c r="F25" s="328">
        <v>0</v>
      </c>
      <c r="G25" s="328">
        <v>6</v>
      </c>
      <c r="H25" s="330">
        <v>5</v>
      </c>
      <c r="I25" s="330">
        <v>0</v>
      </c>
      <c r="J25" s="330">
        <v>20</v>
      </c>
      <c r="K25" s="331">
        <v>0.5</v>
      </c>
      <c r="L25" s="332">
        <v>0.33329999999999999</v>
      </c>
      <c r="M25" s="332">
        <v>0</v>
      </c>
      <c r="N25" s="333">
        <v>2.17</v>
      </c>
      <c r="O25" s="334">
        <v>0.43</v>
      </c>
      <c r="P25" s="334">
        <v>0</v>
      </c>
      <c r="Q25" s="335">
        <v>0.55000000000000004</v>
      </c>
    </row>
    <row r="26" spans="1:17" ht="22.5" customHeight="1" x14ac:dyDescent="0.25">
      <c r="A26" s="327">
        <v>23</v>
      </c>
      <c r="B26" s="347" t="s">
        <v>417</v>
      </c>
      <c r="C26" s="329">
        <v>7.1929999999999996</v>
      </c>
      <c r="D26" s="328">
        <v>4</v>
      </c>
      <c r="E26" s="328">
        <v>2</v>
      </c>
      <c r="F26" s="328">
        <v>0</v>
      </c>
      <c r="G26" s="328">
        <v>39</v>
      </c>
      <c r="H26" s="330">
        <v>110</v>
      </c>
      <c r="I26" s="330">
        <v>0</v>
      </c>
      <c r="J26" s="330">
        <v>120</v>
      </c>
      <c r="K26" s="331">
        <v>0.1026</v>
      </c>
      <c r="L26" s="332">
        <v>0.5</v>
      </c>
      <c r="M26" s="332">
        <v>0</v>
      </c>
      <c r="N26" s="333">
        <v>15.29</v>
      </c>
      <c r="O26" s="334">
        <v>0.28000000000000003</v>
      </c>
      <c r="P26" s="334">
        <v>0</v>
      </c>
      <c r="Q26" s="335">
        <v>0.53</v>
      </c>
    </row>
    <row r="27" spans="1:17" ht="22.5" customHeight="1" x14ac:dyDescent="0.25">
      <c r="A27" s="327">
        <v>24</v>
      </c>
      <c r="B27" s="347" t="s">
        <v>360</v>
      </c>
      <c r="C27" s="329">
        <v>3.6429999999999998</v>
      </c>
      <c r="D27" s="328">
        <v>1</v>
      </c>
      <c r="E27" s="328">
        <v>1</v>
      </c>
      <c r="F27" s="328">
        <v>0</v>
      </c>
      <c r="G27" s="328">
        <v>13</v>
      </c>
      <c r="H27" s="330">
        <v>50</v>
      </c>
      <c r="I27" s="330">
        <v>0</v>
      </c>
      <c r="J27" s="330">
        <v>50</v>
      </c>
      <c r="K27" s="331">
        <v>7.6899999999999996E-2</v>
      </c>
      <c r="L27" s="332">
        <v>1</v>
      </c>
      <c r="M27" s="332">
        <v>0</v>
      </c>
      <c r="N27" s="333">
        <v>13.72</v>
      </c>
      <c r="O27" s="334">
        <v>0.27</v>
      </c>
      <c r="P27" s="334">
        <v>0</v>
      </c>
      <c r="Q27" s="335">
        <v>0.53</v>
      </c>
    </row>
    <row r="28" spans="1:17" ht="22.5" customHeight="1" x14ac:dyDescent="0.25">
      <c r="A28" s="327">
        <v>25</v>
      </c>
      <c r="B28" s="347" t="s">
        <v>325</v>
      </c>
      <c r="C28" s="329">
        <v>6.992</v>
      </c>
      <c r="D28" s="328">
        <v>2</v>
      </c>
      <c r="E28" s="328">
        <v>2</v>
      </c>
      <c r="F28" s="328">
        <v>0</v>
      </c>
      <c r="G28" s="328">
        <v>25</v>
      </c>
      <c r="H28" s="330">
        <v>25</v>
      </c>
      <c r="I28" s="330">
        <v>0</v>
      </c>
      <c r="J28" s="330">
        <v>25</v>
      </c>
      <c r="K28" s="331">
        <v>0.08</v>
      </c>
      <c r="L28" s="332">
        <v>1</v>
      </c>
      <c r="M28" s="332">
        <v>0</v>
      </c>
      <c r="N28" s="333">
        <v>3.58</v>
      </c>
      <c r="O28" s="334">
        <v>0.28999999999999998</v>
      </c>
      <c r="P28" s="334">
        <v>0</v>
      </c>
      <c r="Q28" s="335">
        <v>0.52</v>
      </c>
    </row>
    <row r="29" spans="1:17" ht="22.5" customHeight="1" x14ac:dyDescent="0.25">
      <c r="A29" s="327">
        <v>26</v>
      </c>
      <c r="B29" s="347" t="s">
        <v>280</v>
      </c>
      <c r="C29" s="329">
        <v>3.8849999999999998</v>
      </c>
      <c r="D29" s="328">
        <v>2</v>
      </c>
      <c r="E29" s="328">
        <v>1</v>
      </c>
      <c r="F29" s="328">
        <v>0</v>
      </c>
      <c r="G29" s="328">
        <v>18</v>
      </c>
      <c r="H29" s="330">
        <v>25</v>
      </c>
      <c r="I29" s="330">
        <v>0</v>
      </c>
      <c r="J29" s="330">
        <v>145</v>
      </c>
      <c r="K29" s="331">
        <v>0.1111</v>
      </c>
      <c r="L29" s="332">
        <v>0.5</v>
      </c>
      <c r="M29" s="332">
        <v>0</v>
      </c>
      <c r="N29" s="333">
        <v>6.44</v>
      </c>
      <c r="O29" s="334">
        <v>0.26</v>
      </c>
      <c r="P29" s="334">
        <v>0</v>
      </c>
      <c r="Q29" s="335">
        <v>0.5</v>
      </c>
    </row>
    <row r="30" spans="1:17" ht="22.5" customHeight="1" x14ac:dyDescent="0.25">
      <c r="A30" s="327">
        <v>27</v>
      </c>
      <c r="B30" s="347" t="s">
        <v>302</v>
      </c>
      <c r="C30" s="329">
        <v>7.5309999999999997</v>
      </c>
      <c r="D30" s="328">
        <v>3</v>
      </c>
      <c r="E30" s="328">
        <v>1</v>
      </c>
      <c r="F30" s="328">
        <v>0</v>
      </c>
      <c r="G30" s="328">
        <v>17</v>
      </c>
      <c r="H30" s="330">
        <v>100</v>
      </c>
      <c r="I30" s="330">
        <v>0</v>
      </c>
      <c r="J30" s="330">
        <v>110</v>
      </c>
      <c r="K30" s="331">
        <v>0.17649999999999999</v>
      </c>
      <c r="L30" s="332">
        <v>0.33329999999999999</v>
      </c>
      <c r="M30" s="332">
        <v>0</v>
      </c>
      <c r="N30" s="333">
        <v>13.28</v>
      </c>
      <c r="O30" s="334">
        <v>0.13</v>
      </c>
      <c r="P30" s="334">
        <v>0</v>
      </c>
      <c r="Q30" s="335">
        <v>0.49</v>
      </c>
    </row>
    <row r="31" spans="1:17" ht="22.5" customHeight="1" x14ac:dyDescent="0.25">
      <c r="A31" s="327">
        <v>28</v>
      </c>
      <c r="B31" s="347" t="s">
        <v>430</v>
      </c>
      <c r="C31" s="329">
        <v>4.9130000000000003</v>
      </c>
      <c r="D31" s="328">
        <v>3</v>
      </c>
      <c r="E31" s="328">
        <v>1</v>
      </c>
      <c r="F31" s="328">
        <v>0</v>
      </c>
      <c r="G31" s="328">
        <v>14</v>
      </c>
      <c r="H31" s="330">
        <v>5</v>
      </c>
      <c r="I31" s="330">
        <v>0</v>
      </c>
      <c r="J31" s="330">
        <v>110</v>
      </c>
      <c r="K31" s="331">
        <v>0.21429999999999999</v>
      </c>
      <c r="L31" s="332">
        <v>0.33329999999999999</v>
      </c>
      <c r="M31" s="332">
        <v>0</v>
      </c>
      <c r="N31" s="333">
        <v>1.02</v>
      </c>
      <c r="O31" s="334">
        <v>0.2</v>
      </c>
      <c r="P31" s="334">
        <v>0</v>
      </c>
      <c r="Q31" s="335">
        <v>0.48</v>
      </c>
    </row>
    <row r="32" spans="1:17" ht="22.5" customHeight="1" x14ac:dyDescent="0.25">
      <c r="A32" s="327">
        <v>29</v>
      </c>
      <c r="B32" s="347" t="s">
        <v>414</v>
      </c>
      <c r="C32" s="329">
        <v>5.0670000000000002</v>
      </c>
      <c r="D32" s="328">
        <v>3</v>
      </c>
      <c r="E32" s="328">
        <v>1</v>
      </c>
      <c r="F32" s="328">
        <v>0</v>
      </c>
      <c r="G32" s="328">
        <v>16</v>
      </c>
      <c r="H32" s="330">
        <v>5</v>
      </c>
      <c r="I32" s="330">
        <v>0</v>
      </c>
      <c r="J32" s="330">
        <v>30</v>
      </c>
      <c r="K32" s="331">
        <v>0.1875</v>
      </c>
      <c r="L32" s="332">
        <v>0.33329999999999999</v>
      </c>
      <c r="M32" s="332">
        <v>0</v>
      </c>
      <c r="N32" s="333">
        <v>0.99</v>
      </c>
      <c r="O32" s="334">
        <v>0.2</v>
      </c>
      <c r="P32" s="334">
        <v>0</v>
      </c>
      <c r="Q32" s="335">
        <v>0.47</v>
      </c>
    </row>
    <row r="33" spans="1:17" ht="22.5" customHeight="1" x14ac:dyDescent="0.25">
      <c r="A33" s="327">
        <v>30</v>
      </c>
      <c r="B33" s="347" t="s">
        <v>308</v>
      </c>
      <c r="C33" s="329">
        <v>6.8</v>
      </c>
      <c r="D33" s="328">
        <v>1</v>
      </c>
      <c r="E33" s="328">
        <v>1</v>
      </c>
      <c r="F33" s="328">
        <v>0</v>
      </c>
      <c r="G33" s="328">
        <v>36</v>
      </c>
      <c r="H33" s="330">
        <v>50</v>
      </c>
      <c r="I33" s="330">
        <v>0</v>
      </c>
      <c r="J33" s="330">
        <v>50</v>
      </c>
      <c r="K33" s="331">
        <v>2.7799999999999998E-2</v>
      </c>
      <c r="L33" s="332">
        <v>1</v>
      </c>
      <c r="M33" s="332">
        <v>0</v>
      </c>
      <c r="N33" s="333">
        <v>7.35</v>
      </c>
      <c r="O33" s="334">
        <v>0.15</v>
      </c>
      <c r="P33" s="334">
        <v>0</v>
      </c>
      <c r="Q33" s="335">
        <v>0.47</v>
      </c>
    </row>
    <row r="34" spans="1:17" ht="22.5" customHeight="1" x14ac:dyDescent="0.25">
      <c r="A34" s="327">
        <v>31</v>
      </c>
      <c r="B34" s="347" t="s">
        <v>389</v>
      </c>
      <c r="C34" s="329">
        <v>6.8159999999999998</v>
      </c>
      <c r="D34" s="328">
        <v>1</v>
      </c>
      <c r="E34" s="328">
        <v>1</v>
      </c>
      <c r="F34" s="328">
        <v>0</v>
      </c>
      <c r="G34" s="328">
        <v>22</v>
      </c>
      <c r="H34" s="330">
        <v>10</v>
      </c>
      <c r="I34" s="330">
        <v>0</v>
      </c>
      <c r="J34" s="330">
        <v>10</v>
      </c>
      <c r="K34" s="331">
        <v>4.5499999999999999E-2</v>
      </c>
      <c r="L34" s="332">
        <v>1</v>
      </c>
      <c r="M34" s="332">
        <v>0</v>
      </c>
      <c r="N34" s="333">
        <v>1.47</v>
      </c>
      <c r="O34" s="334">
        <v>0.15</v>
      </c>
      <c r="P34" s="334">
        <v>0</v>
      </c>
      <c r="Q34" s="335">
        <v>0.45</v>
      </c>
    </row>
    <row r="35" spans="1:17" ht="22.5" customHeight="1" x14ac:dyDescent="0.25">
      <c r="A35" s="327">
        <v>32</v>
      </c>
      <c r="B35" s="347" t="s">
        <v>301</v>
      </c>
      <c r="C35" s="329">
        <v>6.7190000000000003</v>
      </c>
      <c r="D35" s="328">
        <v>3</v>
      </c>
      <c r="E35" s="328">
        <v>1</v>
      </c>
      <c r="F35" s="328">
        <v>0</v>
      </c>
      <c r="G35" s="328">
        <v>33</v>
      </c>
      <c r="H35" s="330">
        <v>25</v>
      </c>
      <c r="I35" s="330">
        <v>0</v>
      </c>
      <c r="J35" s="330">
        <v>325</v>
      </c>
      <c r="K35" s="331">
        <v>9.0899999999999995E-2</v>
      </c>
      <c r="L35" s="332">
        <v>0.33329999999999999</v>
      </c>
      <c r="M35" s="332">
        <v>0</v>
      </c>
      <c r="N35" s="333">
        <v>3.72</v>
      </c>
      <c r="O35" s="334">
        <v>0.15</v>
      </c>
      <c r="P35" s="334">
        <v>0</v>
      </c>
      <c r="Q35" s="335">
        <v>0.44</v>
      </c>
    </row>
    <row r="36" spans="1:17" ht="22.5" customHeight="1" x14ac:dyDescent="0.25">
      <c r="A36" s="327">
        <v>33</v>
      </c>
      <c r="B36" s="347" t="s">
        <v>356</v>
      </c>
      <c r="C36" s="329">
        <v>8.593</v>
      </c>
      <c r="D36" s="328">
        <v>2</v>
      </c>
      <c r="E36" s="328">
        <v>1</v>
      </c>
      <c r="F36" s="328">
        <v>0</v>
      </c>
      <c r="G36" s="328">
        <v>24</v>
      </c>
      <c r="H36" s="330">
        <v>25</v>
      </c>
      <c r="I36" s="330">
        <v>0</v>
      </c>
      <c r="J36" s="330">
        <v>75</v>
      </c>
      <c r="K36" s="331">
        <v>8.3299999999999999E-2</v>
      </c>
      <c r="L36" s="332">
        <v>0.5</v>
      </c>
      <c r="M36" s="332">
        <v>0</v>
      </c>
      <c r="N36" s="333">
        <v>2.91</v>
      </c>
      <c r="O36" s="334">
        <v>0.12</v>
      </c>
      <c r="P36" s="334">
        <v>0</v>
      </c>
      <c r="Q36" s="335">
        <v>0.43</v>
      </c>
    </row>
    <row r="37" spans="1:17" ht="22.5" customHeight="1" x14ac:dyDescent="0.25">
      <c r="A37" s="327">
        <v>34</v>
      </c>
      <c r="B37" s="347" t="s">
        <v>329</v>
      </c>
      <c r="C37" s="329">
        <v>8.6280000000000001</v>
      </c>
      <c r="D37" s="328">
        <v>1</v>
      </c>
      <c r="E37" s="328">
        <v>1</v>
      </c>
      <c r="F37" s="328">
        <v>0</v>
      </c>
      <c r="G37" s="328">
        <v>52</v>
      </c>
      <c r="H37" s="330">
        <v>10</v>
      </c>
      <c r="I37" s="330">
        <v>0</v>
      </c>
      <c r="J37" s="330">
        <v>10</v>
      </c>
      <c r="K37" s="331">
        <v>1.9199999999999998E-2</v>
      </c>
      <c r="L37" s="332">
        <v>1</v>
      </c>
      <c r="M37" s="332">
        <v>0</v>
      </c>
      <c r="N37" s="333">
        <v>1.1599999999999999</v>
      </c>
      <c r="O37" s="334">
        <v>0.12</v>
      </c>
      <c r="P37" s="334">
        <v>0</v>
      </c>
      <c r="Q37" s="335">
        <v>0.42</v>
      </c>
    </row>
    <row r="38" spans="1:17" ht="22.5" customHeight="1" x14ac:dyDescent="0.25">
      <c r="A38" s="327">
        <v>35</v>
      </c>
      <c r="B38" s="347" t="s">
        <v>405</v>
      </c>
      <c r="C38" s="329">
        <v>6.9770000000000003</v>
      </c>
      <c r="D38" s="328">
        <v>2</v>
      </c>
      <c r="E38" s="328">
        <v>1</v>
      </c>
      <c r="F38" s="328">
        <v>0</v>
      </c>
      <c r="G38" s="328">
        <v>30</v>
      </c>
      <c r="H38" s="330">
        <v>20</v>
      </c>
      <c r="I38" s="330">
        <v>0</v>
      </c>
      <c r="J38" s="330">
        <v>140</v>
      </c>
      <c r="K38" s="331">
        <v>6.6699999999999995E-2</v>
      </c>
      <c r="L38" s="332">
        <v>0.5</v>
      </c>
      <c r="M38" s="332">
        <v>0</v>
      </c>
      <c r="N38" s="333">
        <v>2.87</v>
      </c>
      <c r="O38" s="334">
        <v>0.14000000000000001</v>
      </c>
      <c r="P38" s="334">
        <v>0</v>
      </c>
      <c r="Q38" s="335">
        <v>0.42</v>
      </c>
    </row>
    <row r="39" spans="1:17" ht="22.5" customHeight="1" x14ac:dyDescent="0.25">
      <c r="A39" s="327">
        <v>36</v>
      </c>
      <c r="B39" s="347" t="s">
        <v>432</v>
      </c>
      <c r="C39" s="329">
        <v>7.4349999999999996</v>
      </c>
      <c r="D39" s="328">
        <v>2</v>
      </c>
      <c r="E39" s="328">
        <v>1</v>
      </c>
      <c r="F39" s="328">
        <v>0</v>
      </c>
      <c r="G39" s="328">
        <v>26</v>
      </c>
      <c r="H39" s="330">
        <v>25</v>
      </c>
      <c r="I39" s="330">
        <v>0</v>
      </c>
      <c r="J39" s="330">
        <v>35</v>
      </c>
      <c r="K39" s="331">
        <v>7.6899999999999996E-2</v>
      </c>
      <c r="L39" s="332">
        <v>0.5</v>
      </c>
      <c r="M39" s="332">
        <v>0</v>
      </c>
      <c r="N39" s="333">
        <v>3.36</v>
      </c>
      <c r="O39" s="334">
        <v>0.13</v>
      </c>
      <c r="P39" s="334">
        <v>0</v>
      </c>
      <c r="Q39" s="335">
        <v>0.42</v>
      </c>
    </row>
    <row r="40" spans="1:17" ht="22.5" customHeight="1" x14ac:dyDescent="0.25">
      <c r="A40" s="327">
        <v>37</v>
      </c>
      <c r="B40" s="347" t="s">
        <v>401</v>
      </c>
      <c r="C40" s="329">
        <v>6.5339999999999998</v>
      </c>
      <c r="D40" s="328">
        <v>2</v>
      </c>
      <c r="E40" s="328">
        <v>1</v>
      </c>
      <c r="F40" s="328">
        <v>0</v>
      </c>
      <c r="G40" s="328">
        <v>31</v>
      </c>
      <c r="H40" s="330">
        <v>10</v>
      </c>
      <c r="I40" s="330">
        <v>0</v>
      </c>
      <c r="J40" s="330">
        <v>30</v>
      </c>
      <c r="K40" s="331">
        <v>6.4500000000000002E-2</v>
      </c>
      <c r="L40" s="332">
        <v>0.5</v>
      </c>
      <c r="M40" s="332">
        <v>0</v>
      </c>
      <c r="N40" s="333">
        <v>1.53</v>
      </c>
      <c r="O40" s="334">
        <v>0.15</v>
      </c>
      <c r="P40" s="334">
        <v>0</v>
      </c>
      <c r="Q40" s="335">
        <v>0.41</v>
      </c>
    </row>
    <row r="41" spans="1:17" ht="22.5" customHeight="1" x14ac:dyDescent="0.25">
      <c r="A41" s="327">
        <v>38</v>
      </c>
      <c r="B41" s="347" t="s">
        <v>335</v>
      </c>
      <c r="C41" s="329">
        <v>7.6950000000000003</v>
      </c>
      <c r="D41" s="328">
        <v>2</v>
      </c>
      <c r="E41" s="328">
        <v>1</v>
      </c>
      <c r="F41" s="328">
        <v>0</v>
      </c>
      <c r="G41" s="328">
        <v>36</v>
      </c>
      <c r="H41" s="330">
        <v>5</v>
      </c>
      <c r="I41" s="330">
        <v>0</v>
      </c>
      <c r="J41" s="330">
        <v>125</v>
      </c>
      <c r="K41" s="331">
        <v>5.5599999999999997E-2</v>
      </c>
      <c r="L41" s="332">
        <v>0.5</v>
      </c>
      <c r="M41" s="332">
        <v>0</v>
      </c>
      <c r="N41" s="333">
        <v>0.65</v>
      </c>
      <c r="O41" s="334">
        <v>0.13</v>
      </c>
      <c r="P41" s="334">
        <v>0</v>
      </c>
      <c r="Q41" s="335">
        <v>0.38</v>
      </c>
    </row>
    <row r="42" spans="1:17" ht="22.5" customHeight="1" x14ac:dyDescent="0.25">
      <c r="A42" s="327">
        <v>39</v>
      </c>
      <c r="B42" s="347" t="s">
        <v>351</v>
      </c>
      <c r="C42" s="329">
        <v>1.2190000000000001</v>
      </c>
      <c r="D42" s="328">
        <v>1</v>
      </c>
      <c r="E42" s="328">
        <v>0</v>
      </c>
      <c r="F42" s="328">
        <v>0</v>
      </c>
      <c r="G42" s="328">
        <v>3</v>
      </c>
      <c r="H42" s="330">
        <v>0</v>
      </c>
      <c r="I42" s="330">
        <v>0</v>
      </c>
      <c r="J42" s="330">
        <v>100</v>
      </c>
      <c r="K42" s="331">
        <v>0.33329999999999999</v>
      </c>
      <c r="L42" s="332">
        <v>0</v>
      </c>
      <c r="M42" s="332">
        <v>0</v>
      </c>
      <c r="N42" s="333">
        <v>0</v>
      </c>
      <c r="O42" s="334">
        <v>0</v>
      </c>
      <c r="P42" s="334">
        <v>0</v>
      </c>
      <c r="Q42" s="335">
        <v>0.2</v>
      </c>
    </row>
    <row r="43" spans="1:17" ht="22.5" customHeight="1" x14ac:dyDescent="0.25">
      <c r="A43" s="327">
        <v>40</v>
      </c>
      <c r="B43" s="347" t="s">
        <v>311</v>
      </c>
      <c r="C43" s="329">
        <v>2.0659999999999998</v>
      </c>
      <c r="D43" s="328">
        <v>1</v>
      </c>
      <c r="E43" s="328">
        <v>0</v>
      </c>
      <c r="F43" s="328">
        <v>0</v>
      </c>
      <c r="G43" s="328">
        <v>4</v>
      </c>
      <c r="H43" s="330">
        <v>0</v>
      </c>
      <c r="I43" s="330">
        <v>0</v>
      </c>
      <c r="J43" s="330">
        <v>10</v>
      </c>
      <c r="K43" s="331">
        <v>0.25</v>
      </c>
      <c r="L43" s="332">
        <v>0</v>
      </c>
      <c r="M43" s="332">
        <v>0</v>
      </c>
      <c r="N43" s="333">
        <v>0</v>
      </c>
      <c r="O43" s="334">
        <v>0</v>
      </c>
      <c r="P43" s="334">
        <v>0</v>
      </c>
      <c r="Q43" s="335">
        <v>0.18</v>
      </c>
    </row>
    <row r="44" spans="1:17" ht="22.5" customHeight="1" x14ac:dyDescent="0.25">
      <c r="A44" s="327">
        <v>41</v>
      </c>
      <c r="B44" s="347" t="s">
        <v>332</v>
      </c>
      <c r="C44" s="329">
        <v>3.097</v>
      </c>
      <c r="D44" s="328">
        <v>2</v>
      </c>
      <c r="E44" s="328">
        <v>0</v>
      </c>
      <c r="F44" s="328">
        <v>0</v>
      </c>
      <c r="G44" s="328">
        <v>9</v>
      </c>
      <c r="H44" s="330">
        <v>0</v>
      </c>
      <c r="I44" s="330">
        <v>0</v>
      </c>
      <c r="J44" s="330">
        <v>50</v>
      </c>
      <c r="K44" s="331">
        <v>0.22220000000000001</v>
      </c>
      <c r="L44" s="332">
        <v>0</v>
      </c>
      <c r="M44" s="332">
        <v>0</v>
      </c>
      <c r="N44" s="333">
        <v>0</v>
      </c>
      <c r="O44" s="334">
        <v>0</v>
      </c>
      <c r="P44" s="334">
        <v>0</v>
      </c>
      <c r="Q44" s="335">
        <v>0.18</v>
      </c>
    </row>
    <row r="45" spans="1:17" ht="22.5" customHeight="1" x14ac:dyDescent="0.25">
      <c r="A45" s="327">
        <v>42</v>
      </c>
      <c r="B45" s="347" t="s">
        <v>286</v>
      </c>
      <c r="C45" s="329">
        <v>1.107</v>
      </c>
      <c r="D45" s="328">
        <v>1</v>
      </c>
      <c r="E45" s="328">
        <v>0</v>
      </c>
      <c r="F45" s="328">
        <v>0</v>
      </c>
      <c r="G45" s="328">
        <v>4</v>
      </c>
      <c r="H45" s="330">
        <v>0</v>
      </c>
      <c r="I45" s="330">
        <v>0</v>
      </c>
      <c r="J45" s="330">
        <v>20</v>
      </c>
      <c r="K45" s="331">
        <v>0.25</v>
      </c>
      <c r="L45" s="332">
        <v>0</v>
      </c>
      <c r="M45" s="332">
        <v>0</v>
      </c>
      <c r="N45" s="333">
        <v>0</v>
      </c>
      <c r="O45" s="334">
        <v>0</v>
      </c>
      <c r="P45" s="334">
        <v>0</v>
      </c>
      <c r="Q45" s="335">
        <v>0.18</v>
      </c>
    </row>
    <row r="46" spans="1:17" ht="22.5" customHeight="1" x14ac:dyDescent="0.25">
      <c r="A46" s="327">
        <v>43</v>
      </c>
      <c r="B46" s="347" t="s">
        <v>379</v>
      </c>
      <c r="C46" s="329">
        <v>6.66</v>
      </c>
      <c r="D46" s="328">
        <v>2</v>
      </c>
      <c r="E46" s="328">
        <v>0</v>
      </c>
      <c r="F46" s="328">
        <v>0</v>
      </c>
      <c r="G46" s="328">
        <v>21</v>
      </c>
      <c r="H46" s="330">
        <v>0</v>
      </c>
      <c r="I46" s="330">
        <v>0</v>
      </c>
      <c r="J46" s="330">
        <v>45</v>
      </c>
      <c r="K46" s="331">
        <v>9.5200000000000007E-2</v>
      </c>
      <c r="L46" s="332">
        <v>0</v>
      </c>
      <c r="M46" s="332">
        <v>0</v>
      </c>
      <c r="N46" s="333">
        <v>0</v>
      </c>
      <c r="O46" s="334">
        <v>0</v>
      </c>
      <c r="P46" s="334">
        <v>0</v>
      </c>
      <c r="Q46" s="335">
        <v>0.14000000000000001</v>
      </c>
    </row>
    <row r="47" spans="1:17" ht="22.5" customHeight="1" x14ac:dyDescent="0.25">
      <c r="A47" s="327">
        <v>44</v>
      </c>
      <c r="B47" s="347" t="s">
        <v>392</v>
      </c>
      <c r="C47" s="329">
        <v>3.15</v>
      </c>
      <c r="D47" s="328">
        <v>1</v>
      </c>
      <c r="E47" s="328">
        <v>0</v>
      </c>
      <c r="F47" s="328">
        <v>0</v>
      </c>
      <c r="G47" s="328">
        <v>12</v>
      </c>
      <c r="H47" s="330">
        <v>0</v>
      </c>
      <c r="I47" s="330">
        <v>0</v>
      </c>
      <c r="J47" s="330">
        <v>5</v>
      </c>
      <c r="K47" s="331">
        <v>8.3299999999999999E-2</v>
      </c>
      <c r="L47" s="332">
        <v>0</v>
      </c>
      <c r="M47" s="332">
        <v>0</v>
      </c>
      <c r="N47" s="333">
        <v>0</v>
      </c>
      <c r="O47" s="334">
        <v>0</v>
      </c>
      <c r="P47" s="334">
        <v>0</v>
      </c>
      <c r="Q47" s="335">
        <v>0.12</v>
      </c>
    </row>
    <row r="48" spans="1:17" ht="22.5" customHeight="1" x14ac:dyDescent="0.25">
      <c r="A48" s="327">
        <v>45</v>
      </c>
      <c r="B48" s="347" t="s">
        <v>365</v>
      </c>
      <c r="C48" s="329">
        <v>2.726</v>
      </c>
      <c r="D48" s="328">
        <v>1</v>
      </c>
      <c r="E48" s="328">
        <v>0</v>
      </c>
      <c r="F48" s="328">
        <v>0</v>
      </c>
      <c r="G48" s="328">
        <v>13</v>
      </c>
      <c r="H48" s="330">
        <v>0</v>
      </c>
      <c r="I48" s="330">
        <v>0</v>
      </c>
      <c r="J48" s="330">
        <v>10</v>
      </c>
      <c r="K48" s="331">
        <v>7.6899999999999996E-2</v>
      </c>
      <c r="L48" s="332">
        <v>0</v>
      </c>
      <c r="M48" s="332">
        <v>0</v>
      </c>
      <c r="N48" s="333">
        <v>0</v>
      </c>
      <c r="O48" s="334">
        <v>0</v>
      </c>
      <c r="P48" s="334">
        <v>0</v>
      </c>
      <c r="Q48" s="335">
        <v>0.11</v>
      </c>
    </row>
    <row r="49" spans="1:17" ht="22.5" customHeight="1" x14ac:dyDescent="0.25">
      <c r="A49" s="327">
        <v>46</v>
      </c>
      <c r="B49" s="347" t="s">
        <v>336</v>
      </c>
      <c r="C49" s="329">
        <v>3.7210000000000001</v>
      </c>
      <c r="D49" s="328">
        <v>1</v>
      </c>
      <c r="E49" s="328">
        <v>0</v>
      </c>
      <c r="F49" s="328">
        <v>0</v>
      </c>
      <c r="G49" s="328">
        <v>16</v>
      </c>
      <c r="H49" s="330">
        <v>0</v>
      </c>
      <c r="I49" s="330">
        <v>0</v>
      </c>
      <c r="J49" s="330">
        <v>10</v>
      </c>
      <c r="K49" s="331">
        <v>6.25E-2</v>
      </c>
      <c r="L49" s="332">
        <v>0</v>
      </c>
      <c r="M49" s="332">
        <v>0</v>
      </c>
      <c r="N49" s="333">
        <v>0</v>
      </c>
      <c r="O49" s="334">
        <v>0</v>
      </c>
      <c r="P49" s="334">
        <v>0</v>
      </c>
      <c r="Q49" s="335">
        <v>0.1</v>
      </c>
    </row>
    <row r="50" spans="1:17" ht="22.5" customHeight="1" x14ac:dyDescent="0.25">
      <c r="A50" s="327">
        <v>47</v>
      </c>
      <c r="B50" s="347" t="s">
        <v>371</v>
      </c>
      <c r="C50" s="329">
        <v>10.606999999999999</v>
      </c>
      <c r="D50" s="328">
        <v>1</v>
      </c>
      <c r="E50" s="328">
        <v>0</v>
      </c>
      <c r="F50" s="328">
        <v>0</v>
      </c>
      <c r="G50" s="328">
        <v>39</v>
      </c>
      <c r="H50" s="330">
        <v>0</v>
      </c>
      <c r="I50" s="330">
        <v>0</v>
      </c>
      <c r="J50" s="330">
        <v>40</v>
      </c>
      <c r="K50" s="331">
        <v>2.5600000000000001E-2</v>
      </c>
      <c r="L50" s="332">
        <v>0</v>
      </c>
      <c r="M50" s="332">
        <v>0</v>
      </c>
      <c r="N50" s="333">
        <v>0</v>
      </c>
      <c r="O50" s="334">
        <v>0</v>
      </c>
      <c r="P50" s="334">
        <v>0</v>
      </c>
      <c r="Q50" s="335">
        <v>0.09</v>
      </c>
    </row>
    <row r="51" spans="1:17" ht="22.5" customHeight="1" x14ac:dyDescent="0.25">
      <c r="A51" s="327">
        <v>48</v>
      </c>
      <c r="B51" s="347" t="s">
        <v>411</v>
      </c>
      <c r="C51" s="329">
        <v>2.2869999999999999</v>
      </c>
      <c r="D51" s="328">
        <v>0</v>
      </c>
      <c r="E51" s="328">
        <v>0</v>
      </c>
      <c r="F51" s="328">
        <v>0</v>
      </c>
      <c r="G51" s="328">
        <v>9</v>
      </c>
      <c r="H51" s="330">
        <v>0</v>
      </c>
      <c r="I51" s="330">
        <v>0</v>
      </c>
      <c r="J51" s="330">
        <v>0</v>
      </c>
      <c r="K51" s="331">
        <v>0</v>
      </c>
      <c r="L51" s="332">
        <v>0</v>
      </c>
      <c r="M51" s="332">
        <v>0</v>
      </c>
      <c r="N51" s="333">
        <v>0</v>
      </c>
      <c r="O51" s="334">
        <v>0</v>
      </c>
      <c r="P51" s="334">
        <v>0</v>
      </c>
      <c r="Q51" s="335">
        <v>0.01</v>
      </c>
    </row>
    <row r="52" spans="1:17" ht="22.5" customHeight="1" x14ac:dyDescent="0.25">
      <c r="A52" s="327">
        <v>49</v>
      </c>
      <c r="B52" s="347" t="s">
        <v>385</v>
      </c>
      <c r="C52" s="329">
        <v>3.077</v>
      </c>
      <c r="D52" s="328">
        <v>0</v>
      </c>
      <c r="E52" s="328">
        <v>0</v>
      </c>
      <c r="F52" s="328">
        <v>0</v>
      </c>
      <c r="G52" s="328">
        <v>2</v>
      </c>
      <c r="H52" s="330">
        <v>0</v>
      </c>
      <c r="I52" s="330">
        <v>0</v>
      </c>
      <c r="J52" s="330">
        <v>0</v>
      </c>
      <c r="K52" s="331">
        <v>0</v>
      </c>
      <c r="L52" s="332">
        <v>0</v>
      </c>
      <c r="M52" s="332">
        <v>0</v>
      </c>
      <c r="N52" s="333">
        <v>0</v>
      </c>
      <c r="O52" s="334">
        <v>0</v>
      </c>
      <c r="P52" s="334">
        <v>0</v>
      </c>
      <c r="Q52" s="335">
        <v>0.01</v>
      </c>
    </row>
    <row r="53" spans="1:17" ht="22.5" customHeight="1" x14ac:dyDescent="0.25">
      <c r="A53" s="327">
        <v>50</v>
      </c>
      <c r="B53" s="347" t="s">
        <v>352</v>
      </c>
      <c r="C53" s="329">
        <v>5.9020000000000001</v>
      </c>
      <c r="D53" s="328">
        <v>0</v>
      </c>
      <c r="E53" s="328">
        <v>0</v>
      </c>
      <c r="F53" s="328">
        <v>0</v>
      </c>
      <c r="G53" s="328">
        <v>17</v>
      </c>
      <c r="H53" s="330">
        <v>0</v>
      </c>
      <c r="I53" s="330">
        <v>0</v>
      </c>
      <c r="J53" s="330">
        <v>0</v>
      </c>
      <c r="K53" s="331">
        <v>0</v>
      </c>
      <c r="L53" s="332">
        <v>0</v>
      </c>
      <c r="M53" s="332">
        <v>0</v>
      </c>
      <c r="N53" s="333">
        <v>0</v>
      </c>
      <c r="O53" s="334">
        <v>0</v>
      </c>
      <c r="P53" s="334">
        <v>0</v>
      </c>
      <c r="Q53" s="335">
        <v>0.01</v>
      </c>
    </row>
    <row r="54" spans="1:17" ht="22.5" customHeight="1" x14ac:dyDescent="0.25">
      <c r="A54" s="327">
        <v>51</v>
      </c>
      <c r="B54" s="347" t="s">
        <v>287</v>
      </c>
      <c r="C54" s="329">
        <v>2.8029999999999999</v>
      </c>
      <c r="D54" s="328">
        <v>0</v>
      </c>
      <c r="E54" s="328">
        <v>0</v>
      </c>
      <c r="F54" s="328">
        <v>0</v>
      </c>
      <c r="G54" s="328">
        <v>6</v>
      </c>
      <c r="H54" s="330">
        <v>0</v>
      </c>
      <c r="I54" s="330">
        <v>0</v>
      </c>
      <c r="J54" s="330">
        <v>0</v>
      </c>
      <c r="K54" s="331">
        <v>0</v>
      </c>
      <c r="L54" s="332">
        <v>0</v>
      </c>
      <c r="M54" s="332">
        <v>0</v>
      </c>
      <c r="N54" s="333">
        <v>0</v>
      </c>
      <c r="O54" s="334">
        <v>0</v>
      </c>
      <c r="P54" s="334">
        <v>0</v>
      </c>
      <c r="Q54" s="335">
        <v>0.01</v>
      </c>
    </row>
    <row r="55" spans="1:17" ht="22.5" customHeight="1" x14ac:dyDescent="0.25">
      <c r="A55" s="327">
        <v>52</v>
      </c>
      <c r="B55" s="347" t="s">
        <v>337</v>
      </c>
      <c r="C55" s="329">
        <v>3.3410000000000002</v>
      </c>
      <c r="D55" s="328">
        <v>0</v>
      </c>
      <c r="E55" s="328">
        <v>0</v>
      </c>
      <c r="F55" s="328">
        <v>0</v>
      </c>
      <c r="G55" s="328">
        <v>12</v>
      </c>
      <c r="H55" s="330">
        <v>0</v>
      </c>
      <c r="I55" s="330">
        <v>0</v>
      </c>
      <c r="J55" s="330">
        <v>0</v>
      </c>
      <c r="K55" s="331">
        <v>0</v>
      </c>
      <c r="L55" s="332">
        <v>0</v>
      </c>
      <c r="M55" s="332">
        <v>0</v>
      </c>
      <c r="N55" s="333">
        <v>0</v>
      </c>
      <c r="O55" s="334">
        <v>0</v>
      </c>
      <c r="P55" s="334">
        <v>0</v>
      </c>
      <c r="Q55" s="335">
        <v>0.01</v>
      </c>
    </row>
    <row r="56" spans="1:17" ht="22.5" customHeight="1" x14ac:dyDescent="0.25">
      <c r="A56" s="327">
        <v>53</v>
      </c>
      <c r="B56" s="347" t="s">
        <v>299</v>
      </c>
      <c r="C56" s="329">
        <v>4.16</v>
      </c>
      <c r="D56" s="328">
        <v>0</v>
      </c>
      <c r="E56" s="328">
        <v>0</v>
      </c>
      <c r="F56" s="328">
        <v>0</v>
      </c>
      <c r="G56" s="328">
        <v>25</v>
      </c>
      <c r="H56" s="330">
        <v>0</v>
      </c>
      <c r="I56" s="330">
        <v>0</v>
      </c>
      <c r="J56" s="330">
        <v>0</v>
      </c>
      <c r="K56" s="331">
        <v>0</v>
      </c>
      <c r="L56" s="332">
        <v>0</v>
      </c>
      <c r="M56" s="332">
        <v>0</v>
      </c>
      <c r="N56" s="333">
        <v>0</v>
      </c>
      <c r="O56" s="334">
        <v>0</v>
      </c>
      <c r="P56" s="334">
        <v>0</v>
      </c>
      <c r="Q56" s="335">
        <v>0.01</v>
      </c>
    </row>
    <row r="57" spans="1:17" ht="22.5" customHeight="1" x14ac:dyDescent="0.25">
      <c r="A57" s="327">
        <v>54</v>
      </c>
      <c r="B57" s="347" t="s">
        <v>314</v>
      </c>
      <c r="C57" s="329">
        <v>0.64100000000000001</v>
      </c>
      <c r="D57" s="328">
        <v>0</v>
      </c>
      <c r="E57" s="328">
        <v>0</v>
      </c>
      <c r="F57" s="328">
        <v>0</v>
      </c>
      <c r="G57" s="328">
        <v>5</v>
      </c>
      <c r="H57" s="330">
        <v>0</v>
      </c>
      <c r="I57" s="330">
        <v>0</v>
      </c>
      <c r="J57" s="330">
        <v>0</v>
      </c>
      <c r="K57" s="331">
        <v>0</v>
      </c>
      <c r="L57" s="332">
        <v>0</v>
      </c>
      <c r="M57" s="332">
        <v>0</v>
      </c>
      <c r="N57" s="333">
        <v>0</v>
      </c>
      <c r="O57" s="334">
        <v>0</v>
      </c>
      <c r="P57" s="334">
        <v>0</v>
      </c>
      <c r="Q57" s="335">
        <v>0.01</v>
      </c>
    </row>
    <row r="58" spans="1:17" ht="22.5" customHeight="1" x14ac:dyDescent="0.25">
      <c r="A58" s="327">
        <v>55</v>
      </c>
      <c r="B58" s="347" t="s">
        <v>333</v>
      </c>
      <c r="C58" s="329">
        <v>3.9769999999999999</v>
      </c>
      <c r="D58" s="328">
        <v>0</v>
      </c>
      <c r="E58" s="328">
        <v>0</v>
      </c>
      <c r="F58" s="328">
        <v>0</v>
      </c>
      <c r="G58" s="328">
        <v>5</v>
      </c>
      <c r="H58" s="330">
        <v>0</v>
      </c>
      <c r="I58" s="330">
        <v>0</v>
      </c>
      <c r="J58" s="330">
        <v>0</v>
      </c>
      <c r="K58" s="331">
        <v>0</v>
      </c>
      <c r="L58" s="332">
        <v>0</v>
      </c>
      <c r="M58" s="332">
        <v>0</v>
      </c>
      <c r="N58" s="333">
        <v>0</v>
      </c>
      <c r="O58" s="334">
        <v>0</v>
      </c>
      <c r="P58" s="334">
        <v>0</v>
      </c>
      <c r="Q58" s="335">
        <v>0.01</v>
      </c>
    </row>
    <row r="59" spans="1:17" ht="22.5" customHeight="1" x14ac:dyDescent="0.25">
      <c r="A59" s="327">
        <v>56</v>
      </c>
      <c r="B59" s="347" t="s">
        <v>316</v>
      </c>
      <c r="C59" s="329">
        <v>0.82399999999999995</v>
      </c>
      <c r="D59" s="328">
        <v>0</v>
      </c>
      <c r="E59" s="328">
        <v>0</v>
      </c>
      <c r="F59" s="328">
        <v>0</v>
      </c>
      <c r="G59" s="328">
        <v>0</v>
      </c>
      <c r="H59" s="330">
        <v>0</v>
      </c>
      <c r="I59" s="330">
        <v>0</v>
      </c>
      <c r="J59" s="330">
        <v>0</v>
      </c>
      <c r="K59" s="331">
        <v>0</v>
      </c>
      <c r="L59" s="332">
        <v>0</v>
      </c>
      <c r="M59" s="332">
        <v>0</v>
      </c>
      <c r="N59" s="333">
        <v>0</v>
      </c>
      <c r="O59" s="334">
        <v>0</v>
      </c>
      <c r="P59" s="334">
        <v>0</v>
      </c>
      <c r="Q59" s="335">
        <v>0.01</v>
      </c>
    </row>
    <row r="60" spans="1:17" ht="22.5" customHeight="1" x14ac:dyDescent="0.25">
      <c r="A60" s="327">
        <v>57</v>
      </c>
      <c r="B60" s="347" t="s">
        <v>342</v>
      </c>
      <c r="C60" s="329">
        <v>0.98399999999999999</v>
      </c>
      <c r="D60" s="328">
        <v>0</v>
      </c>
      <c r="E60" s="328">
        <v>0</v>
      </c>
      <c r="F60" s="328">
        <v>0</v>
      </c>
      <c r="G60" s="328">
        <v>2</v>
      </c>
      <c r="H60" s="330">
        <v>0</v>
      </c>
      <c r="I60" s="330">
        <v>0</v>
      </c>
      <c r="J60" s="330">
        <v>0</v>
      </c>
      <c r="K60" s="331">
        <v>0</v>
      </c>
      <c r="L60" s="332">
        <v>0</v>
      </c>
      <c r="M60" s="332">
        <v>0</v>
      </c>
      <c r="N60" s="333">
        <v>0</v>
      </c>
      <c r="O60" s="334">
        <v>0</v>
      </c>
      <c r="P60" s="334">
        <v>0</v>
      </c>
      <c r="Q60" s="335">
        <v>0.01</v>
      </c>
    </row>
    <row r="61" spans="1:17" ht="22.5" customHeight="1" x14ac:dyDescent="0.25">
      <c r="A61" s="327">
        <v>58</v>
      </c>
      <c r="B61" s="347" t="s">
        <v>274</v>
      </c>
      <c r="C61" s="329">
        <v>0.74299999999999999</v>
      </c>
      <c r="D61" s="328">
        <v>0</v>
      </c>
      <c r="E61" s="328">
        <v>0</v>
      </c>
      <c r="F61" s="328">
        <v>0</v>
      </c>
      <c r="G61" s="328">
        <v>0</v>
      </c>
      <c r="H61" s="330">
        <v>0</v>
      </c>
      <c r="I61" s="330">
        <v>0</v>
      </c>
      <c r="J61" s="330">
        <v>0</v>
      </c>
      <c r="K61" s="331">
        <v>0</v>
      </c>
      <c r="L61" s="332">
        <v>0</v>
      </c>
      <c r="M61" s="332">
        <v>0</v>
      </c>
      <c r="N61" s="333">
        <v>0</v>
      </c>
      <c r="O61" s="334">
        <v>0</v>
      </c>
      <c r="P61" s="334">
        <v>0</v>
      </c>
      <c r="Q61" s="335">
        <v>0.01</v>
      </c>
    </row>
    <row r="62" spans="1:17" ht="22.5" customHeight="1" x14ac:dyDescent="0.25">
      <c r="A62" s="327">
        <v>59</v>
      </c>
      <c r="B62" s="347" t="s">
        <v>393</v>
      </c>
      <c r="C62" s="329">
        <v>1.2689999999999999</v>
      </c>
      <c r="D62" s="328">
        <v>0</v>
      </c>
      <c r="E62" s="328">
        <v>0</v>
      </c>
      <c r="F62" s="328">
        <v>0</v>
      </c>
      <c r="G62" s="328">
        <v>4</v>
      </c>
      <c r="H62" s="330">
        <v>0</v>
      </c>
      <c r="I62" s="330">
        <v>0</v>
      </c>
      <c r="J62" s="330">
        <v>0</v>
      </c>
      <c r="K62" s="331">
        <v>0</v>
      </c>
      <c r="L62" s="332">
        <v>0</v>
      </c>
      <c r="M62" s="332">
        <v>0</v>
      </c>
      <c r="N62" s="333">
        <v>0</v>
      </c>
      <c r="O62" s="334">
        <v>0</v>
      </c>
      <c r="P62" s="334">
        <v>0</v>
      </c>
      <c r="Q62" s="335">
        <v>0.01</v>
      </c>
    </row>
    <row r="63" spans="1:17" ht="22.5" customHeight="1" x14ac:dyDescent="0.25">
      <c r="A63" s="327">
        <v>60</v>
      </c>
      <c r="B63" s="347" t="s">
        <v>435</v>
      </c>
      <c r="C63" s="329">
        <v>3.891</v>
      </c>
      <c r="D63" s="328">
        <v>0</v>
      </c>
      <c r="E63" s="328">
        <v>0</v>
      </c>
      <c r="F63" s="328">
        <v>0</v>
      </c>
      <c r="G63" s="328">
        <v>12</v>
      </c>
      <c r="H63" s="330">
        <v>0</v>
      </c>
      <c r="I63" s="330">
        <v>0</v>
      </c>
      <c r="J63" s="330">
        <v>0</v>
      </c>
      <c r="K63" s="331">
        <v>0</v>
      </c>
      <c r="L63" s="332">
        <v>0</v>
      </c>
      <c r="M63" s="332">
        <v>0</v>
      </c>
      <c r="N63" s="333">
        <v>0</v>
      </c>
      <c r="O63" s="334">
        <v>0</v>
      </c>
      <c r="P63" s="334">
        <v>0</v>
      </c>
      <c r="Q63" s="335">
        <v>0.01</v>
      </c>
    </row>
    <row r="64" spans="1:17" ht="22.5" customHeight="1" x14ac:dyDescent="0.25">
      <c r="A64" s="327">
        <v>61</v>
      </c>
      <c r="B64" s="347" t="s">
        <v>366</v>
      </c>
      <c r="C64" s="329">
        <v>3.4060000000000001</v>
      </c>
      <c r="D64" s="328">
        <v>0</v>
      </c>
      <c r="E64" s="328">
        <v>0</v>
      </c>
      <c r="F64" s="328">
        <v>0</v>
      </c>
      <c r="G64" s="328">
        <v>12</v>
      </c>
      <c r="H64" s="330">
        <v>0</v>
      </c>
      <c r="I64" s="330">
        <v>0</v>
      </c>
      <c r="J64" s="330">
        <v>0</v>
      </c>
      <c r="K64" s="331">
        <v>0</v>
      </c>
      <c r="L64" s="332">
        <v>0</v>
      </c>
      <c r="M64" s="332">
        <v>0</v>
      </c>
      <c r="N64" s="333">
        <v>0</v>
      </c>
      <c r="O64" s="334">
        <v>0</v>
      </c>
      <c r="P64" s="334">
        <v>0</v>
      </c>
      <c r="Q64" s="335">
        <v>0.01</v>
      </c>
    </row>
    <row r="65" spans="1:17" ht="22.5" customHeight="1" x14ac:dyDescent="0.25">
      <c r="A65" s="327">
        <v>62</v>
      </c>
      <c r="B65" s="347" t="s">
        <v>362</v>
      </c>
      <c r="C65" s="329">
        <v>6.7130000000000001</v>
      </c>
      <c r="D65" s="328">
        <v>0</v>
      </c>
      <c r="E65" s="328">
        <v>0</v>
      </c>
      <c r="F65" s="328">
        <v>0</v>
      </c>
      <c r="G65" s="328">
        <v>27</v>
      </c>
      <c r="H65" s="330">
        <v>0</v>
      </c>
      <c r="I65" s="330">
        <v>0</v>
      </c>
      <c r="J65" s="330">
        <v>0</v>
      </c>
      <c r="K65" s="331">
        <v>0</v>
      </c>
      <c r="L65" s="332">
        <v>0</v>
      </c>
      <c r="M65" s="332">
        <v>0</v>
      </c>
      <c r="N65" s="333">
        <v>0</v>
      </c>
      <c r="O65" s="334">
        <v>0</v>
      </c>
      <c r="P65" s="334">
        <v>0</v>
      </c>
      <c r="Q65" s="335">
        <v>0.01</v>
      </c>
    </row>
    <row r="66" spans="1:17" ht="22.5" customHeight="1" x14ac:dyDescent="0.25">
      <c r="A66" s="327">
        <v>63</v>
      </c>
      <c r="B66" s="347" t="s">
        <v>357</v>
      </c>
      <c r="C66" s="329">
        <v>2.1949999999999998</v>
      </c>
      <c r="D66" s="328">
        <v>0</v>
      </c>
      <c r="E66" s="328">
        <v>0</v>
      </c>
      <c r="F66" s="328">
        <v>0</v>
      </c>
      <c r="G66" s="328">
        <v>5</v>
      </c>
      <c r="H66" s="330">
        <v>0</v>
      </c>
      <c r="I66" s="330">
        <v>0</v>
      </c>
      <c r="J66" s="330">
        <v>0</v>
      </c>
      <c r="K66" s="331">
        <v>0</v>
      </c>
      <c r="L66" s="332">
        <v>0</v>
      </c>
      <c r="M66" s="332">
        <v>0</v>
      </c>
      <c r="N66" s="333">
        <v>0</v>
      </c>
      <c r="O66" s="334">
        <v>0</v>
      </c>
      <c r="P66" s="334">
        <v>0</v>
      </c>
      <c r="Q66" s="335">
        <v>0.01</v>
      </c>
    </row>
    <row r="67" spans="1:17" ht="22.5" customHeight="1" x14ac:dyDescent="0.25">
      <c r="A67" s="327">
        <v>64</v>
      </c>
      <c r="B67" s="347" t="s">
        <v>328</v>
      </c>
      <c r="C67" s="329">
        <v>7.0590000000000002</v>
      </c>
      <c r="D67" s="328">
        <v>0</v>
      </c>
      <c r="E67" s="328">
        <v>0</v>
      </c>
      <c r="F67" s="328">
        <v>0</v>
      </c>
      <c r="G67" s="328">
        <v>9</v>
      </c>
      <c r="H67" s="330">
        <v>0</v>
      </c>
      <c r="I67" s="330">
        <v>0</v>
      </c>
      <c r="J67" s="330">
        <v>0</v>
      </c>
      <c r="K67" s="331">
        <v>0</v>
      </c>
      <c r="L67" s="332">
        <v>0</v>
      </c>
      <c r="M67" s="332">
        <v>0</v>
      </c>
      <c r="N67" s="333">
        <v>0</v>
      </c>
      <c r="O67" s="334">
        <v>0</v>
      </c>
      <c r="P67" s="334">
        <v>0</v>
      </c>
      <c r="Q67" s="335">
        <v>0.01</v>
      </c>
    </row>
    <row r="68" spans="1:17" ht="22.5" customHeight="1" x14ac:dyDescent="0.25">
      <c r="A68" s="327">
        <v>65</v>
      </c>
      <c r="B68" s="347" t="s">
        <v>321</v>
      </c>
      <c r="C68" s="329">
        <v>0.53800000000000003</v>
      </c>
      <c r="D68" s="328">
        <v>0</v>
      </c>
      <c r="E68" s="328">
        <v>0</v>
      </c>
      <c r="F68" s="328">
        <v>0</v>
      </c>
      <c r="G68" s="328">
        <v>2</v>
      </c>
      <c r="H68" s="330">
        <v>0</v>
      </c>
      <c r="I68" s="330">
        <v>0</v>
      </c>
      <c r="J68" s="330">
        <v>0</v>
      </c>
      <c r="K68" s="331">
        <v>0</v>
      </c>
      <c r="L68" s="332">
        <v>0</v>
      </c>
      <c r="M68" s="332">
        <v>0</v>
      </c>
      <c r="N68" s="333">
        <v>0</v>
      </c>
      <c r="O68" s="334">
        <v>0</v>
      </c>
      <c r="P68" s="334">
        <v>0</v>
      </c>
      <c r="Q68" s="335">
        <v>0.01</v>
      </c>
    </row>
    <row r="69" spans="1:17" ht="22.5" customHeight="1" x14ac:dyDescent="0.25">
      <c r="A69" s="327">
        <v>66</v>
      </c>
      <c r="B69" s="347" t="s">
        <v>354</v>
      </c>
      <c r="C69" s="329">
        <v>3.1360000000000001</v>
      </c>
      <c r="D69" s="328">
        <v>0</v>
      </c>
      <c r="E69" s="328">
        <v>0</v>
      </c>
      <c r="F69" s="328">
        <v>0</v>
      </c>
      <c r="G69" s="328">
        <v>6</v>
      </c>
      <c r="H69" s="330">
        <v>0</v>
      </c>
      <c r="I69" s="330">
        <v>0</v>
      </c>
      <c r="J69" s="330">
        <v>0</v>
      </c>
      <c r="K69" s="331">
        <v>0</v>
      </c>
      <c r="L69" s="332">
        <v>0</v>
      </c>
      <c r="M69" s="332">
        <v>0</v>
      </c>
      <c r="N69" s="333">
        <v>0</v>
      </c>
      <c r="O69" s="334">
        <v>0</v>
      </c>
      <c r="P69" s="334">
        <v>0</v>
      </c>
      <c r="Q69" s="335">
        <v>0.01</v>
      </c>
    </row>
    <row r="70" spans="1:17" ht="22.5" customHeight="1" x14ac:dyDescent="0.25">
      <c r="A70" s="327">
        <v>67</v>
      </c>
      <c r="B70" s="347" t="s">
        <v>326</v>
      </c>
      <c r="C70" s="329">
        <v>1.6990000000000001</v>
      </c>
      <c r="D70" s="328">
        <v>0</v>
      </c>
      <c r="E70" s="328">
        <v>0</v>
      </c>
      <c r="F70" s="328">
        <v>0</v>
      </c>
      <c r="G70" s="328">
        <v>5</v>
      </c>
      <c r="H70" s="330">
        <v>0</v>
      </c>
      <c r="I70" s="330">
        <v>0</v>
      </c>
      <c r="J70" s="330">
        <v>0</v>
      </c>
      <c r="K70" s="331">
        <v>0</v>
      </c>
      <c r="L70" s="332">
        <v>0</v>
      </c>
      <c r="M70" s="332">
        <v>0</v>
      </c>
      <c r="N70" s="333">
        <v>0</v>
      </c>
      <c r="O70" s="334">
        <v>0</v>
      </c>
      <c r="P70" s="334">
        <v>0</v>
      </c>
      <c r="Q70" s="335">
        <v>0.01</v>
      </c>
    </row>
    <row r="71" spans="1:17" ht="22.5" customHeight="1" x14ac:dyDescent="0.25">
      <c r="A71" s="327">
        <v>68</v>
      </c>
      <c r="B71" s="347" t="s">
        <v>305</v>
      </c>
      <c r="C71" s="329">
        <v>6.7080000000000002</v>
      </c>
      <c r="D71" s="328">
        <v>0</v>
      </c>
      <c r="E71" s="328">
        <v>0</v>
      </c>
      <c r="F71" s="328">
        <v>0</v>
      </c>
      <c r="G71" s="328">
        <v>9</v>
      </c>
      <c r="H71" s="330">
        <v>0</v>
      </c>
      <c r="I71" s="330">
        <v>0</v>
      </c>
      <c r="J71" s="330">
        <v>0</v>
      </c>
      <c r="K71" s="331">
        <v>0</v>
      </c>
      <c r="L71" s="332">
        <v>0</v>
      </c>
      <c r="M71" s="332">
        <v>0</v>
      </c>
      <c r="N71" s="333">
        <v>0</v>
      </c>
      <c r="O71" s="334">
        <v>0</v>
      </c>
      <c r="P71" s="334">
        <v>0</v>
      </c>
      <c r="Q71" s="335">
        <v>0.01</v>
      </c>
    </row>
    <row r="72" spans="1:17" ht="22.5" customHeight="1" x14ac:dyDescent="0.25">
      <c r="A72" s="327">
        <v>69</v>
      </c>
      <c r="B72" s="347" t="s">
        <v>295</v>
      </c>
      <c r="C72" s="329">
        <v>0.32300000000000001</v>
      </c>
      <c r="D72" s="328">
        <v>0</v>
      </c>
      <c r="E72" s="328">
        <v>0</v>
      </c>
      <c r="F72" s="328">
        <v>0</v>
      </c>
      <c r="G72" s="328">
        <v>2</v>
      </c>
      <c r="H72" s="330">
        <v>0</v>
      </c>
      <c r="I72" s="330">
        <v>0</v>
      </c>
      <c r="J72" s="330">
        <v>0</v>
      </c>
      <c r="K72" s="331">
        <v>0</v>
      </c>
      <c r="L72" s="332">
        <v>0</v>
      </c>
      <c r="M72" s="332">
        <v>0</v>
      </c>
      <c r="N72" s="333">
        <v>0</v>
      </c>
      <c r="O72" s="334">
        <v>0</v>
      </c>
      <c r="P72" s="334">
        <v>0</v>
      </c>
      <c r="Q72" s="335">
        <v>0.01</v>
      </c>
    </row>
    <row r="73" spans="1:17" ht="22.5" customHeight="1" x14ac:dyDescent="0.25">
      <c r="A73" s="327">
        <v>70</v>
      </c>
      <c r="B73" s="347" t="s">
        <v>397</v>
      </c>
      <c r="C73" s="329">
        <v>6.78</v>
      </c>
      <c r="D73" s="328">
        <v>0</v>
      </c>
      <c r="E73" s="328">
        <v>0</v>
      </c>
      <c r="F73" s="328">
        <v>0</v>
      </c>
      <c r="G73" s="328">
        <v>7</v>
      </c>
      <c r="H73" s="330">
        <v>0</v>
      </c>
      <c r="I73" s="330">
        <v>0</v>
      </c>
      <c r="J73" s="330">
        <v>0</v>
      </c>
      <c r="K73" s="331">
        <v>0</v>
      </c>
      <c r="L73" s="332">
        <v>0</v>
      </c>
      <c r="M73" s="332">
        <v>0</v>
      </c>
      <c r="N73" s="333">
        <v>0</v>
      </c>
      <c r="O73" s="334">
        <v>0</v>
      </c>
      <c r="P73" s="334">
        <v>0</v>
      </c>
      <c r="Q73" s="335">
        <v>0.01</v>
      </c>
    </row>
    <row r="74" spans="1:17" ht="22.5" customHeight="1" x14ac:dyDescent="0.25">
      <c r="A74" s="327">
        <v>71</v>
      </c>
      <c r="B74" s="347" t="s">
        <v>375</v>
      </c>
      <c r="C74" s="329">
        <v>10.532</v>
      </c>
      <c r="D74" s="328">
        <v>0</v>
      </c>
      <c r="E74" s="328">
        <v>0</v>
      </c>
      <c r="F74" s="328">
        <v>0</v>
      </c>
      <c r="G74" s="328">
        <v>13</v>
      </c>
      <c r="H74" s="330">
        <v>0</v>
      </c>
      <c r="I74" s="330">
        <v>0</v>
      </c>
      <c r="J74" s="330">
        <v>0</v>
      </c>
      <c r="K74" s="331">
        <v>0</v>
      </c>
      <c r="L74" s="332">
        <v>0</v>
      </c>
      <c r="M74" s="332">
        <v>0</v>
      </c>
      <c r="N74" s="333">
        <v>0</v>
      </c>
      <c r="O74" s="334">
        <v>0</v>
      </c>
      <c r="P74" s="334">
        <v>0</v>
      </c>
      <c r="Q74" s="335">
        <v>0.01</v>
      </c>
    </row>
    <row r="75" spans="1:17" ht="22.5" customHeight="1" x14ac:dyDescent="0.25">
      <c r="A75" s="327">
        <v>72</v>
      </c>
      <c r="B75" s="347" t="s">
        <v>324</v>
      </c>
      <c r="C75" s="329">
        <v>2.1720000000000002</v>
      </c>
      <c r="D75" s="328">
        <v>0</v>
      </c>
      <c r="E75" s="328">
        <v>0</v>
      </c>
      <c r="F75" s="328">
        <v>0</v>
      </c>
      <c r="G75" s="328">
        <v>6</v>
      </c>
      <c r="H75" s="330">
        <v>0</v>
      </c>
      <c r="I75" s="330">
        <v>0</v>
      </c>
      <c r="J75" s="330">
        <v>0</v>
      </c>
      <c r="K75" s="331">
        <v>0</v>
      </c>
      <c r="L75" s="332">
        <v>0</v>
      </c>
      <c r="M75" s="332">
        <v>0</v>
      </c>
      <c r="N75" s="333">
        <v>0</v>
      </c>
      <c r="O75" s="334">
        <v>0</v>
      </c>
      <c r="P75" s="334">
        <v>0</v>
      </c>
      <c r="Q75" s="335">
        <v>0.01</v>
      </c>
    </row>
    <row r="76" spans="1:17" ht="22.5" customHeight="1" x14ac:dyDescent="0.25">
      <c r="A76" s="327">
        <v>73</v>
      </c>
      <c r="B76" s="347" t="s">
        <v>276</v>
      </c>
      <c r="C76" s="329">
        <v>1.7070000000000001</v>
      </c>
      <c r="D76" s="328">
        <v>0</v>
      </c>
      <c r="E76" s="328">
        <v>0</v>
      </c>
      <c r="F76" s="328">
        <v>0</v>
      </c>
      <c r="G76" s="328">
        <v>3</v>
      </c>
      <c r="H76" s="330">
        <v>0</v>
      </c>
      <c r="I76" s="330">
        <v>0</v>
      </c>
      <c r="J76" s="330">
        <v>0</v>
      </c>
      <c r="K76" s="331">
        <v>0</v>
      </c>
      <c r="L76" s="332">
        <v>0</v>
      </c>
      <c r="M76" s="332">
        <v>0</v>
      </c>
      <c r="N76" s="333">
        <v>0</v>
      </c>
      <c r="O76" s="334">
        <v>0</v>
      </c>
      <c r="P76" s="334">
        <v>0</v>
      </c>
      <c r="Q76" s="335">
        <v>0.01</v>
      </c>
    </row>
    <row r="77" spans="1:17" ht="22.5" customHeight="1" x14ac:dyDescent="0.25">
      <c r="A77" s="327">
        <v>74</v>
      </c>
      <c r="B77" s="347" t="s">
        <v>282</v>
      </c>
      <c r="C77" s="329">
        <v>0.97899999999999998</v>
      </c>
      <c r="D77" s="328">
        <v>0</v>
      </c>
      <c r="E77" s="328">
        <v>0</v>
      </c>
      <c r="F77" s="328">
        <v>0</v>
      </c>
      <c r="G77" s="328">
        <v>5</v>
      </c>
      <c r="H77" s="330">
        <v>0</v>
      </c>
      <c r="I77" s="330">
        <v>0</v>
      </c>
      <c r="J77" s="330">
        <v>0</v>
      </c>
      <c r="K77" s="331">
        <v>0</v>
      </c>
      <c r="L77" s="332">
        <v>0</v>
      </c>
      <c r="M77" s="332">
        <v>0</v>
      </c>
      <c r="N77" s="333">
        <v>0</v>
      </c>
      <c r="O77" s="334">
        <v>0</v>
      </c>
      <c r="P77" s="334">
        <v>0</v>
      </c>
      <c r="Q77" s="335">
        <v>0.01</v>
      </c>
    </row>
    <row r="78" spans="1:17" ht="22.5" customHeight="1" x14ac:dyDescent="0.25">
      <c r="A78" s="327" t="s">
        <v>171</v>
      </c>
      <c r="B78" s="348" t="s">
        <v>3</v>
      </c>
      <c r="C78" s="337">
        <v>346.041</v>
      </c>
      <c r="D78" s="336">
        <v>115</v>
      </c>
      <c r="E78" s="336">
        <v>62</v>
      </c>
      <c r="F78" s="336">
        <v>8</v>
      </c>
      <c r="G78" s="338">
        <v>1173</v>
      </c>
      <c r="H78" s="339">
        <v>3460</v>
      </c>
      <c r="I78" s="339">
        <v>830</v>
      </c>
      <c r="J78" s="339">
        <v>5930</v>
      </c>
      <c r="K78" s="340">
        <v>9.8000000000000004E-2</v>
      </c>
      <c r="L78" s="349">
        <v>0.60870000000000002</v>
      </c>
      <c r="M78" s="349">
        <v>0.15090000000000001</v>
      </c>
      <c r="N78" s="350">
        <v>12.4</v>
      </c>
      <c r="O78" s="351">
        <v>0.2</v>
      </c>
      <c r="P78" s="351">
        <v>0.02</v>
      </c>
      <c r="Q78" s="352" t="s">
        <v>171</v>
      </c>
    </row>
  </sheetData>
  <sortState ref="B3:R76">
    <sortCondition descending="1" ref="Q3"/>
  </sortState>
  <mergeCells count="3">
    <mergeCell ref="A2:A3"/>
    <mergeCell ref="B2:B3"/>
    <mergeCell ref="F1:L1"/>
  </mergeCells>
  <pageMargins left="0.25" right="0.25" top="0.25" bottom="0.5" header="0.25" footer="0.25"/>
  <pageSetup scale="43" orientation="portrait" cellComments="atEnd"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tabColor rgb="FF0070C0"/>
  </sheetPr>
  <dimension ref="A1:Q78"/>
  <sheetViews>
    <sheetView workbookViewId="0">
      <selection activeCell="G15" sqref="G15"/>
    </sheetView>
  </sheetViews>
  <sheetFormatPr defaultRowHeight="22.5" customHeight="1" x14ac:dyDescent="0.25"/>
  <cols>
    <col min="1" max="1" width="6" style="93" bestFit="1" customWidth="1"/>
    <col min="2" max="2" width="21.5703125" style="94" bestFit="1" customWidth="1"/>
    <col min="3" max="3" width="8.28515625" style="93" bestFit="1" customWidth="1"/>
    <col min="4" max="4" width="6" style="93" bestFit="1" customWidth="1"/>
    <col min="5" max="5" width="10.28515625" style="93" bestFit="1" customWidth="1"/>
    <col min="6" max="6" width="10.42578125" style="93" bestFit="1" customWidth="1"/>
    <col min="7" max="7" width="8.42578125" style="93" bestFit="1" customWidth="1"/>
    <col min="8" max="8" width="13.42578125" style="93" bestFit="1" customWidth="1"/>
    <col min="9" max="9" width="12" style="93" bestFit="1" customWidth="1"/>
    <col min="10" max="11" width="13.42578125" style="93" bestFit="1" customWidth="1"/>
    <col min="12" max="12" width="11.42578125" style="93" bestFit="1" customWidth="1"/>
    <col min="13" max="13" width="10.42578125" style="93" bestFit="1" customWidth="1"/>
    <col min="14" max="14" width="11.85546875" style="93" bestFit="1" customWidth="1"/>
    <col min="15" max="15" width="11.42578125" style="93" bestFit="1" customWidth="1"/>
    <col min="16" max="16" width="10.42578125" style="93" bestFit="1" customWidth="1"/>
    <col min="17" max="17" width="12.28515625" style="93" bestFit="1" customWidth="1"/>
    <col min="18" max="16384" width="9.140625" style="93"/>
  </cols>
  <sheetData>
    <row r="1" spans="1:17" ht="22.5" customHeight="1" x14ac:dyDescent="0.25">
      <c r="F1" s="634" t="s">
        <v>266</v>
      </c>
      <c r="G1" s="634"/>
      <c r="H1" s="634"/>
      <c r="I1" s="634"/>
      <c r="J1" s="634"/>
      <c r="K1" s="634"/>
      <c r="L1" s="634"/>
    </row>
    <row r="2" spans="1:17" ht="22.5" customHeight="1" x14ac:dyDescent="0.25">
      <c r="A2" s="631" t="s">
        <v>172</v>
      </c>
      <c r="B2" s="608" t="s">
        <v>7</v>
      </c>
      <c r="C2" s="367" t="s">
        <v>173</v>
      </c>
      <c r="D2" s="368" t="s">
        <v>3</v>
      </c>
      <c r="E2" s="368" t="s">
        <v>176</v>
      </c>
      <c r="F2" s="368" t="s">
        <v>166</v>
      </c>
      <c r="G2" s="368" t="s">
        <v>8</v>
      </c>
      <c r="H2" s="368" t="s">
        <v>176</v>
      </c>
      <c r="I2" s="368" t="s">
        <v>166</v>
      </c>
      <c r="J2" s="368" t="s">
        <v>3</v>
      </c>
      <c r="K2" s="368" t="s">
        <v>21</v>
      </c>
      <c r="L2" s="368" t="s">
        <v>164</v>
      </c>
      <c r="M2" s="368" t="s">
        <v>166</v>
      </c>
      <c r="N2" s="368" t="s">
        <v>164</v>
      </c>
      <c r="O2" s="368" t="s">
        <v>164</v>
      </c>
      <c r="P2" s="368" t="s">
        <v>166</v>
      </c>
      <c r="Q2" s="369" t="s">
        <v>169</v>
      </c>
    </row>
    <row r="3" spans="1:17" ht="22.5" customHeight="1" x14ac:dyDescent="0.25">
      <c r="A3" s="632"/>
      <c r="B3" s="633"/>
      <c r="C3" s="370" t="s">
        <v>174</v>
      </c>
      <c r="D3" s="371" t="s">
        <v>175</v>
      </c>
      <c r="E3" s="371" t="s">
        <v>175</v>
      </c>
      <c r="F3" s="371" t="s">
        <v>175</v>
      </c>
      <c r="G3" s="371" t="s">
        <v>12</v>
      </c>
      <c r="H3" s="371" t="s">
        <v>9</v>
      </c>
      <c r="I3" s="371" t="s">
        <v>9</v>
      </c>
      <c r="J3" s="371" t="s">
        <v>9</v>
      </c>
      <c r="K3" s="371" t="s">
        <v>13</v>
      </c>
      <c r="L3" s="371" t="s">
        <v>165</v>
      </c>
      <c r="M3" s="371" t="s">
        <v>165</v>
      </c>
      <c r="N3" s="371" t="s">
        <v>167</v>
      </c>
      <c r="O3" s="371" t="s">
        <v>168</v>
      </c>
      <c r="P3" s="371" t="s">
        <v>168</v>
      </c>
      <c r="Q3" s="372" t="s">
        <v>170</v>
      </c>
    </row>
    <row r="4" spans="1:17" ht="22.5" customHeight="1" x14ac:dyDescent="0.25">
      <c r="A4" s="353">
        <v>1</v>
      </c>
      <c r="B4" s="373" t="s">
        <v>282</v>
      </c>
      <c r="C4" s="355">
        <v>1.39</v>
      </c>
      <c r="D4" s="354">
        <v>6</v>
      </c>
      <c r="E4" s="354">
        <v>4</v>
      </c>
      <c r="F4" s="354">
        <v>2</v>
      </c>
      <c r="G4" s="354">
        <v>7</v>
      </c>
      <c r="H4" s="356">
        <v>195</v>
      </c>
      <c r="I4" s="356">
        <v>240</v>
      </c>
      <c r="J4" s="356">
        <v>435</v>
      </c>
      <c r="K4" s="357">
        <v>0.85709999999999997</v>
      </c>
      <c r="L4" s="358">
        <v>1</v>
      </c>
      <c r="M4" s="358">
        <v>1</v>
      </c>
      <c r="N4" s="359">
        <v>312.95</v>
      </c>
      <c r="O4" s="360">
        <v>4.32</v>
      </c>
      <c r="P4" s="360">
        <v>1.44</v>
      </c>
      <c r="Q4" s="361">
        <v>0.87</v>
      </c>
    </row>
    <row r="5" spans="1:17" ht="22.5" customHeight="1" x14ac:dyDescent="0.25">
      <c r="A5" s="353">
        <v>2</v>
      </c>
      <c r="B5" s="373" t="s">
        <v>291</v>
      </c>
      <c r="C5" s="355">
        <v>2.3290000000000002</v>
      </c>
      <c r="D5" s="354">
        <v>7</v>
      </c>
      <c r="E5" s="354">
        <v>4</v>
      </c>
      <c r="F5" s="354">
        <v>3</v>
      </c>
      <c r="G5" s="354">
        <v>13</v>
      </c>
      <c r="H5" s="356">
        <v>235</v>
      </c>
      <c r="I5" s="356">
        <v>360</v>
      </c>
      <c r="J5" s="356">
        <v>595</v>
      </c>
      <c r="K5" s="357">
        <v>0.53849999999999998</v>
      </c>
      <c r="L5" s="358">
        <v>1</v>
      </c>
      <c r="M5" s="358">
        <v>1</v>
      </c>
      <c r="N5" s="359">
        <v>255.47</v>
      </c>
      <c r="O5" s="360">
        <v>3.01</v>
      </c>
      <c r="P5" s="360">
        <v>1.29</v>
      </c>
      <c r="Q5" s="361">
        <v>0.84</v>
      </c>
    </row>
    <row r="6" spans="1:17" ht="22.5" customHeight="1" x14ac:dyDescent="0.25">
      <c r="A6" s="353">
        <v>3</v>
      </c>
      <c r="B6" s="373" t="s">
        <v>295</v>
      </c>
      <c r="C6" s="355">
        <v>0.69</v>
      </c>
      <c r="D6" s="354">
        <v>1</v>
      </c>
      <c r="E6" s="354">
        <v>0</v>
      </c>
      <c r="F6" s="354">
        <v>1</v>
      </c>
      <c r="G6" s="354">
        <v>1</v>
      </c>
      <c r="H6" s="356">
        <v>0</v>
      </c>
      <c r="I6" s="356">
        <v>120</v>
      </c>
      <c r="J6" s="356">
        <v>120</v>
      </c>
      <c r="K6" s="357">
        <v>1</v>
      </c>
      <c r="L6" s="358">
        <v>1</v>
      </c>
      <c r="M6" s="358">
        <v>1</v>
      </c>
      <c r="N6" s="359">
        <v>173.91</v>
      </c>
      <c r="O6" s="360">
        <v>1.45</v>
      </c>
      <c r="P6" s="360">
        <v>1.45</v>
      </c>
      <c r="Q6" s="361">
        <v>0.8</v>
      </c>
    </row>
    <row r="7" spans="1:17" ht="22.5" customHeight="1" x14ac:dyDescent="0.25">
      <c r="A7" s="353">
        <v>4</v>
      </c>
      <c r="B7" s="373" t="s">
        <v>401</v>
      </c>
      <c r="C7" s="355">
        <v>5.8090000000000002</v>
      </c>
      <c r="D7" s="354">
        <v>15</v>
      </c>
      <c r="E7" s="354">
        <v>10</v>
      </c>
      <c r="F7" s="354">
        <v>4</v>
      </c>
      <c r="G7" s="354">
        <v>31</v>
      </c>
      <c r="H7" s="356">
        <v>250</v>
      </c>
      <c r="I7" s="356">
        <v>480</v>
      </c>
      <c r="J7" s="356">
        <v>735</v>
      </c>
      <c r="K7" s="357">
        <v>0.4839</v>
      </c>
      <c r="L7" s="358">
        <v>0.93330000000000002</v>
      </c>
      <c r="M7" s="358">
        <v>0.8</v>
      </c>
      <c r="N7" s="359">
        <v>125.67</v>
      </c>
      <c r="O7" s="360">
        <v>2.41</v>
      </c>
      <c r="P7" s="360">
        <v>0.69</v>
      </c>
      <c r="Q7" s="361">
        <v>0.79</v>
      </c>
    </row>
    <row r="8" spans="1:17" ht="22.5" customHeight="1" x14ac:dyDescent="0.25">
      <c r="A8" s="353">
        <v>5</v>
      </c>
      <c r="B8" s="373" t="s">
        <v>430</v>
      </c>
      <c r="C8" s="355">
        <v>1.8049999999999999</v>
      </c>
      <c r="D8" s="354">
        <v>4</v>
      </c>
      <c r="E8" s="354">
        <v>3</v>
      </c>
      <c r="F8" s="354">
        <v>1</v>
      </c>
      <c r="G8" s="354">
        <v>8</v>
      </c>
      <c r="H8" s="356">
        <v>95</v>
      </c>
      <c r="I8" s="356">
        <v>120</v>
      </c>
      <c r="J8" s="356">
        <v>215</v>
      </c>
      <c r="K8" s="357">
        <v>0.5</v>
      </c>
      <c r="L8" s="358">
        <v>1</v>
      </c>
      <c r="M8" s="358">
        <v>1</v>
      </c>
      <c r="N8" s="359">
        <v>119.11</v>
      </c>
      <c r="O8" s="360">
        <v>2.2200000000000002</v>
      </c>
      <c r="P8" s="360">
        <v>0.55000000000000004</v>
      </c>
      <c r="Q8" s="361">
        <v>0.78</v>
      </c>
    </row>
    <row r="9" spans="1:17" ht="22.5" customHeight="1" x14ac:dyDescent="0.25">
      <c r="A9" s="353">
        <v>6</v>
      </c>
      <c r="B9" s="373" t="s">
        <v>354</v>
      </c>
      <c r="C9" s="355">
        <v>3.5249999999999999</v>
      </c>
      <c r="D9" s="354">
        <v>8</v>
      </c>
      <c r="E9" s="354">
        <v>7</v>
      </c>
      <c r="F9" s="354">
        <v>1</v>
      </c>
      <c r="G9" s="354">
        <v>15</v>
      </c>
      <c r="H9" s="356">
        <v>275</v>
      </c>
      <c r="I9" s="356">
        <v>60</v>
      </c>
      <c r="J9" s="356">
        <v>335</v>
      </c>
      <c r="K9" s="357">
        <v>0.5333</v>
      </c>
      <c r="L9" s="358">
        <v>1</v>
      </c>
      <c r="M9" s="358">
        <v>1</v>
      </c>
      <c r="N9" s="359">
        <v>95.04</v>
      </c>
      <c r="O9" s="360">
        <v>2.27</v>
      </c>
      <c r="P9" s="360">
        <v>0.28000000000000003</v>
      </c>
      <c r="Q9" s="361">
        <v>0.76</v>
      </c>
    </row>
    <row r="10" spans="1:17" ht="22.5" customHeight="1" x14ac:dyDescent="0.25">
      <c r="A10" s="353">
        <v>7</v>
      </c>
      <c r="B10" s="373" t="s">
        <v>283</v>
      </c>
      <c r="C10" s="355">
        <v>3.9020000000000001</v>
      </c>
      <c r="D10" s="354">
        <v>6</v>
      </c>
      <c r="E10" s="354">
        <v>4</v>
      </c>
      <c r="F10" s="354">
        <v>2</v>
      </c>
      <c r="G10" s="354">
        <v>11</v>
      </c>
      <c r="H10" s="356">
        <v>180</v>
      </c>
      <c r="I10" s="356">
        <v>228</v>
      </c>
      <c r="J10" s="356">
        <v>408</v>
      </c>
      <c r="K10" s="357">
        <v>0.54549999999999998</v>
      </c>
      <c r="L10" s="358">
        <v>1</v>
      </c>
      <c r="M10" s="358">
        <v>1</v>
      </c>
      <c r="N10" s="359">
        <v>104.56</v>
      </c>
      <c r="O10" s="360">
        <v>1.54</v>
      </c>
      <c r="P10" s="360">
        <v>0.51</v>
      </c>
      <c r="Q10" s="361">
        <v>0.76</v>
      </c>
    </row>
    <row r="11" spans="1:17" ht="22.5" customHeight="1" x14ac:dyDescent="0.25">
      <c r="A11" s="353">
        <v>8</v>
      </c>
      <c r="B11" s="373" t="s">
        <v>379</v>
      </c>
      <c r="C11" s="355">
        <v>3.2229999999999999</v>
      </c>
      <c r="D11" s="354">
        <v>8</v>
      </c>
      <c r="E11" s="354">
        <v>7</v>
      </c>
      <c r="F11" s="354">
        <v>1</v>
      </c>
      <c r="G11" s="354">
        <v>18</v>
      </c>
      <c r="H11" s="356">
        <v>175</v>
      </c>
      <c r="I11" s="356">
        <v>120</v>
      </c>
      <c r="J11" s="356">
        <v>295</v>
      </c>
      <c r="K11" s="357">
        <v>0.44440000000000002</v>
      </c>
      <c r="L11" s="358">
        <v>1</v>
      </c>
      <c r="M11" s="358">
        <v>1</v>
      </c>
      <c r="N11" s="359">
        <v>91.53</v>
      </c>
      <c r="O11" s="360">
        <v>2.48</v>
      </c>
      <c r="P11" s="360">
        <v>0.31</v>
      </c>
      <c r="Q11" s="361">
        <v>0.74</v>
      </c>
    </row>
    <row r="12" spans="1:17" ht="22.5" customHeight="1" x14ac:dyDescent="0.25">
      <c r="A12" s="353">
        <v>9</v>
      </c>
      <c r="B12" s="373" t="s">
        <v>422</v>
      </c>
      <c r="C12" s="355">
        <v>10.523</v>
      </c>
      <c r="D12" s="354">
        <v>27</v>
      </c>
      <c r="E12" s="354">
        <v>25</v>
      </c>
      <c r="F12" s="354">
        <v>2</v>
      </c>
      <c r="G12" s="354">
        <v>68</v>
      </c>
      <c r="H12" s="356">
        <v>1000</v>
      </c>
      <c r="I12" s="356">
        <v>240</v>
      </c>
      <c r="J12" s="356">
        <v>1240</v>
      </c>
      <c r="K12" s="357">
        <v>0.39710000000000001</v>
      </c>
      <c r="L12" s="358">
        <v>1</v>
      </c>
      <c r="M12" s="358">
        <v>1</v>
      </c>
      <c r="N12" s="359">
        <v>117.84</v>
      </c>
      <c r="O12" s="360">
        <v>2.57</v>
      </c>
      <c r="P12" s="360">
        <v>0.19</v>
      </c>
      <c r="Q12" s="361">
        <v>0.72</v>
      </c>
    </row>
    <row r="13" spans="1:17" ht="22.5" customHeight="1" x14ac:dyDescent="0.25">
      <c r="A13" s="353">
        <v>10</v>
      </c>
      <c r="B13" s="373" t="s">
        <v>277</v>
      </c>
      <c r="C13" s="355">
        <v>7.0010000000000003</v>
      </c>
      <c r="D13" s="354">
        <v>13</v>
      </c>
      <c r="E13" s="354">
        <v>10</v>
      </c>
      <c r="F13" s="354">
        <v>2</v>
      </c>
      <c r="G13" s="354">
        <v>19</v>
      </c>
      <c r="H13" s="356">
        <v>230</v>
      </c>
      <c r="I13" s="356">
        <v>240</v>
      </c>
      <c r="J13" s="356">
        <v>545</v>
      </c>
      <c r="K13" s="357">
        <v>0.68420000000000003</v>
      </c>
      <c r="L13" s="358">
        <v>0.92310000000000003</v>
      </c>
      <c r="M13" s="358">
        <v>0.66669999999999996</v>
      </c>
      <c r="N13" s="359">
        <v>67.13</v>
      </c>
      <c r="O13" s="360">
        <v>1.71</v>
      </c>
      <c r="P13" s="360">
        <v>0.28999999999999998</v>
      </c>
      <c r="Q13" s="361">
        <v>0.71</v>
      </c>
    </row>
    <row r="14" spans="1:17" ht="22.5" customHeight="1" x14ac:dyDescent="0.25">
      <c r="A14" s="353">
        <v>11</v>
      </c>
      <c r="B14" s="373" t="s">
        <v>272</v>
      </c>
      <c r="C14" s="355">
        <v>4.8789999999999996</v>
      </c>
      <c r="D14" s="354">
        <v>16</v>
      </c>
      <c r="E14" s="354">
        <v>10</v>
      </c>
      <c r="F14" s="354">
        <v>4</v>
      </c>
      <c r="G14" s="354">
        <v>42</v>
      </c>
      <c r="H14" s="356">
        <v>160</v>
      </c>
      <c r="I14" s="356">
        <v>384</v>
      </c>
      <c r="J14" s="356">
        <v>674</v>
      </c>
      <c r="K14" s="357">
        <v>0.38100000000000001</v>
      </c>
      <c r="L14" s="358">
        <v>0.875</v>
      </c>
      <c r="M14" s="358">
        <v>0.66669999999999996</v>
      </c>
      <c r="N14" s="359">
        <v>111.5</v>
      </c>
      <c r="O14" s="360">
        <v>2.87</v>
      </c>
      <c r="P14" s="360">
        <v>0.82</v>
      </c>
      <c r="Q14" s="361">
        <v>0.71</v>
      </c>
    </row>
    <row r="15" spans="1:17" ht="22.5" customHeight="1" x14ac:dyDescent="0.25">
      <c r="A15" s="353">
        <v>12</v>
      </c>
      <c r="B15" s="373" t="s">
        <v>302</v>
      </c>
      <c r="C15" s="355">
        <v>8.0790000000000006</v>
      </c>
      <c r="D15" s="354">
        <v>21</v>
      </c>
      <c r="E15" s="354">
        <v>17</v>
      </c>
      <c r="F15" s="354">
        <v>1</v>
      </c>
      <c r="G15" s="354">
        <v>31</v>
      </c>
      <c r="H15" s="356">
        <v>635</v>
      </c>
      <c r="I15" s="356">
        <v>120</v>
      </c>
      <c r="J15" s="356">
        <v>1205</v>
      </c>
      <c r="K15" s="357">
        <v>0.6774</v>
      </c>
      <c r="L15" s="358">
        <v>0.85709999999999997</v>
      </c>
      <c r="M15" s="358">
        <v>0.25</v>
      </c>
      <c r="N15" s="359">
        <v>93.45</v>
      </c>
      <c r="O15" s="360">
        <v>2.23</v>
      </c>
      <c r="P15" s="360">
        <v>0.12</v>
      </c>
      <c r="Q15" s="361">
        <v>0.7</v>
      </c>
    </row>
    <row r="16" spans="1:17" ht="22.5" customHeight="1" x14ac:dyDescent="0.25">
      <c r="A16" s="353">
        <v>13</v>
      </c>
      <c r="B16" s="373" t="s">
        <v>269</v>
      </c>
      <c r="C16" s="355">
        <v>4.1829999999999998</v>
      </c>
      <c r="D16" s="354">
        <v>6</v>
      </c>
      <c r="E16" s="354">
        <v>4</v>
      </c>
      <c r="F16" s="354">
        <v>2</v>
      </c>
      <c r="G16" s="354">
        <v>9</v>
      </c>
      <c r="H16" s="356">
        <v>145</v>
      </c>
      <c r="I16" s="356">
        <v>84</v>
      </c>
      <c r="J16" s="356">
        <v>229</v>
      </c>
      <c r="K16" s="357">
        <v>0.66669999999999996</v>
      </c>
      <c r="L16" s="358">
        <v>1</v>
      </c>
      <c r="M16" s="358">
        <v>1</v>
      </c>
      <c r="N16" s="359">
        <v>54.75</v>
      </c>
      <c r="O16" s="360">
        <v>1.43</v>
      </c>
      <c r="P16" s="360">
        <v>0.48</v>
      </c>
      <c r="Q16" s="361">
        <v>0.7</v>
      </c>
    </row>
    <row r="17" spans="1:17" ht="22.5" customHeight="1" x14ac:dyDescent="0.25">
      <c r="A17" s="353">
        <v>14</v>
      </c>
      <c r="B17" s="373" t="s">
        <v>365</v>
      </c>
      <c r="C17" s="355">
        <v>4.4509999999999996</v>
      </c>
      <c r="D17" s="354">
        <v>11</v>
      </c>
      <c r="E17" s="354">
        <v>8</v>
      </c>
      <c r="F17" s="354">
        <v>2</v>
      </c>
      <c r="G17" s="354">
        <v>27</v>
      </c>
      <c r="H17" s="356">
        <v>155</v>
      </c>
      <c r="I17" s="356">
        <v>240</v>
      </c>
      <c r="J17" s="356">
        <v>515</v>
      </c>
      <c r="K17" s="357">
        <v>0.40739999999999998</v>
      </c>
      <c r="L17" s="358">
        <v>0.90910000000000002</v>
      </c>
      <c r="M17" s="358">
        <v>0.66669999999999996</v>
      </c>
      <c r="N17" s="359">
        <v>88.74</v>
      </c>
      <c r="O17" s="360">
        <v>2.25</v>
      </c>
      <c r="P17" s="360">
        <v>0.45</v>
      </c>
      <c r="Q17" s="361">
        <v>0.69</v>
      </c>
    </row>
    <row r="18" spans="1:17" ht="22.5" customHeight="1" x14ac:dyDescent="0.25">
      <c r="A18" s="353">
        <v>15</v>
      </c>
      <c r="B18" s="373" t="s">
        <v>298</v>
      </c>
      <c r="C18" s="355">
        <v>4.1609999999999996</v>
      </c>
      <c r="D18" s="354">
        <v>6</v>
      </c>
      <c r="E18" s="354">
        <v>4</v>
      </c>
      <c r="F18" s="354">
        <v>2</v>
      </c>
      <c r="G18" s="354">
        <v>12</v>
      </c>
      <c r="H18" s="356">
        <v>80</v>
      </c>
      <c r="I18" s="356">
        <v>120</v>
      </c>
      <c r="J18" s="356">
        <v>200</v>
      </c>
      <c r="K18" s="357">
        <v>0.5</v>
      </c>
      <c r="L18" s="358">
        <v>1</v>
      </c>
      <c r="M18" s="358">
        <v>1</v>
      </c>
      <c r="N18" s="359">
        <v>48.07</v>
      </c>
      <c r="O18" s="360">
        <v>1.44</v>
      </c>
      <c r="P18" s="360">
        <v>0.48</v>
      </c>
      <c r="Q18" s="361">
        <v>0.68</v>
      </c>
    </row>
    <row r="19" spans="1:17" ht="22.5" customHeight="1" x14ac:dyDescent="0.25">
      <c r="A19" s="353">
        <v>16</v>
      </c>
      <c r="B19" s="373" t="s">
        <v>301</v>
      </c>
      <c r="C19" s="355">
        <v>6.407</v>
      </c>
      <c r="D19" s="354">
        <v>14</v>
      </c>
      <c r="E19" s="354">
        <v>11</v>
      </c>
      <c r="F19" s="354">
        <v>2</v>
      </c>
      <c r="G19" s="354">
        <v>40</v>
      </c>
      <c r="H19" s="356">
        <v>510</v>
      </c>
      <c r="I19" s="356">
        <v>240</v>
      </c>
      <c r="J19" s="356">
        <v>760</v>
      </c>
      <c r="K19" s="357">
        <v>0.35</v>
      </c>
      <c r="L19" s="358">
        <v>0.92859999999999998</v>
      </c>
      <c r="M19" s="358">
        <v>0.66669999999999996</v>
      </c>
      <c r="N19" s="359">
        <v>117.06</v>
      </c>
      <c r="O19" s="360">
        <v>2.0299999999999998</v>
      </c>
      <c r="P19" s="360">
        <v>0.31</v>
      </c>
      <c r="Q19" s="361">
        <v>0.67</v>
      </c>
    </row>
    <row r="20" spans="1:17" ht="22.5" customHeight="1" x14ac:dyDescent="0.25">
      <c r="A20" s="353">
        <v>17</v>
      </c>
      <c r="B20" s="373" t="s">
        <v>317</v>
      </c>
      <c r="C20" s="355">
        <v>9.0370000000000008</v>
      </c>
      <c r="D20" s="354">
        <v>16</v>
      </c>
      <c r="E20" s="354">
        <v>13</v>
      </c>
      <c r="F20" s="354">
        <v>2</v>
      </c>
      <c r="G20" s="354">
        <v>37</v>
      </c>
      <c r="H20" s="356">
        <v>525</v>
      </c>
      <c r="I20" s="356">
        <v>240</v>
      </c>
      <c r="J20" s="356">
        <v>885</v>
      </c>
      <c r="K20" s="357">
        <v>0.43240000000000001</v>
      </c>
      <c r="L20" s="358">
        <v>0.9375</v>
      </c>
      <c r="M20" s="358">
        <v>0.66669999999999996</v>
      </c>
      <c r="N20" s="359">
        <v>84.65</v>
      </c>
      <c r="O20" s="360">
        <v>1.66</v>
      </c>
      <c r="P20" s="360">
        <v>0.22</v>
      </c>
      <c r="Q20" s="361">
        <v>0.67</v>
      </c>
    </row>
    <row r="21" spans="1:17" ht="22.5" customHeight="1" x14ac:dyDescent="0.25">
      <c r="A21" s="353">
        <v>18</v>
      </c>
      <c r="B21" s="373" t="s">
        <v>341</v>
      </c>
      <c r="C21" s="355">
        <v>3.0209999999999999</v>
      </c>
      <c r="D21" s="354">
        <v>4</v>
      </c>
      <c r="E21" s="354">
        <v>2</v>
      </c>
      <c r="F21" s="354">
        <v>2</v>
      </c>
      <c r="G21" s="354">
        <v>15</v>
      </c>
      <c r="H21" s="356">
        <v>210</v>
      </c>
      <c r="I21" s="356">
        <v>240</v>
      </c>
      <c r="J21" s="356">
        <v>450</v>
      </c>
      <c r="K21" s="357">
        <v>0.26669999999999999</v>
      </c>
      <c r="L21" s="358">
        <v>1</v>
      </c>
      <c r="M21" s="358">
        <v>1</v>
      </c>
      <c r="N21" s="359">
        <v>148.96</v>
      </c>
      <c r="O21" s="360">
        <v>1.32</v>
      </c>
      <c r="P21" s="360">
        <v>0.66</v>
      </c>
      <c r="Q21" s="361">
        <v>0.64</v>
      </c>
    </row>
    <row r="22" spans="1:17" ht="22.5" customHeight="1" x14ac:dyDescent="0.25">
      <c r="A22" s="353">
        <v>19</v>
      </c>
      <c r="B22" s="373" t="s">
        <v>337</v>
      </c>
      <c r="C22" s="355">
        <v>4.8600000000000003</v>
      </c>
      <c r="D22" s="354">
        <v>6</v>
      </c>
      <c r="E22" s="354">
        <v>3</v>
      </c>
      <c r="F22" s="354">
        <v>3</v>
      </c>
      <c r="G22" s="354">
        <v>19</v>
      </c>
      <c r="H22" s="356">
        <v>50</v>
      </c>
      <c r="I22" s="356">
        <v>360</v>
      </c>
      <c r="J22" s="356">
        <v>410</v>
      </c>
      <c r="K22" s="357">
        <v>0.31580000000000003</v>
      </c>
      <c r="L22" s="358">
        <v>1</v>
      </c>
      <c r="M22" s="358">
        <v>1</v>
      </c>
      <c r="N22" s="359">
        <v>84.36</v>
      </c>
      <c r="O22" s="360">
        <v>1.23</v>
      </c>
      <c r="P22" s="360">
        <v>0.62</v>
      </c>
      <c r="Q22" s="361">
        <v>0.62</v>
      </c>
    </row>
    <row r="23" spans="1:17" ht="22.5" customHeight="1" x14ac:dyDescent="0.25">
      <c r="A23" s="353">
        <v>20</v>
      </c>
      <c r="B23" s="373" t="s">
        <v>335</v>
      </c>
      <c r="C23" s="355">
        <v>9.4320000000000004</v>
      </c>
      <c r="D23" s="354">
        <v>15</v>
      </c>
      <c r="E23" s="354">
        <v>11</v>
      </c>
      <c r="F23" s="354">
        <v>3</v>
      </c>
      <c r="G23" s="354">
        <v>47</v>
      </c>
      <c r="H23" s="356">
        <v>300</v>
      </c>
      <c r="I23" s="356">
        <v>360</v>
      </c>
      <c r="J23" s="356">
        <v>690</v>
      </c>
      <c r="K23" s="357">
        <v>0.31909999999999999</v>
      </c>
      <c r="L23" s="358">
        <v>0.93330000000000002</v>
      </c>
      <c r="M23" s="358">
        <v>0.75</v>
      </c>
      <c r="N23" s="359">
        <v>69.97</v>
      </c>
      <c r="O23" s="360">
        <v>1.48</v>
      </c>
      <c r="P23" s="360">
        <v>0.32</v>
      </c>
      <c r="Q23" s="361">
        <v>0.62</v>
      </c>
    </row>
    <row r="24" spans="1:17" ht="22.5" customHeight="1" x14ac:dyDescent="0.25">
      <c r="A24" s="353">
        <v>21</v>
      </c>
      <c r="B24" s="373" t="s">
        <v>330</v>
      </c>
      <c r="C24" s="355">
        <v>3.15</v>
      </c>
      <c r="D24" s="354">
        <v>10</v>
      </c>
      <c r="E24" s="354">
        <v>9</v>
      </c>
      <c r="F24" s="354">
        <v>0</v>
      </c>
      <c r="G24" s="354">
        <v>13</v>
      </c>
      <c r="H24" s="356">
        <v>460</v>
      </c>
      <c r="I24" s="356">
        <v>0</v>
      </c>
      <c r="J24" s="356">
        <v>485</v>
      </c>
      <c r="K24" s="357">
        <v>0.76919999999999999</v>
      </c>
      <c r="L24" s="358">
        <v>0.9</v>
      </c>
      <c r="M24" s="358">
        <v>0</v>
      </c>
      <c r="N24" s="359">
        <v>146.03</v>
      </c>
      <c r="O24" s="360">
        <v>2.86</v>
      </c>
      <c r="P24" s="360">
        <v>0</v>
      </c>
      <c r="Q24" s="361">
        <v>0.62</v>
      </c>
    </row>
    <row r="25" spans="1:17" ht="22.5" customHeight="1" x14ac:dyDescent="0.25">
      <c r="A25" s="353">
        <v>22</v>
      </c>
      <c r="B25" s="373" t="s">
        <v>383</v>
      </c>
      <c r="C25" s="355">
        <v>9.5</v>
      </c>
      <c r="D25" s="354">
        <v>10</v>
      </c>
      <c r="E25" s="354">
        <v>6</v>
      </c>
      <c r="F25" s="354">
        <v>4</v>
      </c>
      <c r="G25" s="354">
        <v>28</v>
      </c>
      <c r="H25" s="356">
        <v>110</v>
      </c>
      <c r="I25" s="356">
        <v>420</v>
      </c>
      <c r="J25" s="356">
        <v>530</v>
      </c>
      <c r="K25" s="357">
        <v>0.35709999999999997</v>
      </c>
      <c r="L25" s="358">
        <v>1</v>
      </c>
      <c r="M25" s="358">
        <v>1</v>
      </c>
      <c r="N25" s="359">
        <v>55.79</v>
      </c>
      <c r="O25" s="360">
        <v>1.05</v>
      </c>
      <c r="P25" s="360">
        <v>0.42</v>
      </c>
      <c r="Q25" s="361">
        <v>0.6</v>
      </c>
    </row>
    <row r="26" spans="1:17" ht="22.5" customHeight="1" x14ac:dyDescent="0.25">
      <c r="A26" s="353">
        <v>23</v>
      </c>
      <c r="B26" s="373" t="s">
        <v>389</v>
      </c>
      <c r="C26" s="355">
        <v>4.3259999999999996</v>
      </c>
      <c r="D26" s="354">
        <v>8</v>
      </c>
      <c r="E26" s="354">
        <v>5</v>
      </c>
      <c r="F26" s="354">
        <v>2</v>
      </c>
      <c r="G26" s="354">
        <v>25</v>
      </c>
      <c r="H26" s="356">
        <v>130</v>
      </c>
      <c r="I26" s="356">
        <v>60</v>
      </c>
      <c r="J26" s="356">
        <v>195</v>
      </c>
      <c r="K26" s="357">
        <v>0.32</v>
      </c>
      <c r="L26" s="358">
        <v>0.875</v>
      </c>
      <c r="M26" s="358">
        <v>0.66669999999999996</v>
      </c>
      <c r="N26" s="359">
        <v>43.92</v>
      </c>
      <c r="O26" s="360">
        <v>1.62</v>
      </c>
      <c r="P26" s="360">
        <v>0.46</v>
      </c>
      <c r="Q26" s="361">
        <v>0.57999999999999996</v>
      </c>
    </row>
    <row r="27" spans="1:17" ht="22.5" customHeight="1" x14ac:dyDescent="0.25">
      <c r="A27" s="353">
        <v>24</v>
      </c>
      <c r="B27" s="373" t="s">
        <v>271</v>
      </c>
      <c r="C27" s="355">
        <v>5.4930000000000003</v>
      </c>
      <c r="D27" s="354">
        <v>14</v>
      </c>
      <c r="E27" s="354">
        <v>12</v>
      </c>
      <c r="F27" s="354">
        <v>0</v>
      </c>
      <c r="G27" s="354">
        <v>24</v>
      </c>
      <c r="H27" s="356">
        <v>475</v>
      </c>
      <c r="I27" s="356">
        <v>0</v>
      </c>
      <c r="J27" s="356">
        <v>555</v>
      </c>
      <c r="K27" s="357">
        <v>0.58330000000000004</v>
      </c>
      <c r="L27" s="358">
        <v>0.85709999999999997</v>
      </c>
      <c r="M27" s="358">
        <v>0</v>
      </c>
      <c r="N27" s="359">
        <v>86.47</v>
      </c>
      <c r="O27" s="360">
        <v>2.1800000000000002</v>
      </c>
      <c r="P27" s="360">
        <v>0</v>
      </c>
      <c r="Q27" s="361">
        <v>0.54</v>
      </c>
    </row>
    <row r="28" spans="1:17" ht="22.5" customHeight="1" x14ac:dyDescent="0.25">
      <c r="A28" s="353">
        <v>25</v>
      </c>
      <c r="B28" s="373" t="s">
        <v>329</v>
      </c>
      <c r="C28" s="355">
        <v>7.2190000000000003</v>
      </c>
      <c r="D28" s="354">
        <v>13</v>
      </c>
      <c r="E28" s="354">
        <v>6</v>
      </c>
      <c r="F28" s="354">
        <v>4</v>
      </c>
      <c r="G28" s="354">
        <v>44</v>
      </c>
      <c r="H28" s="356">
        <v>180</v>
      </c>
      <c r="I28" s="356">
        <v>300</v>
      </c>
      <c r="J28" s="356">
        <v>605</v>
      </c>
      <c r="K28" s="357">
        <v>0.29549999999999998</v>
      </c>
      <c r="L28" s="358">
        <v>0.76919999999999999</v>
      </c>
      <c r="M28" s="358">
        <v>0.57140000000000002</v>
      </c>
      <c r="N28" s="359">
        <v>66.489999999999995</v>
      </c>
      <c r="O28" s="360">
        <v>1.39</v>
      </c>
      <c r="P28" s="360">
        <v>0.55000000000000004</v>
      </c>
      <c r="Q28" s="361">
        <v>0.54</v>
      </c>
    </row>
    <row r="29" spans="1:17" ht="22.5" customHeight="1" x14ac:dyDescent="0.25">
      <c r="A29" s="353">
        <v>26</v>
      </c>
      <c r="B29" s="373" t="s">
        <v>411</v>
      </c>
      <c r="C29" s="355">
        <v>0.33400000000000002</v>
      </c>
      <c r="D29" s="354">
        <v>1</v>
      </c>
      <c r="E29" s="354">
        <v>1</v>
      </c>
      <c r="F29" s="354">
        <v>0</v>
      </c>
      <c r="G29" s="354">
        <v>2</v>
      </c>
      <c r="H29" s="356">
        <v>10</v>
      </c>
      <c r="I29" s="356">
        <v>0</v>
      </c>
      <c r="J29" s="356">
        <v>10</v>
      </c>
      <c r="K29" s="357">
        <v>0.5</v>
      </c>
      <c r="L29" s="358">
        <v>1</v>
      </c>
      <c r="M29" s="358">
        <v>0</v>
      </c>
      <c r="N29" s="359">
        <v>29.94</v>
      </c>
      <c r="O29" s="360">
        <v>2.99</v>
      </c>
      <c r="P29" s="360">
        <v>0</v>
      </c>
      <c r="Q29" s="361">
        <v>0.52</v>
      </c>
    </row>
    <row r="30" spans="1:17" ht="22.5" customHeight="1" x14ac:dyDescent="0.25">
      <c r="A30" s="353">
        <v>27</v>
      </c>
      <c r="B30" s="373" t="s">
        <v>356</v>
      </c>
      <c r="C30" s="355">
        <v>9.8249999999999993</v>
      </c>
      <c r="D30" s="354">
        <v>12</v>
      </c>
      <c r="E30" s="354">
        <v>11</v>
      </c>
      <c r="F30" s="354">
        <v>1</v>
      </c>
      <c r="G30" s="354">
        <v>47</v>
      </c>
      <c r="H30" s="356">
        <v>360</v>
      </c>
      <c r="I30" s="356">
        <v>120</v>
      </c>
      <c r="J30" s="356">
        <v>480</v>
      </c>
      <c r="K30" s="357">
        <v>0.25530000000000003</v>
      </c>
      <c r="L30" s="358">
        <v>1</v>
      </c>
      <c r="M30" s="358">
        <v>1</v>
      </c>
      <c r="N30" s="359">
        <v>48.85</v>
      </c>
      <c r="O30" s="360">
        <v>1.22</v>
      </c>
      <c r="P30" s="360">
        <v>0.1</v>
      </c>
      <c r="Q30" s="361">
        <v>0.52</v>
      </c>
    </row>
    <row r="31" spans="1:17" ht="22.5" customHeight="1" x14ac:dyDescent="0.25">
      <c r="A31" s="353">
        <v>28</v>
      </c>
      <c r="B31" s="373" t="s">
        <v>414</v>
      </c>
      <c r="C31" s="355">
        <v>2.702</v>
      </c>
      <c r="D31" s="354">
        <v>2</v>
      </c>
      <c r="E31" s="354">
        <v>1</v>
      </c>
      <c r="F31" s="354">
        <v>1</v>
      </c>
      <c r="G31" s="354">
        <v>10</v>
      </c>
      <c r="H31" s="356">
        <v>5</v>
      </c>
      <c r="I31" s="356">
        <v>120</v>
      </c>
      <c r="J31" s="356">
        <v>125</v>
      </c>
      <c r="K31" s="357">
        <v>0.2</v>
      </c>
      <c r="L31" s="358">
        <v>1</v>
      </c>
      <c r="M31" s="358">
        <v>1</v>
      </c>
      <c r="N31" s="359">
        <v>46.26</v>
      </c>
      <c r="O31" s="360">
        <v>0.74</v>
      </c>
      <c r="P31" s="360">
        <v>0.37</v>
      </c>
      <c r="Q31" s="361">
        <v>0.5</v>
      </c>
    </row>
    <row r="32" spans="1:17" ht="22.5" customHeight="1" x14ac:dyDescent="0.25">
      <c r="A32" s="353">
        <v>29</v>
      </c>
      <c r="B32" s="373" t="s">
        <v>371</v>
      </c>
      <c r="C32" s="355">
        <v>9.6890000000000001</v>
      </c>
      <c r="D32" s="354">
        <v>15</v>
      </c>
      <c r="E32" s="354">
        <v>15</v>
      </c>
      <c r="F32" s="354">
        <v>0</v>
      </c>
      <c r="G32" s="354">
        <v>32</v>
      </c>
      <c r="H32" s="356">
        <v>450</v>
      </c>
      <c r="I32" s="356">
        <v>0</v>
      </c>
      <c r="J32" s="356">
        <v>450</v>
      </c>
      <c r="K32" s="357">
        <v>0.46879999999999999</v>
      </c>
      <c r="L32" s="358">
        <v>1</v>
      </c>
      <c r="M32" s="358">
        <v>0</v>
      </c>
      <c r="N32" s="359">
        <v>46.44</v>
      </c>
      <c r="O32" s="360">
        <v>1.55</v>
      </c>
      <c r="P32" s="360">
        <v>0</v>
      </c>
      <c r="Q32" s="361">
        <v>0.49</v>
      </c>
    </row>
    <row r="33" spans="1:17" ht="22.5" customHeight="1" x14ac:dyDescent="0.25">
      <c r="A33" s="353">
        <v>30</v>
      </c>
      <c r="B33" s="373" t="s">
        <v>297</v>
      </c>
      <c r="C33" s="355">
        <v>4.6840000000000002</v>
      </c>
      <c r="D33" s="354">
        <v>5</v>
      </c>
      <c r="E33" s="354">
        <v>4</v>
      </c>
      <c r="F33" s="354">
        <v>1</v>
      </c>
      <c r="G33" s="354">
        <v>19</v>
      </c>
      <c r="H33" s="356">
        <v>80</v>
      </c>
      <c r="I33" s="356">
        <v>60</v>
      </c>
      <c r="J33" s="356">
        <v>140</v>
      </c>
      <c r="K33" s="357">
        <v>0.26319999999999999</v>
      </c>
      <c r="L33" s="358">
        <v>1</v>
      </c>
      <c r="M33" s="358">
        <v>1</v>
      </c>
      <c r="N33" s="359">
        <v>29.89</v>
      </c>
      <c r="O33" s="360">
        <v>1.07</v>
      </c>
      <c r="P33" s="360">
        <v>0.21</v>
      </c>
      <c r="Q33" s="361">
        <v>0.49</v>
      </c>
    </row>
    <row r="34" spans="1:17" ht="22.5" customHeight="1" x14ac:dyDescent="0.25">
      <c r="A34" s="353">
        <v>31</v>
      </c>
      <c r="B34" s="373" t="s">
        <v>367</v>
      </c>
      <c r="C34" s="355">
        <v>2.2080000000000002</v>
      </c>
      <c r="D34" s="354">
        <v>2</v>
      </c>
      <c r="E34" s="354">
        <v>2</v>
      </c>
      <c r="F34" s="354">
        <v>0</v>
      </c>
      <c r="G34" s="354">
        <v>3</v>
      </c>
      <c r="H34" s="356">
        <v>145</v>
      </c>
      <c r="I34" s="356">
        <v>0</v>
      </c>
      <c r="J34" s="356">
        <v>145</v>
      </c>
      <c r="K34" s="357">
        <v>0.66669999999999996</v>
      </c>
      <c r="L34" s="358">
        <v>1</v>
      </c>
      <c r="M34" s="358">
        <v>0</v>
      </c>
      <c r="N34" s="359">
        <v>65.67</v>
      </c>
      <c r="O34" s="360">
        <v>0.91</v>
      </c>
      <c r="P34" s="360">
        <v>0</v>
      </c>
      <c r="Q34" s="361">
        <v>0.48</v>
      </c>
    </row>
    <row r="35" spans="1:17" ht="22.5" customHeight="1" x14ac:dyDescent="0.25">
      <c r="A35" s="353">
        <v>32</v>
      </c>
      <c r="B35" s="373" t="s">
        <v>351</v>
      </c>
      <c r="C35" s="355">
        <v>2.2829999999999999</v>
      </c>
      <c r="D35" s="354">
        <v>5</v>
      </c>
      <c r="E35" s="354">
        <v>5</v>
      </c>
      <c r="F35" s="354">
        <v>0</v>
      </c>
      <c r="G35" s="354">
        <v>10</v>
      </c>
      <c r="H35" s="356">
        <v>56</v>
      </c>
      <c r="I35" s="356">
        <v>0</v>
      </c>
      <c r="J35" s="356">
        <v>56</v>
      </c>
      <c r="K35" s="357">
        <v>0.5</v>
      </c>
      <c r="L35" s="358">
        <v>1</v>
      </c>
      <c r="M35" s="358">
        <v>0</v>
      </c>
      <c r="N35" s="359">
        <v>24.53</v>
      </c>
      <c r="O35" s="360">
        <v>2.19</v>
      </c>
      <c r="P35" s="360">
        <v>0</v>
      </c>
      <c r="Q35" s="361">
        <v>0.48</v>
      </c>
    </row>
    <row r="36" spans="1:17" ht="22.5" customHeight="1" x14ac:dyDescent="0.25">
      <c r="A36" s="353">
        <v>33</v>
      </c>
      <c r="B36" s="373" t="s">
        <v>400</v>
      </c>
      <c r="C36" s="355">
        <v>5.5780000000000003</v>
      </c>
      <c r="D36" s="354">
        <v>11</v>
      </c>
      <c r="E36" s="354">
        <v>11</v>
      </c>
      <c r="F36" s="354">
        <v>0</v>
      </c>
      <c r="G36" s="354">
        <v>30</v>
      </c>
      <c r="H36" s="356">
        <v>285</v>
      </c>
      <c r="I36" s="356">
        <v>0</v>
      </c>
      <c r="J36" s="356">
        <v>285</v>
      </c>
      <c r="K36" s="357">
        <v>0.36670000000000003</v>
      </c>
      <c r="L36" s="358">
        <v>1</v>
      </c>
      <c r="M36" s="358">
        <v>0</v>
      </c>
      <c r="N36" s="359">
        <v>51.09</v>
      </c>
      <c r="O36" s="360">
        <v>1.97</v>
      </c>
      <c r="P36" s="360">
        <v>0</v>
      </c>
      <c r="Q36" s="361">
        <v>0.47</v>
      </c>
    </row>
    <row r="37" spans="1:17" ht="22.5" customHeight="1" x14ac:dyDescent="0.25">
      <c r="A37" s="353">
        <v>34</v>
      </c>
      <c r="B37" s="373" t="s">
        <v>325</v>
      </c>
      <c r="C37" s="355">
        <v>5.7619999999999996</v>
      </c>
      <c r="D37" s="354">
        <v>6</v>
      </c>
      <c r="E37" s="354">
        <v>3</v>
      </c>
      <c r="F37" s="354">
        <v>2</v>
      </c>
      <c r="G37" s="354">
        <v>23</v>
      </c>
      <c r="H37" s="356">
        <v>135</v>
      </c>
      <c r="I37" s="356">
        <v>180</v>
      </c>
      <c r="J37" s="356">
        <v>320</v>
      </c>
      <c r="K37" s="357">
        <v>0.26090000000000002</v>
      </c>
      <c r="L37" s="358">
        <v>0.83330000000000004</v>
      </c>
      <c r="M37" s="358">
        <v>0.66669999999999996</v>
      </c>
      <c r="N37" s="359">
        <v>54.67</v>
      </c>
      <c r="O37" s="360">
        <v>0.87</v>
      </c>
      <c r="P37" s="360">
        <v>0.35</v>
      </c>
      <c r="Q37" s="361">
        <v>0.47</v>
      </c>
    </row>
    <row r="38" spans="1:17" ht="22.5" customHeight="1" x14ac:dyDescent="0.25">
      <c r="A38" s="353">
        <v>35</v>
      </c>
      <c r="B38" s="373" t="s">
        <v>359</v>
      </c>
      <c r="C38" s="355">
        <v>1.109</v>
      </c>
      <c r="D38" s="354">
        <v>2</v>
      </c>
      <c r="E38" s="354">
        <v>2</v>
      </c>
      <c r="F38" s="354">
        <v>0</v>
      </c>
      <c r="G38" s="354">
        <v>5</v>
      </c>
      <c r="H38" s="356">
        <v>51</v>
      </c>
      <c r="I38" s="356">
        <v>0</v>
      </c>
      <c r="J38" s="356">
        <v>51</v>
      </c>
      <c r="K38" s="357">
        <v>0.4</v>
      </c>
      <c r="L38" s="358">
        <v>1</v>
      </c>
      <c r="M38" s="358">
        <v>0</v>
      </c>
      <c r="N38" s="359">
        <v>45.99</v>
      </c>
      <c r="O38" s="360">
        <v>1.8</v>
      </c>
      <c r="P38" s="360">
        <v>0</v>
      </c>
      <c r="Q38" s="361">
        <v>0.47</v>
      </c>
    </row>
    <row r="39" spans="1:17" ht="22.5" customHeight="1" x14ac:dyDescent="0.25">
      <c r="A39" s="353">
        <v>36</v>
      </c>
      <c r="B39" s="373" t="s">
        <v>287</v>
      </c>
      <c r="C39" s="355">
        <v>5.5529999999999999</v>
      </c>
      <c r="D39" s="354">
        <v>4</v>
      </c>
      <c r="E39" s="354">
        <v>1</v>
      </c>
      <c r="F39" s="354">
        <v>2</v>
      </c>
      <c r="G39" s="354">
        <v>10</v>
      </c>
      <c r="H39" s="356">
        <v>20</v>
      </c>
      <c r="I39" s="356">
        <v>130</v>
      </c>
      <c r="J39" s="356">
        <v>175</v>
      </c>
      <c r="K39" s="357">
        <v>0.4</v>
      </c>
      <c r="L39" s="358">
        <v>0.75</v>
      </c>
      <c r="M39" s="358">
        <v>0.66669999999999996</v>
      </c>
      <c r="N39" s="359">
        <v>27.01</v>
      </c>
      <c r="O39" s="360">
        <v>0.54</v>
      </c>
      <c r="P39" s="360">
        <v>0.36</v>
      </c>
      <c r="Q39" s="361">
        <v>0.44</v>
      </c>
    </row>
    <row r="40" spans="1:17" ht="22.5" customHeight="1" x14ac:dyDescent="0.25">
      <c r="A40" s="353">
        <v>37</v>
      </c>
      <c r="B40" s="373" t="s">
        <v>362</v>
      </c>
      <c r="C40" s="355">
        <v>5.6639999999999997</v>
      </c>
      <c r="D40" s="354">
        <v>11</v>
      </c>
      <c r="E40" s="354">
        <v>9</v>
      </c>
      <c r="F40" s="354">
        <v>0</v>
      </c>
      <c r="G40" s="354">
        <v>24</v>
      </c>
      <c r="H40" s="356">
        <v>240</v>
      </c>
      <c r="I40" s="356">
        <v>0</v>
      </c>
      <c r="J40" s="356">
        <v>365</v>
      </c>
      <c r="K40" s="357">
        <v>0.45829999999999999</v>
      </c>
      <c r="L40" s="358">
        <v>0.81820000000000004</v>
      </c>
      <c r="M40" s="358">
        <v>0</v>
      </c>
      <c r="N40" s="359">
        <v>42.37</v>
      </c>
      <c r="O40" s="360">
        <v>1.59</v>
      </c>
      <c r="P40" s="360">
        <v>0</v>
      </c>
      <c r="Q40" s="361">
        <v>0.44</v>
      </c>
    </row>
    <row r="41" spans="1:17" ht="22.5" customHeight="1" x14ac:dyDescent="0.25">
      <c r="A41" s="353">
        <v>38</v>
      </c>
      <c r="B41" s="373" t="s">
        <v>336</v>
      </c>
      <c r="C41" s="355">
        <v>4.1520000000000001</v>
      </c>
      <c r="D41" s="354">
        <v>10</v>
      </c>
      <c r="E41" s="354">
        <v>8</v>
      </c>
      <c r="F41" s="354">
        <v>0</v>
      </c>
      <c r="G41" s="354">
        <v>27</v>
      </c>
      <c r="H41" s="356">
        <v>285</v>
      </c>
      <c r="I41" s="356">
        <v>0</v>
      </c>
      <c r="J41" s="356">
        <v>350</v>
      </c>
      <c r="K41" s="357">
        <v>0.37040000000000001</v>
      </c>
      <c r="L41" s="358">
        <v>0.8</v>
      </c>
      <c r="M41" s="358">
        <v>0</v>
      </c>
      <c r="N41" s="359">
        <v>68.64</v>
      </c>
      <c r="O41" s="360">
        <v>1.93</v>
      </c>
      <c r="P41" s="360">
        <v>0</v>
      </c>
      <c r="Q41" s="361">
        <v>0.44</v>
      </c>
    </row>
    <row r="42" spans="1:17" ht="22.5" customHeight="1" x14ac:dyDescent="0.25">
      <c r="A42" s="353">
        <v>39</v>
      </c>
      <c r="B42" s="373" t="s">
        <v>311</v>
      </c>
      <c r="C42" s="355">
        <v>7.14</v>
      </c>
      <c r="D42" s="354">
        <v>6</v>
      </c>
      <c r="E42" s="354">
        <v>3</v>
      </c>
      <c r="F42" s="354">
        <v>2</v>
      </c>
      <c r="G42" s="354">
        <v>18</v>
      </c>
      <c r="H42" s="356">
        <v>100</v>
      </c>
      <c r="I42" s="356">
        <v>65</v>
      </c>
      <c r="J42" s="356">
        <v>190</v>
      </c>
      <c r="K42" s="357">
        <v>0.33329999999999999</v>
      </c>
      <c r="L42" s="358">
        <v>0.83330000000000004</v>
      </c>
      <c r="M42" s="358">
        <v>0.66669999999999996</v>
      </c>
      <c r="N42" s="359">
        <v>23.11</v>
      </c>
      <c r="O42" s="360">
        <v>0.7</v>
      </c>
      <c r="P42" s="360">
        <v>0.28000000000000003</v>
      </c>
      <c r="Q42" s="361">
        <v>0.43</v>
      </c>
    </row>
    <row r="43" spans="1:17" ht="22.5" customHeight="1" x14ac:dyDescent="0.25">
      <c r="A43" s="353">
        <v>40</v>
      </c>
      <c r="B43" s="373" t="s">
        <v>290</v>
      </c>
      <c r="C43" s="355">
        <v>1.9570000000000001</v>
      </c>
      <c r="D43" s="354">
        <v>3</v>
      </c>
      <c r="E43" s="354">
        <v>3</v>
      </c>
      <c r="F43" s="354">
        <v>0</v>
      </c>
      <c r="G43" s="354">
        <v>11</v>
      </c>
      <c r="H43" s="356">
        <v>125</v>
      </c>
      <c r="I43" s="356">
        <v>0</v>
      </c>
      <c r="J43" s="356">
        <v>125</v>
      </c>
      <c r="K43" s="357">
        <v>0.2727</v>
      </c>
      <c r="L43" s="358">
        <v>1</v>
      </c>
      <c r="M43" s="358">
        <v>0</v>
      </c>
      <c r="N43" s="359">
        <v>63.87</v>
      </c>
      <c r="O43" s="360">
        <v>1.53</v>
      </c>
      <c r="P43" s="360">
        <v>0</v>
      </c>
      <c r="Q43" s="361">
        <v>0.42</v>
      </c>
    </row>
    <row r="44" spans="1:17" ht="22.5" customHeight="1" x14ac:dyDescent="0.25">
      <c r="A44" s="353">
        <v>41</v>
      </c>
      <c r="B44" s="373" t="s">
        <v>332</v>
      </c>
      <c r="C44" s="355">
        <v>4.0789999999999997</v>
      </c>
      <c r="D44" s="354">
        <v>5</v>
      </c>
      <c r="E44" s="354">
        <v>5</v>
      </c>
      <c r="F44" s="354">
        <v>0</v>
      </c>
      <c r="G44" s="354">
        <v>11</v>
      </c>
      <c r="H44" s="356">
        <v>125</v>
      </c>
      <c r="I44" s="356">
        <v>0</v>
      </c>
      <c r="J44" s="356">
        <v>125</v>
      </c>
      <c r="K44" s="357">
        <v>0.45450000000000002</v>
      </c>
      <c r="L44" s="358">
        <v>1</v>
      </c>
      <c r="M44" s="358">
        <v>0</v>
      </c>
      <c r="N44" s="359">
        <v>30.64</v>
      </c>
      <c r="O44" s="360">
        <v>1.23</v>
      </c>
      <c r="P44" s="360">
        <v>0</v>
      </c>
      <c r="Q44" s="361">
        <v>0.42</v>
      </c>
    </row>
    <row r="45" spans="1:17" ht="22.5" customHeight="1" x14ac:dyDescent="0.25">
      <c r="A45" s="353">
        <v>42</v>
      </c>
      <c r="B45" s="373" t="s">
        <v>324</v>
      </c>
      <c r="C45" s="355">
        <v>2.1960000000000002</v>
      </c>
      <c r="D45" s="354">
        <v>3</v>
      </c>
      <c r="E45" s="354">
        <v>3</v>
      </c>
      <c r="F45" s="354">
        <v>0</v>
      </c>
      <c r="G45" s="354">
        <v>6</v>
      </c>
      <c r="H45" s="356">
        <v>40</v>
      </c>
      <c r="I45" s="356">
        <v>0</v>
      </c>
      <c r="J45" s="356">
        <v>40</v>
      </c>
      <c r="K45" s="357">
        <v>0.5</v>
      </c>
      <c r="L45" s="358">
        <v>1</v>
      </c>
      <c r="M45" s="358">
        <v>0</v>
      </c>
      <c r="N45" s="359">
        <v>18.21</v>
      </c>
      <c r="O45" s="360">
        <v>1.37</v>
      </c>
      <c r="P45" s="360">
        <v>0</v>
      </c>
      <c r="Q45" s="361">
        <v>0.42</v>
      </c>
    </row>
    <row r="46" spans="1:17" ht="22.5" customHeight="1" x14ac:dyDescent="0.25">
      <c r="A46" s="353">
        <v>43</v>
      </c>
      <c r="B46" s="373" t="s">
        <v>385</v>
      </c>
      <c r="C46" s="355">
        <v>7.1059999999999999</v>
      </c>
      <c r="D46" s="354">
        <v>6</v>
      </c>
      <c r="E46" s="354">
        <v>2</v>
      </c>
      <c r="F46" s="354">
        <v>2</v>
      </c>
      <c r="G46" s="354">
        <v>14</v>
      </c>
      <c r="H46" s="356">
        <v>25</v>
      </c>
      <c r="I46" s="356">
        <v>144</v>
      </c>
      <c r="J46" s="356">
        <v>224</v>
      </c>
      <c r="K46" s="357">
        <v>0.42859999999999998</v>
      </c>
      <c r="L46" s="358">
        <v>0.66669999999999996</v>
      </c>
      <c r="M46" s="358">
        <v>0.5</v>
      </c>
      <c r="N46" s="359">
        <v>23.78</v>
      </c>
      <c r="O46" s="360">
        <v>0.56000000000000005</v>
      </c>
      <c r="P46" s="360">
        <v>0.28000000000000003</v>
      </c>
      <c r="Q46" s="361">
        <v>0.41</v>
      </c>
    </row>
    <row r="47" spans="1:17" ht="22.5" customHeight="1" x14ac:dyDescent="0.25">
      <c r="A47" s="353">
        <v>44</v>
      </c>
      <c r="B47" s="373" t="s">
        <v>417</v>
      </c>
      <c r="C47" s="355">
        <v>5.2889999999999997</v>
      </c>
      <c r="D47" s="354">
        <v>10</v>
      </c>
      <c r="E47" s="354">
        <v>7</v>
      </c>
      <c r="F47" s="354">
        <v>0</v>
      </c>
      <c r="G47" s="354">
        <v>22</v>
      </c>
      <c r="H47" s="356">
        <v>415</v>
      </c>
      <c r="I47" s="356">
        <v>0</v>
      </c>
      <c r="J47" s="356">
        <v>670</v>
      </c>
      <c r="K47" s="357">
        <v>0.45450000000000002</v>
      </c>
      <c r="L47" s="358">
        <v>0.7</v>
      </c>
      <c r="M47" s="358">
        <v>0</v>
      </c>
      <c r="N47" s="359">
        <v>78.459999999999994</v>
      </c>
      <c r="O47" s="360">
        <v>1.32</v>
      </c>
      <c r="P47" s="360">
        <v>0</v>
      </c>
      <c r="Q47" s="361">
        <v>0.41</v>
      </c>
    </row>
    <row r="48" spans="1:17" ht="22.5" customHeight="1" x14ac:dyDescent="0.25">
      <c r="A48" s="353">
        <v>45</v>
      </c>
      <c r="B48" s="373" t="s">
        <v>308</v>
      </c>
      <c r="C48" s="355">
        <v>5.6059999999999999</v>
      </c>
      <c r="D48" s="354">
        <v>8</v>
      </c>
      <c r="E48" s="354">
        <v>8</v>
      </c>
      <c r="F48" s="354">
        <v>0</v>
      </c>
      <c r="G48" s="354">
        <v>27</v>
      </c>
      <c r="H48" s="356">
        <v>235</v>
      </c>
      <c r="I48" s="356">
        <v>0</v>
      </c>
      <c r="J48" s="356">
        <v>235</v>
      </c>
      <c r="K48" s="357">
        <v>0.29630000000000001</v>
      </c>
      <c r="L48" s="358">
        <v>1</v>
      </c>
      <c r="M48" s="358">
        <v>0</v>
      </c>
      <c r="N48" s="359">
        <v>41.92</v>
      </c>
      <c r="O48" s="360">
        <v>1.43</v>
      </c>
      <c r="P48" s="360">
        <v>0</v>
      </c>
      <c r="Q48" s="361">
        <v>0.39</v>
      </c>
    </row>
    <row r="49" spans="1:17" ht="22.5" customHeight="1" x14ac:dyDescent="0.25">
      <c r="A49" s="353">
        <v>46</v>
      </c>
      <c r="B49" s="373" t="s">
        <v>279</v>
      </c>
      <c r="C49" s="355">
        <v>5.2430000000000003</v>
      </c>
      <c r="D49" s="354">
        <v>9</v>
      </c>
      <c r="E49" s="354">
        <v>8</v>
      </c>
      <c r="F49" s="354">
        <v>0</v>
      </c>
      <c r="G49" s="354">
        <v>30</v>
      </c>
      <c r="H49" s="356">
        <v>175</v>
      </c>
      <c r="I49" s="356">
        <v>0</v>
      </c>
      <c r="J49" s="356">
        <v>195</v>
      </c>
      <c r="K49" s="357">
        <v>0.3</v>
      </c>
      <c r="L49" s="358">
        <v>0.88890000000000002</v>
      </c>
      <c r="M49" s="358">
        <v>0</v>
      </c>
      <c r="N49" s="359">
        <v>33.380000000000003</v>
      </c>
      <c r="O49" s="360">
        <v>1.53</v>
      </c>
      <c r="P49" s="360">
        <v>0</v>
      </c>
      <c r="Q49" s="361">
        <v>0.37</v>
      </c>
    </row>
    <row r="50" spans="1:17" ht="22.5" customHeight="1" x14ac:dyDescent="0.25">
      <c r="A50" s="353">
        <v>47</v>
      </c>
      <c r="B50" s="373" t="s">
        <v>375</v>
      </c>
      <c r="C50" s="355">
        <v>11.237</v>
      </c>
      <c r="D50" s="354">
        <v>11</v>
      </c>
      <c r="E50" s="354">
        <v>10</v>
      </c>
      <c r="F50" s="354">
        <v>0</v>
      </c>
      <c r="G50" s="354">
        <v>26</v>
      </c>
      <c r="H50" s="356">
        <v>400</v>
      </c>
      <c r="I50" s="356">
        <v>0</v>
      </c>
      <c r="J50" s="356">
        <v>425</v>
      </c>
      <c r="K50" s="357">
        <v>0.42309999999999998</v>
      </c>
      <c r="L50" s="358">
        <v>0.90910000000000002</v>
      </c>
      <c r="M50" s="358">
        <v>0</v>
      </c>
      <c r="N50" s="359">
        <v>35.6</v>
      </c>
      <c r="O50" s="360">
        <v>0.89</v>
      </c>
      <c r="P50" s="360">
        <v>0</v>
      </c>
      <c r="Q50" s="361">
        <v>0.37</v>
      </c>
    </row>
    <row r="51" spans="1:17" ht="22.5" customHeight="1" x14ac:dyDescent="0.25">
      <c r="A51" s="353">
        <v>48</v>
      </c>
      <c r="B51" s="373" t="s">
        <v>276</v>
      </c>
      <c r="C51" s="355">
        <v>4.8570000000000002</v>
      </c>
      <c r="D51" s="354">
        <v>5</v>
      </c>
      <c r="E51" s="354">
        <v>2</v>
      </c>
      <c r="F51" s="354">
        <v>1</v>
      </c>
      <c r="G51" s="354">
        <v>16</v>
      </c>
      <c r="H51" s="356">
        <v>15</v>
      </c>
      <c r="I51" s="356">
        <v>120</v>
      </c>
      <c r="J51" s="356">
        <v>160</v>
      </c>
      <c r="K51" s="357">
        <v>0.3125</v>
      </c>
      <c r="L51" s="358">
        <v>0.6</v>
      </c>
      <c r="M51" s="358">
        <v>0.33329999999999999</v>
      </c>
      <c r="N51" s="359">
        <v>27.79</v>
      </c>
      <c r="O51" s="360">
        <v>0.62</v>
      </c>
      <c r="P51" s="360">
        <v>0.21</v>
      </c>
      <c r="Q51" s="361">
        <v>0.36</v>
      </c>
    </row>
    <row r="52" spans="1:17" ht="22.5" customHeight="1" x14ac:dyDescent="0.25">
      <c r="A52" s="353">
        <v>49</v>
      </c>
      <c r="B52" s="373" t="s">
        <v>326</v>
      </c>
      <c r="C52" s="355">
        <v>1.871</v>
      </c>
      <c r="D52" s="354">
        <v>3</v>
      </c>
      <c r="E52" s="354">
        <v>2</v>
      </c>
      <c r="F52" s="354">
        <v>0</v>
      </c>
      <c r="G52" s="354">
        <v>10</v>
      </c>
      <c r="H52" s="356">
        <v>160</v>
      </c>
      <c r="I52" s="356">
        <v>0</v>
      </c>
      <c r="J52" s="356">
        <v>180</v>
      </c>
      <c r="K52" s="357">
        <v>0.3</v>
      </c>
      <c r="L52" s="358">
        <v>0.66669999999999996</v>
      </c>
      <c r="M52" s="358">
        <v>0</v>
      </c>
      <c r="N52" s="359">
        <v>85.52</v>
      </c>
      <c r="O52" s="360">
        <v>1.07</v>
      </c>
      <c r="P52" s="360">
        <v>0</v>
      </c>
      <c r="Q52" s="361">
        <v>0.33</v>
      </c>
    </row>
    <row r="53" spans="1:17" ht="22.5" customHeight="1" x14ac:dyDescent="0.25">
      <c r="A53" s="353">
        <v>50</v>
      </c>
      <c r="B53" s="373" t="s">
        <v>360</v>
      </c>
      <c r="C53" s="355">
        <v>4.7480000000000002</v>
      </c>
      <c r="D53" s="354">
        <v>4</v>
      </c>
      <c r="E53" s="354">
        <v>2</v>
      </c>
      <c r="F53" s="354">
        <v>1</v>
      </c>
      <c r="G53" s="354">
        <v>20</v>
      </c>
      <c r="H53" s="356">
        <v>30</v>
      </c>
      <c r="I53" s="356">
        <v>60</v>
      </c>
      <c r="J53" s="356">
        <v>190</v>
      </c>
      <c r="K53" s="357">
        <v>0.2</v>
      </c>
      <c r="L53" s="358">
        <v>0.75</v>
      </c>
      <c r="M53" s="358">
        <v>0.5</v>
      </c>
      <c r="N53" s="359">
        <v>18.96</v>
      </c>
      <c r="O53" s="360">
        <v>0.63</v>
      </c>
      <c r="P53" s="360">
        <v>0.21</v>
      </c>
      <c r="Q53" s="361">
        <v>0.33</v>
      </c>
    </row>
    <row r="54" spans="1:17" ht="22.5" customHeight="1" x14ac:dyDescent="0.25">
      <c r="A54" s="353">
        <v>51</v>
      </c>
      <c r="B54" s="373" t="s">
        <v>342</v>
      </c>
      <c r="C54" s="355">
        <v>3.6760000000000002</v>
      </c>
      <c r="D54" s="354">
        <v>3</v>
      </c>
      <c r="E54" s="354">
        <v>1</v>
      </c>
      <c r="F54" s="354">
        <v>1</v>
      </c>
      <c r="G54" s="354">
        <v>14</v>
      </c>
      <c r="H54" s="356">
        <v>20</v>
      </c>
      <c r="I54" s="356">
        <v>60</v>
      </c>
      <c r="J54" s="356">
        <v>180</v>
      </c>
      <c r="K54" s="357">
        <v>0.21429999999999999</v>
      </c>
      <c r="L54" s="358">
        <v>0.66669999999999996</v>
      </c>
      <c r="M54" s="358">
        <v>0.5</v>
      </c>
      <c r="N54" s="359">
        <v>21.76</v>
      </c>
      <c r="O54" s="360">
        <v>0.54</v>
      </c>
      <c r="P54" s="360">
        <v>0.27</v>
      </c>
      <c r="Q54" s="361">
        <v>0.32</v>
      </c>
    </row>
    <row r="55" spans="1:17" ht="22.5" customHeight="1" x14ac:dyDescent="0.25">
      <c r="A55" s="353">
        <v>52</v>
      </c>
      <c r="B55" s="373" t="s">
        <v>374</v>
      </c>
      <c r="C55" s="355">
        <v>5.9989999999999997</v>
      </c>
      <c r="D55" s="354">
        <v>7</v>
      </c>
      <c r="E55" s="354">
        <v>5</v>
      </c>
      <c r="F55" s="354">
        <v>0</v>
      </c>
      <c r="G55" s="354">
        <v>18</v>
      </c>
      <c r="H55" s="356">
        <v>235</v>
      </c>
      <c r="I55" s="356">
        <v>0</v>
      </c>
      <c r="J55" s="356">
        <v>265</v>
      </c>
      <c r="K55" s="357">
        <v>0.38890000000000002</v>
      </c>
      <c r="L55" s="358">
        <v>0.71430000000000005</v>
      </c>
      <c r="M55" s="358">
        <v>0</v>
      </c>
      <c r="N55" s="359">
        <v>39.17</v>
      </c>
      <c r="O55" s="360">
        <v>0.83</v>
      </c>
      <c r="P55" s="360">
        <v>0</v>
      </c>
      <c r="Q55" s="361">
        <v>0.31</v>
      </c>
    </row>
    <row r="56" spans="1:17" ht="22.5" customHeight="1" x14ac:dyDescent="0.25">
      <c r="A56" s="353">
        <v>53</v>
      </c>
      <c r="B56" s="373" t="s">
        <v>305</v>
      </c>
      <c r="C56" s="355">
        <v>5.5860000000000003</v>
      </c>
      <c r="D56" s="354">
        <v>6</v>
      </c>
      <c r="E56" s="354">
        <v>5</v>
      </c>
      <c r="F56" s="354">
        <v>0</v>
      </c>
      <c r="G56" s="354">
        <v>22</v>
      </c>
      <c r="H56" s="356">
        <v>177</v>
      </c>
      <c r="I56" s="356">
        <v>0</v>
      </c>
      <c r="J56" s="356">
        <v>277</v>
      </c>
      <c r="K56" s="357">
        <v>0.2727</v>
      </c>
      <c r="L56" s="358">
        <v>0.83330000000000004</v>
      </c>
      <c r="M56" s="358">
        <v>0</v>
      </c>
      <c r="N56" s="359">
        <v>31.69</v>
      </c>
      <c r="O56" s="360">
        <v>0.9</v>
      </c>
      <c r="P56" s="360">
        <v>0</v>
      </c>
      <c r="Q56" s="361">
        <v>0.28999999999999998</v>
      </c>
    </row>
    <row r="57" spans="1:17" ht="22.5" customHeight="1" x14ac:dyDescent="0.25">
      <c r="A57" s="353">
        <v>54</v>
      </c>
      <c r="B57" s="373" t="s">
        <v>435</v>
      </c>
      <c r="C57" s="355">
        <v>4.4429999999999996</v>
      </c>
      <c r="D57" s="354">
        <v>6</v>
      </c>
      <c r="E57" s="354">
        <v>5</v>
      </c>
      <c r="F57" s="354">
        <v>0</v>
      </c>
      <c r="G57" s="354">
        <v>19</v>
      </c>
      <c r="H57" s="356">
        <v>45</v>
      </c>
      <c r="I57" s="356">
        <v>0</v>
      </c>
      <c r="J57" s="356">
        <v>105</v>
      </c>
      <c r="K57" s="357">
        <v>0.31580000000000003</v>
      </c>
      <c r="L57" s="358">
        <v>0.83330000000000004</v>
      </c>
      <c r="M57" s="358">
        <v>0</v>
      </c>
      <c r="N57" s="359">
        <v>10.130000000000001</v>
      </c>
      <c r="O57" s="360">
        <v>1.1299999999999999</v>
      </c>
      <c r="P57" s="360">
        <v>0</v>
      </c>
      <c r="Q57" s="361">
        <v>0.28000000000000003</v>
      </c>
    </row>
    <row r="58" spans="1:17" ht="22.5" customHeight="1" x14ac:dyDescent="0.25">
      <c r="A58" s="353">
        <v>55</v>
      </c>
      <c r="B58" s="373" t="s">
        <v>397</v>
      </c>
      <c r="C58" s="355">
        <v>6.3070000000000004</v>
      </c>
      <c r="D58" s="354">
        <v>3</v>
      </c>
      <c r="E58" s="354">
        <v>2</v>
      </c>
      <c r="F58" s="354">
        <v>0</v>
      </c>
      <c r="G58" s="354">
        <v>7</v>
      </c>
      <c r="H58" s="356">
        <v>230</v>
      </c>
      <c r="I58" s="356">
        <v>0</v>
      </c>
      <c r="J58" s="356">
        <v>250</v>
      </c>
      <c r="K58" s="357">
        <v>0.42859999999999998</v>
      </c>
      <c r="L58" s="358">
        <v>0.66669999999999996</v>
      </c>
      <c r="M58" s="358">
        <v>0</v>
      </c>
      <c r="N58" s="359">
        <v>36.47</v>
      </c>
      <c r="O58" s="360">
        <v>0.32</v>
      </c>
      <c r="P58" s="360">
        <v>0</v>
      </c>
      <c r="Q58" s="361">
        <v>0.28000000000000003</v>
      </c>
    </row>
    <row r="59" spans="1:17" ht="22.5" customHeight="1" x14ac:dyDescent="0.25">
      <c r="A59" s="353">
        <v>56</v>
      </c>
      <c r="B59" s="373" t="s">
        <v>321</v>
      </c>
      <c r="C59" s="355">
        <v>1.431</v>
      </c>
      <c r="D59" s="354">
        <v>1</v>
      </c>
      <c r="E59" s="354">
        <v>1</v>
      </c>
      <c r="F59" s="354">
        <v>0</v>
      </c>
      <c r="G59" s="354">
        <v>4</v>
      </c>
      <c r="H59" s="356">
        <v>20</v>
      </c>
      <c r="I59" s="356">
        <v>0</v>
      </c>
      <c r="J59" s="356">
        <v>20</v>
      </c>
      <c r="K59" s="357">
        <v>0.25</v>
      </c>
      <c r="L59" s="358">
        <v>1</v>
      </c>
      <c r="M59" s="358">
        <v>0</v>
      </c>
      <c r="N59" s="359">
        <v>13.98</v>
      </c>
      <c r="O59" s="360">
        <v>0.7</v>
      </c>
      <c r="P59" s="360">
        <v>0</v>
      </c>
      <c r="Q59" s="361">
        <v>0.26</v>
      </c>
    </row>
    <row r="60" spans="1:17" ht="22.5" customHeight="1" x14ac:dyDescent="0.25">
      <c r="A60" s="353">
        <v>57</v>
      </c>
      <c r="B60" s="373" t="s">
        <v>316</v>
      </c>
      <c r="C60" s="355">
        <v>1.24</v>
      </c>
      <c r="D60" s="354">
        <v>1</v>
      </c>
      <c r="E60" s="354">
        <v>1</v>
      </c>
      <c r="F60" s="354">
        <v>0</v>
      </c>
      <c r="G60" s="354">
        <v>6</v>
      </c>
      <c r="H60" s="356">
        <v>20</v>
      </c>
      <c r="I60" s="356">
        <v>0</v>
      </c>
      <c r="J60" s="356">
        <v>20</v>
      </c>
      <c r="K60" s="357">
        <v>0.16669999999999999</v>
      </c>
      <c r="L60" s="358">
        <v>1</v>
      </c>
      <c r="M60" s="358">
        <v>0</v>
      </c>
      <c r="N60" s="359">
        <v>16.13</v>
      </c>
      <c r="O60" s="360">
        <v>0.81</v>
      </c>
      <c r="P60" s="360">
        <v>0</v>
      </c>
      <c r="Q60" s="361">
        <v>0.25</v>
      </c>
    </row>
    <row r="61" spans="1:17" ht="22.5" customHeight="1" x14ac:dyDescent="0.25">
      <c r="A61" s="353">
        <v>58</v>
      </c>
      <c r="B61" s="373" t="s">
        <v>280</v>
      </c>
      <c r="C61" s="355">
        <v>4.798</v>
      </c>
      <c r="D61" s="354">
        <v>2</v>
      </c>
      <c r="E61" s="354">
        <v>2</v>
      </c>
      <c r="F61" s="354">
        <v>0</v>
      </c>
      <c r="G61" s="354">
        <v>11</v>
      </c>
      <c r="H61" s="356">
        <v>145</v>
      </c>
      <c r="I61" s="356">
        <v>0</v>
      </c>
      <c r="J61" s="356">
        <v>145</v>
      </c>
      <c r="K61" s="357">
        <v>0.18179999999999999</v>
      </c>
      <c r="L61" s="358">
        <v>1</v>
      </c>
      <c r="M61" s="358">
        <v>0</v>
      </c>
      <c r="N61" s="359">
        <v>30.22</v>
      </c>
      <c r="O61" s="360">
        <v>0.42</v>
      </c>
      <c r="P61" s="360">
        <v>0</v>
      </c>
      <c r="Q61" s="361">
        <v>0.25</v>
      </c>
    </row>
    <row r="62" spans="1:17" ht="22.5" customHeight="1" x14ac:dyDescent="0.25">
      <c r="A62" s="353">
        <v>59</v>
      </c>
      <c r="B62" s="373" t="s">
        <v>392</v>
      </c>
      <c r="C62" s="355">
        <v>1.427</v>
      </c>
      <c r="D62" s="354">
        <v>1</v>
      </c>
      <c r="E62" s="354">
        <v>1</v>
      </c>
      <c r="F62" s="354">
        <v>0</v>
      </c>
      <c r="G62" s="354">
        <v>5</v>
      </c>
      <c r="H62" s="356">
        <v>25</v>
      </c>
      <c r="I62" s="356">
        <v>0</v>
      </c>
      <c r="J62" s="356">
        <v>25</v>
      </c>
      <c r="K62" s="357">
        <v>0.2</v>
      </c>
      <c r="L62" s="358">
        <v>1</v>
      </c>
      <c r="M62" s="358">
        <v>0</v>
      </c>
      <c r="N62" s="359">
        <v>17.52</v>
      </c>
      <c r="O62" s="360">
        <v>0.7</v>
      </c>
      <c r="P62" s="360">
        <v>0</v>
      </c>
      <c r="Q62" s="361">
        <v>0.25</v>
      </c>
    </row>
    <row r="63" spans="1:17" ht="22.5" customHeight="1" x14ac:dyDescent="0.25">
      <c r="A63" s="353">
        <v>60</v>
      </c>
      <c r="B63" s="373" t="s">
        <v>286</v>
      </c>
      <c r="C63" s="355">
        <v>3.2639999999999998</v>
      </c>
      <c r="D63" s="354">
        <v>1</v>
      </c>
      <c r="E63" s="354">
        <v>1</v>
      </c>
      <c r="F63" s="354">
        <v>0</v>
      </c>
      <c r="G63" s="354">
        <v>14</v>
      </c>
      <c r="H63" s="356">
        <v>100</v>
      </c>
      <c r="I63" s="356">
        <v>0</v>
      </c>
      <c r="J63" s="356">
        <v>100</v>
      </c>
      <c r="K63" s="357">
        <v>7.1400000000000005E-2</v>
      </c>
      <c r="L63" s="358">
        <v>1</v>
      </c>
      <c r="M63" s="358">
        <v>0</v>
      </c>
      <c r="N63" s="359">
        <v>30.64</v>
      </c>
      <c r="O63" s="360">
        <v>0.31</v>
      </c>
      <c r="P63" s="360">
        <v>0</v>
      </c>
      <c r="Q63" s="361">
        <v>0.24</v>
      </c>
    </row>
    <row r="64" spans="1:17" ht="22.5" customHeight="1" x14ac:dyDescent="0.25">
      <c r="A64" s="353">
        <v>61</v>
      </c>
      <c r="B64" s="373" t="s">
        <v>405</v>
      </c>
      <c r="C64" s="355">
        <v>5.1879999999999997</v>
      </c>
      <c r="D64" s="354">
        <v>7</v>
      </c>
      <c r="E64" s="354">
        <v>5</v>
      </c>
      <c r="F64" s="354">
        <v>0</v>
      </c>
      <c r="G64" s="354">
        <v>29</v>
      </c>
      <c r="H64" s="356">
        <v>145</v>
      </c>
      <c r="I64" s="356">
        <v>0</v>
      </c>
      <c r="J64" s="356">
        <v>255</v>
      </c>
      <c r="K64" s="357">
        <v>0.2414</v>
      </c>
      <c r="L64" s="358">
        <v>0.71430000000000005</v>
      </c>
      <c r="M64" s="358">
        <v>0</v>
      </c>
      <c r="N64" s="359">
        <v>27.95</v>
      </c>
      <c r="O64" s="360">
        <v>0.96</v>
      </c>
      <c r="P64" s="360">
        <v>0</v>
      </c>
      <c r="Q64" s="361">
        <v>0.24</v>
      </c>
    </row>
    <row r="65" spans="1:17" ht="22.5" customHeight="1" x14ac:dyDescent="0.25">
      <c r="A65" s="353">
        <v>62</v>
      </c>
      <c r="B65" s="373" t="s">
        <v>393</v>
      </c>
      <c r="C65" s="355">
        <v>6.8970000000000002</v>
      </c>
      <c r="D65" s="354">
        <v>4</v>
      </c>
      <c r="E65" s="354">
        <v>4</v>
      </c>
      <c r="F65" s="354">
        <v>0</v>
      </c>
      <c r="G65" s="354">
        <v>23</v>
      </c>
      <c r="H65" s="356">
        <v>100</v>
      </c>
      <c r="I65" s="356">
        <v>0</v>
      </c>
      <c r="J65" s="356">
        <v>100</v>
      </c>
      <c r="K65" s="357">
        <v>0.1739</v>
      </c>
      <c r="L65" s="358">
        <v>1</v>
      </c>
      <c r="M65" s="358">
        <v>0</v>
      </c>
      <c r="N65" s="359">
        <v>14.5</v>
      </c>
      <c r="O65" s="360">
        <v>0.57999999999999996</v>
      </c>
      <c r="P65" s="360">
        <v>0</v>
      </c>
      <c r="Q65" s="361">
        <v>0.23</v>
      </c>
    </row>
    <row r="66" spans="1:17" ht="22.5" customHeight="1" x14ac:dyDescent="0.25">
      <c r="A66" s="353">
        <v>63</v>
      </c>
      <c r="B66" s="373" t="s">
        <v>352</v>
      </c>
      <c r="C66" s="355">
        <v>5.0890000000000004</v>
      </c>
      <c r="D66" s="354">
        <v>1</v>
      </c>
      <c r="E66" s="354">
        <v>1</v>
      </c>
      <c r="F66" s="354">
        <v>0</v>
      </c>
      <c r="G66" s="354">
        <v>10</v>
      </c>
      <c r="H66" s="356">
        <v>100</v>
      </c>
      <c r="I66" s="356">
        <v>0</v>
      </c>
      <c r="J66" s="356">
        <v>100</v>
      </c>
      <c r="K66" s="357">
        <v>0.1</v>
      </c>
      <c r="L66" s="358">
        <v>1</v>
      </c>
      <c r="M66" s="358">
        <v>0</v>
      </c>
      <c r="N66" s="359">
        <v>19.649999999999999</v>
      </c>
      <c r="O66" s="360">
        <v>0.2</v>
      </c>
      <c r="P66" s="360">
        <v>0</v>
      </c>
      <c r="Q66" s="361">
        <v>0.21</v>
      </c>
    </row>
    <row r="67" spans="1:17" ht="22.5" customHeight="1" x14ac:dyDescent="0.25">
      <c r="A67" s="353">
        <v>64</v>
      </c>
      <c r="B67" s="373" t="s">
        <v>373</v>
      </c>
      <c r="C67" s="355">
        <v>6.8179999999999996</v>
      </c>
      <c r="D67" s="354">
        <v>2</v>
      </c>
      <c r="E67" s="354">
        <v>2</v>
      </c>
      <c r="F67" s="354">
        <v>0</v>
      </c>
      <c r="G67" s="354">
        <v>23</v>
      </c>
      <c r="H67" s="356">
        <v>25</v>
      </c>
      <c r="I67" s="356">
        <v>0</v>
      </c>
      <c r="J67" s="356">
        <v>25</v>
      </c>
      <c r="K67" s="357">
        <v>8.6999999999999994E-2</v>
      </c>
      <c r="L67" s="358">
        <v>1</v>
      </c>
      <c r="M67" s="358">
        <v>0</v>
      </c>
      <c r="N67" s="359">
        <v>3.67</v>
      </c>
      <c r="O67" s="360">
        <v>0.28999999999999998</v>
      </c>
      <c r="P67" s="360">
        <v>0</v>
      </c>
      <c r="Q67" s="361">
        <v>0.2</v>
      </c>
    </row>
    <row r="68" spans="1:17" ht="22.5" customHeight="1" x14ac:dyDescent="0.25">
      <c r="A68" s="353">
        <v>65</v>
      </c>
      <c r="B68" s="373" t="s">
        <v>366</v>
      </c>
      <c r="C68" s="355">
        <v>3.56</v>
      </c>
      <c r="D68" s="354">
        <v>2</v>
      </c>
      <c r="E68" s="354">
        <v>0</v>
      </c>
      <c r="F68" s="354">
        <v>0</v>
      </c>
      <c r="G68" s="354">
        <v>11</v>
      </c>
      <c r="H68" s="356">
        <v>0</v>
      </c>
      <c r="I68" s="356">
        <v>0</v>
      </c>
      <c r="J68" s="356">
        <v>35</v>
      </c>
      <c r="K68" s="357">
        <v>0.18179999999999999</v>
      </c>
      <c r="L68" s="358">
        <v>0</v>
      </c>
      <c r="M68" s="358">
        <v>0</v>
      </c>
      <c r="N68" s="359">
        <v>0</v>
      </c>
      <c r="O68" s="360">
        <v>0</v>
      </c>
      <c r="P68" s="360">
        <v>0</v>
      </c>
      <c r="Q68" s="361">
        <v>0.05</v>
      </c>
    </row>
    <row r="69" spans="1:17" ht="22.5" customHeight="1" x14ac:dyDescent="0.25">
      <c r="A69" s="353">
        <v>66</v>
      </c>
      <c r="B69" s="373" t="s">
        <v>402</v>
      </c>
      <c r="C69" s="355">
        <v>0.34399999999999997</v>
      </c>
      <c r="D69" s="354">
        <v>0</v>
      </c>
      <c r="E69" s="354">
        <v>0</v>
      </c>
      <c r="F69" s="354">
        <v>0</v>
      </c>
      <c r="G69" s="354">
        <v>2</v>
      </c>
      <c r="H69" s="356">
        <v>0</v>
      </c>
      <c r="I69" s="356">
        <v>0</v>
      </c>
      <c r="J69" s="356">
        <v>0</v>
      </c>
      <c r="K69" s="357">
        <v>0</v>
      </c>
      <c r="L69" s="358">
        <v>0</v>
      </c>
      <c r="M69" s="358">
        <v>0</v>
      </c>
      <c r="N69" s="359">
        <v>0</v>
      </c>
      <c r="O69" s="360">
        <v>0</v>
      </c>
      <c r="P69" s="360">
        <v>0</v>
      </c>
      <c r="Q69" s="361">
        <v>0.01</v>
      </c>
    </row>
    <row r="70" spans="1:17" ht="22.5" customHeight="1" x14ac:dyDescent="0.25">
      <c r="A70" s="353">
        <v>67</v>
      </c>
      <c r="B70" s="373" t="s">
        <v>314</v>
      </c>
      <c r="C70" s="355">
        <v>0.316</v>
      </c>
      <c r="D70" s="354">
        <v>0</v>
      </c>
      <c r="E70" s="354">
        <v>0</v>
      </c>
      <c r="F70" s="354">
        <v>0</v>
      </c>
      <c r="G70" s="354">
        <v>0</v>
      </c>
      <c r="H70" s="356">
        <v>0</v>
      </c>
      <c r="I70" s="356">
        <v>0</v>
      </c>
      <c r="J70" s="356">
        <v>0</v>
      </c>
      <c r="K70" s="357">
        <v>0</v>
      </c>
      <c r="L70" s="358">
        <v>0</v>
      </c>
      <c r="M70" s="358">
        <v>0</v>
      </c>
      <c r="N70" s="359">
        <v>0</v>
      </c>
      <c r="O70" s="360">
        <v>0</v>
      </c>
      <c r="P70" s="360">
        <v>0</v>
      </c>
      <c r="Q70" s="361">
        <v>0.01</v>
      </c>
    </row>
    <row r="71" spans="1:17" ht="22.5" customHeight="1" x14ac:dyDescent="0.25">
      <c r="A71" s="353">
        <v>68</v>
      </c>
      <c r="B71" s="373" t="s">
        <v>318</v>
      </c>
      <c r="C71" s="355">
        <v>3.2759999999999998</v>
      </c>
      <c r="D71" s="354">
        <v>0</v>
      </c>
      <c r="E71" s="354">
        <v>0</v>
      </c>
      <c r="F71" s="354">
        <v>0</v>
      </c>
      <c r="G71" s="354">
        <v>7</v>
      </c>
      <c r="H71" s="356">
        <v>0</v>
      </c>
      <c r="I71" s="356">
        <v>0</v>
      </c>
      <c r="J71" s="356">
        <v>0</v>
      </c>
      <c r="K71" s="357">
        <v>0</v>
      </c>
      <c r="L71" s="358">
        <v>0</v>
      </c>
      <c r="M71" s="358">
        <v>0</v>
      </c>
      <c r="N71" s="359">
        <v>0</v>
      </c>
      <c r="O71" s="360">
        <v>0</v>
      </c>
      <c r="P71" s="360">
        <v>0</v>
      </c>
      <c r="Q71" s="361">
        <v>0.01</v>
      </c>
    </row>
    <row r="72" spans="1:17" ht="22.5" customHeight="1" x14ac:dyDescent="0.25">
      <c r="A72" s="353">
        <v>69</v>
      </c>
      <c r="B72" s="373" t="s">
        <v>333</v>
      </c>
      <c r="C72" s="355">
        <v>4.0460000000000003</v>
      </c>
      <c r="D72" s="354">
        <v>0</v>
      </c>
      <c r="E72" s="354">
        <v>0</v>
      </c>
      <c r="F72" s="354">
        <v>0</v>
      </c>
      <c r="G72" s="354">
        <v>8</v>
      </c>
      <c r="H72" s="356">
        <v>0</v>
      </c>
      <c r="I72" s="356">
        <v>0</v>
      </c>
      <c r="J72" s="356">
        <v>0</v>
      </c>
      <c r="K72" s="357">
        <v>0</v>
      </c>
      <c r="L72" s="358">
        <v>0</v>
      </c>
      <c r="M72" s="358">
        <v>0</v>
      </c>
      <c r="N72" s="359">
        <v>0</v>
      </c>
      <c r="O72" s="360">
        <v>0</v>
      </c>
      <c r="P72" s="360">
        <v>0</v>
      </c>
      <c r="Q72" s="361">
        <v>0.01</v>
      </c>
    </row>
    <row r="73" spans="1:17" ht="22.5" customHeight="1" x14ac:dyDescent="0.25">
      <c r="A73" s="353">
        <v>70</v>
      </c>
      <c r="B73" s="373" t="s">
        <v>274</v>
      </c>
      <c r="C73" s="355">
        <v>0.82199999999999995</v>
      </c>
      <c r="D73" s="354">
        <v>0</v>
      </c>
      <c r="E73" s="354">
        <v>0</v>
      </c>
      <c r="F73" s="354">
        <v>0</v>
      </c>
      <c r="G73" s="354">
        <v>0</v>
      </c>
      <c r="H73" s="356">
        <v>0</v>
      </c>
      <c r="I73" s="356">
        <v>0</v>
      </c>
      <c r="J73" s="356">
        <v>0</v>
      </c>
      <c r="K73" s="357">
        <v>0</v>
      </c>
      <c r="L73" s="358">
        <v>0</v>
      </c>
      <c r="M73" s="358">
        <v>0</v>
      </c>
      <c r="N73" s="359">
        <v>0</v>
      </c>
      <c r="O73" s="360">
        <v>0</v>
      </c>
      <c r="P73" s="360">
        <v>0</v>
      </c>
      <c r="Q73" s="361">
        <v>0.01</v>
      </c>
    </row>
    <row r="74" spans="1:17" ht="22.5" customHeight="1" x14ac:dyDescent="0.25">
      <c r="A74" s="353">
        <v>71</v>
      </c>
      <c r="B74" s="373" t="s">
        <v>357</v>
      </c>
      <c r="C74" s="355">
        <v>0.36299999999999999</v>
      </c>
      <c r="D74" s="354">
        <v>0</v>
      </c>
      <c r="E74" s="354">
        <v>0</v>
      </c>
      <c r="F74" s="354">
        <v>0</v>
      </c>
      <c r="G74" s="354">
        <v>0</v>
      </c>
      <c r="H74" s="356">
        <v>0</v>
      </c>
      <c r="I74" s="356">
        <v>0</v>
      </c>
      <c r="J74" s="356">
        <v>0</v>
      </c>
      <c r="K74" s="357">
        <v>0</v>
      </c>
      <c r="L74" s="358">
        <v>0</v>
      </c>
      <c r="M74" s="358">
        <v>0</v>
      </c>
      <c r="N74" s="359">
        <v>0</v>
      </c>
      <c r="O74" s="360">
        <v>0</v>
      </c>
      <c r="P74" s="360">
        <v>0</v>
      </c>
      <c r="Q74" s="361">
        <v>0.01</v>
      </c>
    </row>
    <row r="75" spans="1:17" ht="22.5" customHeight="1" x14ac:dyDescent="0.25">
      <c r="A75" s="353">
        <v>72</v>
      </c>
      <c r="B75" s="373" t="s">
        <v>328</v>
      </c>
      <c r="C75" s="355">
        <v>0.30399999999999999</v>
      </c>
      <c r="D75" s="354">
        <v>0</v>
      </c>
      <c r="E75" s="354">
        <v>0</v>
      </c>
      <c r="F75" s="354">
        <v>0</v>
      </c>
      <c r="G75" s="354">
        <v>1</v>
      </c>
      <c r="H75" s="356">
        <v>0</v>
      </c>
      <c r="I75" s="356">
        <v>0</v>
      </c>
      <c r="J75" s="356">
        <v>0</v>
      </c>
      <c r="K75" s="357">
        <v>0</v>
      </c>
      <c r="L75" s="358">
        <v>0</v>
      </c>
      <c r="M75" s="358">
        <v>0</v>
      </c>
      <c r="N75" s="359">
        <v>0</v>
      </c>
      <c r="O75" s="360">
        <v>0</v>
      </c>
      <c r="P75" s="360">
        <v>0</v>
      </c>
      <c r="Q75" s="361">
        <v>0.01</v>
      </c>
    </row>
    <row r="76" spans="1:17" ht="22.5" customHeight="1" x14ac:dyDescent="0.25">
      <c r="A76" s="353">
        <v>73</v>
      </c>
      <c r="B76" s="373" t="s">
        <v>398</v>
      </c>
      <c r="C76" s="355">
        <v>2.4580000000000002</v>
      </c>
      <c r="D76" s="354">
        <v>0</v>
      </c>
      <c r="E76" s="354">
        <v>0</v>
      </c>
      <c r="F76" s="354">
        <v>0</v>
      </c>
      <c r="G76" s="354">
        <v>8</v>
      </c>
      <c r="H76" s="356">
        <v>0</v>
      </c>
      <c r="I76" s="356">
        <v>0</v>
      </c>
      <c r="J76" s="356">
        <v>0</v>
      </c>
      <c r="K76" s="357">
        <v>0</v>
      </c>
      <c r="L76" s="358">
        <v>0</v>
      </c>
      <c r="M76" s="358">
        <v>0</v>
      </c>
      <c r="N76" s="359">
        <v>0</v>
      </c>
      <c r="O76" s="360">
        <v>0</v>
      </c>
      <c r="P76" s="360">
        <v>0</v>
      </c>
      <c r="Q76" s="361">
        <v>0.01</v>
      </c>
    </row>
    <row r="77" spans="1:17" ht="22.5" customHeight="1" x14ac:dyDescent="0.25">
      <c r="A77" s="353">
        <v>74</v>
      </c>
      <c r="B77" s="373" t="s">
        <v>426</v>
      </c>
      <c r="C77" s="355">
        <v>1.6E-2</v>
      </c>
      <c r="D77" s="354">
        <v>0</v>
      </c>
      <c r="E77" s="354">
        <v>0</v>
      </c>
      <c r="F77" s="354">
        <v>0</v>
      </c>
      <c r="G77" s="354">
        <v>0</v>
      </c>
      <c r="H77" s="356">
        <v>0</v>
      </c>
      <c r="I77" s="356">
        <v>0</v>
      </c>
      <c r="J77" s="356">
        <v>0</v>
      </c>
      <c r="K77" s="357">
        <v>0</v>
      </c>
      <c r="L77" s="358">
        <v>0</v>
      </c>
      <c r="M77" s="358">
        <v>0</v>
      </c>
      <c r="N77" s="359">
        <v>0</v>
      </c>
      <c r="O77" s="360">
        <v>0</v>
      </c>
      <c r="P77" s="360">
        <v>0</v>
      </c>
      <c r="Q77" s="361">
        <v>0.01</v>
      </c>
    </row>
    <row r="78" spans="1:17" ht="22.5" customHeight="1" x14ac:dyDescent="0.25">
      <c r="A78" s="353" t="s">
        <v>171</v>
      </c>
      <c r="B78" s="374" t="s">
        <v>3</v>
      </c>
      <c r="C78" s="363">
        <v>326.92899999999997</v>
      </c>
      <c r="D78" s="362">
        <v>471</v>
      </c>
      <c r="E78" s="362">
        <v>359</v>
      </c>
      <c r="F78" s="362">
        <v>66</v>
      </c>
      <c r="G78" s="364">
        <v>1299</v>
      </c>
      <c r="H78" s="365">
        <v>12114</v>
      </c>
      <c r="I78" s="365">
        <v>6435</v>
      </c>
      <c r="J78" s="365">
        <v>20924</v>
      </c>
      <c r="K78" s="366">
        <v>0.36259999999999998</v>
      </c>
      <c r="L78" s="375">
        <v>0.90229999999999999</v>
      </c>
      <c r="M78" s="375">
        <v>0.58930000000000005</v>
      </c>
      <c r="N78" s="376">
        <v>56.74</v>
      </c>
      <c r="O78" s="377">
        <v>1.3</v>
      </c>
      <c r="P78" s="377">
        <v>0.2</v>
      </c>
      <c r="Q78" s="378" t="s">
        <v>171</v>
      </c>
    </row>
  </sheetData>
  <sortState ref="B3:R76">
    <sortCondition descending="1" ref="Q3"/>
  </sortState>
  <mergeCells count="3">
    <mergeCell ref="A2:A3"/>
    <mergeCell ref="B2:B3"/>
    <mergeCell ref="F1:L1"/>
  </mergeCells>
  <pageMargins left="0.25" right="0.25" top="0.25" bottom="0.5" header="0.25" footer="0.25"/>
  <pageSetup orientation="portrait" cellComments="atEnd"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tabColor rgb="FF0070C0"/>
  </sheetPr>
  <dimension ref="A1:Q84"/>
  <sheetViews>
    <sheetView workbookViewId="0">
      <selection activeCell="G15" sqref="G15"/>
    </sheetView>
  </sheetViews>
  <sheetFormatPr defaultRowHeight="11.25" x14ac:dyDescent="0.25"/>
  <cols>
    <col min="1" max="1" width="6" style="93" bestFit="1" customWidth="1"/>
    <col min="2" max="2" width="21.5703125" style="94" bestFit="1" customWidth="1"/>
    <col min="3" max="3" width="8.28515625" style="93" bestFit="1" customWidth="1"/>
    <col min="4" max="4" width="7" style="93" bestFit="1" customWidth="1"/>
    <col min="5" max="5" width="10.28515625" style="93" bestFit="1" customWidth="1"/>
    <col min="6" max="6" width="10.42578125" style="93" bestFit="1" customWidth="1"/>
    <col min="7" max="7" width="8.42578125" style="93" bestFit="1" customWidth="1"/>
    <col min="8" max="11" width="13.42578125" style="93" bestFit="1" customWidth="1"/>
    <col min="12" max="12" width="11.42578125" style="93" bestFit="1" customWidth="1"/>
    <col min="13" max="13" width="10.42578125" style="93" bestFit="1" customWidth="1"/>
    <col min="14" max="14" width="11.85546875" style="93" bestFit="1" customWidth="1"/>
    <col min="15" max="15" width="11.42578125" style="93" bestFit="1" customWidth="1"/>
    <col min="16" max="16" width="10.42578125" style="93" bestFit="1" customWidth="1"/>
    <col min="17" max="17" width="12.28515625" style="93" bestFit="1" customWidth="1"/>
    <col min="18" max="16384" width="9.140625" style="93"/>
  </cols>
  <sheetData>
    <row r="1" spans="1:17" ht="22.5" customHeight="1" x14ac:dyDescent="0.25">
      <c r="F1" s="635" t="s">
        <v>265</v>
      </c>
      <c r="G1" s="635"/>
      <c r="H1" s="635"/>
      <c r="I1" s="635"/>
      <c r="J1" s="635"/>
      <c r="K1" s="635"/>
      <c r="L1" s="635"/>
    </row>
    <row r="2" spans="1:17" ht="22.5" customHeight="1" x14ac:dyDescent="0.25">
      <c r="A2" s="636" t="s">
        <v>172</v>
      </c>
      <c r="B2" s="608" t="s">
        <v>7</v>
      </c>
      <c r="C2" s="379" t="s">
        <v>173</v>
      </c>
      <c r="D2" s="380" t="s">
        <v>3</v>
      </c>
      <c r="E2" s="380" t="s">
        <v>176</v>
      </c>
      <c r="F2" s="380" t="s">
        <v>166</v>
      </c>
      <c r="G2" s="380" t="s">
        <v>8</v>
      </c>
      <c r="H2" s="380" t="s">
        <v>176</v>
      </c>
      <c r="I2" s="380" t="s">
        <v>166</v>
      </c>
      <c r="J2" s="380" t="s">
        <v>3</v>
      </c>
      <c r="K2" s="380" t="s">
        <v>21</v>
      </c>
      <c r="L2" s="380" t="s">
        <v>164</v>
      </c>
      <c r="M2" s="380" t="s">
        <v>166</v>
      </c>
      <c r="N2" s="380" t="s">
        <v>164</v>
      </c>
      <c r="O2" s="380" t="s">
        <v>164</v>
      </c>
      <c r="P2" s="380" t="s">
        <v>166</v>
      </c>
      <c r="Q2" s="381" t="s">
        <v>169</v>
      </c>
    </row>
    <row r="3" spans="1:17" ht="22.5" customHeight="1" x14ac:dyDescent="0.25">
      <c r="A3" s="637"/>
      <c r="B3" s="638"/>
      <c r="C3" s="382" t="s">
        <v>174</v>
      </c>
      <c r="D3" s="383" t="s">
        <v>175</v>
      </c>
      <c r="E3" s="383" t="s">
        <v>175</v>
      </c>
      <c r="F3" s="383" t="s">
        <v>175</v>
      </c>
      <c r="G3" s="383" t="s">
        <v>12</v>
      </c>
      <c r="H3" s="383" t="s">
        <v>9</v>
      </c>
      <c r="I3" s="383" t="s">
        <v>9</v>
      </c>
      <c r="J3" s="383" t="s">
        <v>9</v>
      </c>
      <c r="K3" s="383" t="s">
        <v>13</v>
      </c>
      <c r="L3" s="383" t="s">
        <v>165</v>
      </c>
      <c r="M3" s="383" t="s">
        <v>165</v>
      </c>
      <c r="N3" s="383" t="s">
        <v>167</v>
      </c>
      <c r="O3" s="383" t="s">
        <v>168</v>
      </c>
      <c r="P3" s="383" t="s">
        <v>168</v>
      </c>
      <c r="Q3" s="384" t="s">
        <v>170</v>
      </c>
    </row>
    <row r="4" spans="1:17" ht="22.5" customHeight="1" x14ac:dyDescent="0.25">
      <c r="A4" s="385">
        <v>1</v>
      </c>
      <c r="B4" s="386" t="s">
        <v>298</v>
      </c>
      <c r="C4" s="387">
        <v>5.9359999999999999</v>
      </c>
      <c r="D4" s="388">
        <v>16</v>
      </c>
      <c r="E4" s="388">
        <v>9</v>
      </c>
      <c r="F4" s="388">
        <v>6</v>
      </c>
      <c r="G4" s="388">
        <v>28</v>
      </c>
      <c r="H4" s="389">
        <v>300</v>
      </c>
      <c r="I4" s="389">
        <v>660</v>
      </c>
      <c r="J4" s="389">
        <v>1000</v>
      </c>
      <c r="K4" s="390">
        <v>0.57140000000000002</v>
      </c>
      <c r="L4" s="391">
        <v>0.9375</v>
      </c>
      <c r="M4" s="391">
        <v>0.85709999999999997</v>
      </c>
      <c r="N4" s="392">
        <v>161.72999999999999</v>
      </c>
      <c r="O4" s="393">
        <v>2.5299999999999998</v>
      </c>
      <c r="P4" s="393">
        <v>1.01</v>
      </c>
      <c r="Q4" s="394">
        <v>0.91</v>
      </c>
    </row>
    <row r="5" spans="1:17" ht="22.5" customHeight="1" x14ac:dyDescent="0.25">
      <c r="A5" s="385">
        <v>2</v>
      </c>
      <c r="B5" s="386" t="s">
        <v>383</v>
      </c>
      <c r="C5" s="387">
        <v>12.433999999999999</v>
      </c>
      <c r="D5" s="388">
        <v>33</v>
      </c>
      <c r="E5" s="388">
        <v>19</v>
      </c>
      <c r="F5" s="388">
        <v>6</v>
      </c>
      <c r="G5" s="388">
        <v>55</v>
      </c>
      <c r="H5" s="389">
        <v>1365</v>
      </c>
      <c r="I5" s="389">
        <v>745</v>
      </c>
      <c r="J5" s="389">
        <v>2425</v>
      </c>
      <c r="K5" s="390">
        <v>0.6</v>
      </c>
      <c r="L5" s="391">
        <v>0.75760000000000005</v>
      </c>
      <c r="M5" s="391">
        <v>0.42859999999999998</v>
      </c>
      <c r="N5" s="392">
        <v>169.7</v>
      </c>
      <c r="O5" s="393">
        <v>2.0099999999999998</v>
      </c>
      <c r="P5" s="393">
        <v>0.48</v>
      </c>
      <c r="Q5" s="394">
        <v>0.85</v>
      </c>
    </row>
    <row r="6" spans="1:17" ht="22.5" customHeight="1" x14ac:dyDescent="0.25">
      <c r="A6" s="385">
        <v>3</v>
      </c>
      <c r="B6" s="386" t="s">
        <v>330</v>
      </c>
      <c r="C6" s="387">
        <v>4.7699999999999996</v>
      </c>
      <c r="D6" s="388">
        <v>10</v>
      </c>
      <c r="E6" s="388">
        <v>5</v>
      </c>
      <c r="F6" s="388">
        <v>3</v>
      </c>
      <c r="G6" s="388">
        <v>15</v>
      </c>
      <c r="H6" s="389">
        <v>165</v>
      </c>
      <c r="I6" s="389">
        <v>360</v>
      </c>
      <c r="J6" s="389">
        <v>560</v>
      </c>
      <c r="K6" s="390">
        <v>0.66669999999999996</v>
      </c>
      <c r="L6" s="391">
        <v>0.8</v>
      </c>
      <c r="M6" s="391">
        <v>0.6</v>
      </c>
      <c r="N6" s="392">
        <v>110.06</v>
      </c>
      <c r="O6" s="393">
        <v>1.68</v>
      </c>
      <c r="P6" s="393">
        <v>0.63</v>
      </c>
      <c r="Q6" s="394">
        <v>0.83</v>
      </c>
    </row>
    <row r="7" spans="1:17" ht="22.5" customHeight="1" x14ac:dyDescent="0.25">
      <c r="A7" s="385">
        <v>4</v>
      </c>
      <c r="B7" s="386" t="s">
        <v>277</v>
      </c>
      <c r="C7" s="387">
        <v>8.0310000000000006</v>
      </c>
      <c r="D7" s="388">
        <v>41</v>
      </c>
      <c r="E7" s="388">
        <v>22</v>
      </c>
      <c r="F7" s="388">
        <v>4</v>
      </c>
      <c r="G7" s="388">
        <v>56</v>
      </c>
      <c r="H7" s="389">
        <v>1050</v>
      </c>
      <c r="I7" s="389">
        <v>540</v>
      </c>
      <c r="J7" s="389">
        <v>2195</v>
      </c>
      <c r="K7" s="390">
        <v>0.73209999999999997</v>
      </c>
      <c r="L7" s="391">
        <v>0.6341</v>
      </c>
      <c r="M7" s="391">
        <v>0.21049999999999999</v>
      </c>
      <c r="N7" s="392">
        <v>197.98</v>
      </c>
      <c r="O7" s="393">
        <v>3.24</v>
      </c>
      <c r="P7" s="393">
        <v>0.5</v>
      </c>
      <c r="Q7" s="394">
        <v>0.82</v>
      </c>
    </row>
    <row r="8" spans="1:17" ht="22.5" customHeight="1" x14ac:dyDescent="0.25">
      <c r="A8" s="385">
        <v>5</v>
      </c>
      <c r="B8" s="386" t="s">
        <v>272</v>
      </c>
      <c r="C8" s="387">
        <v>7.641</v>
      </c>
      <c r="D8" s="388">
        <v>25</v>
      </c>
      <c r="E8" s="388">
        <v>11</v>
      </c>
      <c r="F8" s="388">
        <v>6</v>
      </c>
      <c r="G8" s="388">
        <v>49</v>
      </c>
      <c r="H8" s="389">
        <v>925</v>
      </c>
      <c r="I8" s="389">
        <v>1140</v>
      </c>
      <c r="J8" s="389">
        <v>2360</v>
      </c>
      <c r="K8" s="390">
        <v>0.51019999999999999</v>
      </c>
      <c r="L8" s="391">
        <v>0.68</v>
      </c>
      <c r="M8" s="391">
        <v>0.42859999999999998</v>
      </c>
      <c r="N8" s="392">
        <v>270.25</v>
      </c>
      <c r="O8" s="393">
        <v>2.2200000000000002</v>
      </c>
      <c r="P8" s="393">
        <v>0.79</v>
      </c>
      <c r="Q8" s="394">
        <v>0.82</v>
      </c>
    </row>
    <row r="9" spans="1:17" ht="22.5" customHeight="1" x14ac:dyDescent="0.25">
      <c r="A9" s="385">
        <v>6</v>
      </c>
      <c r="B9" s="386" t="s">
        <v>400</v>
      </c>
      <c r="C9" s="387">
        <v>6.359</v>
      </c>
      <c r="D9" s="388">
        <v>29</v>
      </c>
      <c r="E9" s="388">
        <v>15</v>
      </c>
      <c r="F9" s="388">
        <v>4</v>
      </c>
      <c r="G9" s="388">
        <v>51</v>
      </c>
      <c r="H9" s="389">
        <v>470</v>
      </c>
      <c r="I9" s="389">
        <v>480</v>
      </c>
      <c r="J9" s="389">
        <v>1355</v>
      </c>
      <c r="K9" s="390">
        <v>0.56859999999999999</v>
      </c>
      <c r="L9" s="391">
        <v>0.6552</v>
      </c>
      <c r="M9" s="391">
        <v>0.28570000000000001</v>
      </c>
      <c r="N9" s="392">
        <v>149.38999999999999</v>
      </c>
      <c r="O9" s="393">
        <v>2.99</v>
      </c>
      <c r="P9" s="393">
        <v>0.63</v>
      </c>
      <c r="Q9" s="394">
        <v>0.8</v>
      </c>
    </row>
    <row r="10" spans="1:17" ht="22.5" customHeight="1" x14ac:dyDescent="0.25">
      <c r="A10" s="385">
        <v>7</v>
      </c>
      <c r="B10" s="386" t="s">
        <v>269</v>
      </c>
      <c r="C10" s="387">
        <v>3.1629999999999998</v>
      </c>
      <c r="D10" s="388">
        <v>8</v>
      </c>
      <c r="E10" s="388">
        <v>5</v>
      </c>
      <c r="F10" s="388">
        <v>1</v>
      </c>
      <c r="G10" s="388">
        <v>11</v>
      </c>
      <c r="H10" s="389">
        <v>250</v>
      </c>
      <c r="I10" s="389">
        <v>120</v>
      </c>
      <c r="J10" s="389">
        <v>430</v>
      </c>
      <c r="K10" s="390">
        <v>0.72729999999999995</v>
      </c>
      <c r="L10" s="391">
        <v>0.75</v>
      </c>
      <c r="M10" s="391">
        <v>0.33329999999999999</v>
      </c>
      <c r="N10" s="392">
        <v>116.98</v>
      </c>
      <c r="O10" s="393">
        <v>1.9</v>
      </c>
      <c r="P10" s="393">
        <v>0.32</v>
      </c>
      <c r="Q10" s="394">
        <v>0.79</v>
      </c>
    </row>
    <row r="11" spans="1:17" ht="22.5" customHeight="1" x14ac:dyDescent="0.25">
      <c r="A11" s="385">
        <v>8</v>
      </c>
      <c r="B11" s="386" t="s">
        <v>324</v>
      </c>
      <c r="C11" s="387">
        <v>2.41</v>
      </c>
      <c r="D11" s="388">
        <v>4</v>
      </c>
      <c r="E11" s="388">
        <v>2</v>
      </c>
      <c r="F11" s="388">
        <v>2</v>
      </c>
      <c r="G11" s="388">
        <v>9</v>
      </c>
      <c r="H11" s="389">
        <v>105</v>
      </c>
      <c r="I11" s="389">
        <v>240</v>
      </c>
      <c r="J11" s="389">
        <v>345</v>
      </c>
      <c r="K11" s="390">
        <v>0.44440000000000002</v>
      </c>
      <c r="L11" s="391">
        <v>1</v>
      </c>
      <c r="M11" s="391">
        <v>1</v>
      </c>
      <c r="N11" s="392">
        <v>143.15</v>
      </c>
      <c r="O11" s="393">
        <v>1.66</v>
      </c>
      <c r="P11" s="393">
        <v>0.83</v>
      </c>
      <c r="Q11" s="394">
        <v>0.79</v>
      </c>
    </row>
    <row r="12" spans="1:17" ht="22.5" customHeight="1" x14ac:dyDescent="0.25">
      <c r="A12" s="385">
        <v>9</v>
      </c>
      <c r="B12" s="386" t="s">
        <v>290</v>
      </c>
      <c r="C12" s="387">
        <v>2.2370000000000001</v>
      </c>
      <c r="D12" s="388">
        <v>9</v>
      </c>
      <c r="E12" s="388">
        <v>3</v>
      </c>
      <c r="F12" s="388">
        <v>2</v>
      </c>
      <c r="G12" s="388">
        <v>16</v>
      </c>
      <c r="H12" s="389">
        <v>255</v>
      </c>
      <c r="I12" s="389">
        <v>216</v>
      </c>
      <c r="J12" s="389">
        <v>706</v>
      </c>
      <c r="K12" s="390">
        <v>0.5625</v>
      </c>
      <c r="L12" s="391">
        <v>0.55559999999999998</v>
      </c>
      <c r="M12" s="391">
        <v>0.33329999999999999</v>
      </c>
      <c r="N12" s="392">
        <v>210.55</v>
      </c>
      <c r="O12" s="393">
        <v>2.2400000000000002</v>
      </c>
      <c r="P12" s="393">
        <v>0.89</v>
      </c>
      <c r="Q12" s="394">
        <v>0.77</v>
      </c>
    </row>
    <row r="13" spans="1:17" ht="22.5" customHeight="1" x14ac:dyDescent="0.25">
      <c r="A13" s="385">
        <v>10</v>
      </c>
      <c r="B13" s="386" t="s">
        <v>279</v>
      </c>
      <c r="C13" s="387">
        <v>6.3659999999999997</v>
      </c>
      <c r="D13" s="388">
        <v>19</v>
      </c>
      <c r="E13" s="388">
        <v>12</v>
      </c>
      <c r="F13" s="388">
        <v>2</v>
      </c>
      <c r="G13" s="388">
        <v>34</v>
      </c>
      <c r="H13" s="389">
        <v>495</v>
      </c>
      <c r="I13" s="389">
        <v>180</v>
      </c>
      <c r="J13" s="389">
        <v>895</v>
      </c>
      <c r="K13" s="390">
        <v>0.55879999999999996</v>
      </c>
      <c r="L13" s="391">
        <v>0.73680000000000001</v>
      </c>
      <c r="M13" s="391">
        <v>0.28570000000000001</v>
      </c>
      <c r="N13" s="392">
        <v>106.03</v>
      </c>
      <c r="O13" s="393">
        <v>2.2000000000000002</v>
      </c>
      <c r="P13" s="393">
        <v>0.31</v>
      </c>
      <c r="Q13" s="394">
        <v>0.75</v>
      </c>
    </row>
    <row r="14" spans="1:17" ht="22.5" customHeight="1" x14ac:dyDescent="0.25">
      <c r="A14" s="385">
        <v>11</v>
      </c>
      <c r="B14" s="386" t="s">
        <v>297</v>
      </c>
      <c r="C14" s="387">
        <v>5.9009999999999998</v>
      </c>
      <c r="D14" s="388">
        <v>17</v>
      </c>
      <c r="E14" s="388">
        <v>6</v>
      </c>
      <c r="F14" s="388">
        <v>4</v>
      </c>
      <c r="G14" s="388">
        <v>29</v>
      </c>
      <c r="H14" s="389">
        <v>150</v>
      </c>
      <c r="I14" s="389">
        <v>480</v>
      </c>
      <c r="J14" s="389">
        <v>1085</v>
      </c>
      <c r="K14" s="390">
        <v>0.58620000000000005</v>
      </c>
      <c r="L14" s="391">
        <v>0.58819999999999995</v>
      </c>
      <c r="M14" s="391">
        <v>0.36359999999999998</v>
      </c>
      <c r="N14" s="392">
        <v>106.76</v>
      </c>
      <c r="O14" s="393">
        <v>1.69</v>
      </c>
      <c r="P14" s="393">
        <v>0.68</v>
      </c>
      <c r="Q14" s="394">
        <v>0.73</v>
      </c>
    </row>
    <row r="15" spans="1:17" ht="22.5" customHeight="1" x14ac:dyDescent="0.25">
      <c r="A15" s="385">
        <v>12</v>
      </c>
      <c r="B15" s="386" t="s">
        <v>332</v>
      </c>
      <c r="C15" s="387">
        <v>5.2439999999999998</v>
      </c>
      <c r="D15" s="388">
        <v>8</v>
      </c>
      <c r="E15" s="388">
        <v>5</v>
      </c>
      <c r="F15" s="388">
        <v>2</v>
      </c>
      <c r="G15" s="388">
        <v>16</v>
      </c>
      <c r="H15" s="389">
        <v>330</v>
      </c>
      <c r="I15" s="389">
        <v>360</v>
      </c>
      <c r="J15" s="389">
        <v>725</v>
      </c>
      <c r="K15" s="390">
        <v>0.5</v>
      </c>
      <c r="L15" s="391">
        <v>0.875</v>
      </c>
      <c r="M15" s="391">
        <v>0.66669999999999996</v>
      </c>
      <c r="N15" s="392">
        <v>131.58000000000001</v>
      </c>
      <c r="O15" s="393">
        <v>1.33</v>
      </c>
      <c r="P15" s="393">
        <v>0.38</v>
      </c>
      <c r="Q15" s="394">
        <v>0.72</v>
      </c>
    </row>
    <row r="16" spans="1:17" ht="22.5" customHeight="1" x14ac:dyDescent="0.25">
      <c r="A16" s="385">
        <v>13</v>
      </c>
      <c r="B16" s="386" t="s">
        <v>392</v>
      </c>
      <c r="C16" s="387">
        <v>3.7589999999999999</v>
      </c>
      <c r="D16" s="388">
        <v>13</v>
      </c>
      <c r="E16" s="388">
        <v>8</v>
      </c>
      <c r="F16" s="388">
        <v>1</v>
      </c>
      <c r="G16" s="388">
        <v>30</v>
      </c>
      <c r="H16" s="389">
        <v>515</v>
      </c>
      <c r="I16" s="389">
        <v>300</v>
      </c>
      <c r="J16" s="389">
        <v>930</v>
      </c>
      <c r="K16" s="390">
        <v>0.43330000000000002</v>
      </c>
      <c r="L16" s="391">
        <v>0.69230000000000003</v>
      </c>
      <c r="M16" s="391">
        <v>0.2</v>
      </c>
      <c r="N16" s="392">
        <v>216.81</v>
      </c>
      <c r="O16" s="393">
        <v>2.39</v>
      </c>
      <c r="P16" s="393">
        <v>0.27</v>
      </c>
      <c r="Q16" s="394">
        <v>0.7</v>
      </c>
    </row>
    <row r="17" spans="1:17" ht="22.5" customHeight="1" x14ac:dyDescent="0.25">
      <c r="A17" s="385">
        <v>14</v>
      </c>
      <c r="B17" s="386" t="s">
        <v>403</v>
      </c>
      <c r="C17" s="387">
        <v>2.2519999999999998</v>
      </c>
      <c r="D17" s="388">
        <v>8</v>
      </c>
      <c r="E17" s="388">
        <v>6</v>
      </c>
      <c r="F17" s="388">
        <v>0</v>
      </c>
      <c r="G17" s="388">
        <v>12</v>
      </c>
      <c r="H17" s="389">
        <v>440</v>
      </c>
      <c r="I17" s="389">
        <v>0</v>
      </c>
      <c r="J17" s="389">
        <v>527</v>
      </c>
      <c r="K17" s="390">
        <v>0.66669999999999996</v>
      </c>
      <c r="L17" s="391">
        <v>0.75</v>
      </c>
      <c r="M17" s="391">
        <v>0</v>
      </c>
      <c r="N17" s="392">
        <v>195.38</v>
      </c>
      <c r="O17" s="393">
        <v>2.66</v>
      </c>
      <c r="P17" s="393">
        <v>0</v>
      </c>
      <c r="Q17" s="394">
        <v>0.68</v>
      </c>
    </row>
    <row r="18" spans="1:17" ht="22.5" customHeight="1" x14ac:dyDescent="0.25">
      <c r="A18" s="385">
        <v>15</v>
      </c>
      <c r="B18" s="386" t="s">
        <v>342</v>
      </c>
      <c r="C18" s="387">
        <v>6.548</v>
      </c>
      <c r="D18" s="388">
        <v>17</v>
      </c>
      <c r="E18" s="388">
        <v>6</v>
      </c>
      <c r="F18" s="388">
        <v>3</v>
      </c>
      <c r="G18" s="388">
        <v>28</v>
      </c>
      <c r="H18" s="389">
        <v>720</v>
      </c>
      <c r="I18" s="389">
        <v>360</v>
      </c>
      <c r="J18" s="389">
        <v>1700</v>
      </c>
      <c r="K18" s="390">
        <v>0.60709999999999997</v>
      </c>
      <c r="L18" s="391">
        <v>0.52939999999999998</v>
      </c>
      <c r="M18" s="391">
        <v>0.2727</v>
      </c>
      <c r="N18" s="392">
        <v>164.94</v>
      </c>
      <c r="O18" s="393">
        <v>1.37</v>
      </c>
      <c r="P18" s="393">
        <v>0.46</v>
      </c>
      <c r="Q18" s="394">
        <v>0.67</v>
      </c>
    </row>
    <row r="19" spans="1:17" ht="22.5" customHeight="1" x14ac:dyDescent="0.25">
      <c r="A19" s="385">
        <v>16</v>
      </c>
      <c r="B19" s="386" t="s">
        <v>422</v>
      </c>
      <c r="C19" s="387">
        <v>13.737</v>
      </c>
      <c r="D19" s="388">
        <v>40</v>
      </c>
      <c r="E19" s="388">
        <v>24</v>
      </c>
      <c r="F19" s="388">
        <v>3</v>
      </c>
      <c r="G19" s="388">
        <v>86</v>
      </c>
      <c r="H19" s="389">
        <v>1340</v>
      </c>
      <c r="I19" s="389">
        <v>360</v>
      </c>
      <c r="J19" s="389">
        <v>2475</v>
      </c>
      <c r="K19" s="390">
        <v>0.46510000000000001</v>
      </c>
      <c r="L19" s="391">
        <v>0.67500000000000004</v>
      </c>
      <c r="M19" s="391">
        <v>0.1875</v>
      </c>
      <c r="N19" s="392">
        <v>123.75</v>
      </c>
      <c r="O19" s="393">
        <v>1.97</v>
      </c>
      <c r="P19" s="393">
        <v>0.22</v>
      </c>
      <c r="Q19" s="394">
        <v>0.66</v>
      </c>
    </row>
    <row r="20" spans="1:17" ht="22.5" customHeight="1" x14ac:dyDescent="0.25">
      <c r="A20" s="385">
        <v>17</v>
      </c>
      <c r="B20" s="386" t="s">
        <v>374</v>
      </c>
      <c r="C20" s="387">
        <v>5.532</v>
      </c>
      <c r="D20" s="388">
        <v>27</v>
      </c>
      <c r="E20" s="388">
        <v>16</v>
      </c>
      <c r="F20" s="388">
        <v>1</v>
      </c>
      <c r="G20" s="388">
        <v>54</v>
      </c>
      <c r="H20" s="389">
        <v>655</v>
      </c>
      <c r="I20" s="389">
        <v>120</v>
      </c>
      <c r="J20" s="389">
        <v>1045</v>
      </c>
      <c r="K20" s="390">
        <v>0.5</v>
      </c>
      <c r="L20" s="391">
        <v>0.62960000000000005</v>
      </c>
      <c r="M20" s="391">
        <v>9.0899999999999995E-2</v>
      </c>
      <c r="N20" s="392">
        <v>140.09</v>
      </c>
      <c r="O20" s="393">
        <v>3.07</v>
      </c>
      <c r="P20" s="393">
        <v>0.18</v>
      </c>
      <c r="Q20" s="394">
        <v>0.66</v>
      </c>
    </row>
    <row r="21" spans="1:17" ht="22.5" customHeight="1" x14ac:dyDescent="0.25">
      <c r="A21" s="385">
        <v>18</v>
      </c>
      <c r="B21" s="386" t="s">
        <v>430</v>
      </c>
      <c r="C21" s="387">
        <v>6.7039999999999997</v>
      </c>
      <c r="D21" s="388">
        <v>9</v>
      </c>
      <c r="E21" s="388">
        <v>4</v>
      </c>
      <c r="F21" s="388">
        <v>4</v>
      </c>
      <c r="G21" s="388">
        <v>21</v>
      </c>
      <c r="H21" s="389">
        <v>160</v>
      </c>
      <c r="I21" s="389">
        <v>480</v>
      </c>
      <c r="J21" s="389">
        <v>740</v>
      </c>
      <c r="K21" s="390">
        <v>0.42859999999999998</v>
      </c>
      <c r="L21" s="391">
        <v>0.88890000000000002</v>
      </c>
      <c r="M21" s="391">
        <v>0.8</v>
      </c>
      <c r="N21" s="392">
        <v>95.47</v>
      </c>
      <c r="O21" s="393">
        <v>1.19</v>
      </c>
      <c r="P21" s="393">
        <v>0.6</v>
      </c>
      <c r="Q21" s="394">
        <v>0.66</v>
      </c>
    </row>
    <row r="22" spans="1:17" ht="22.5" customHeight="1" x14ac:dyDescent="0.25">
      <c r="A22" s="385">
        <v>19</v>
      </c>
      <c r="B22" s="386" t="s">
        <v>291</v>
      </c>
      <c r="C22" s="387">
        <v>3.5979999999999999</v>
      </c>
      <c r="D22" s="388">
        <v>14</v>
      </c>
      <c r="E22" s="388">
        <v>4</v>
      </c>
      <c r="F22" s="388">
        <v>2</v>
      </c>
      <c r="G22" s="388">
        <v>24</v>
      </c>
      <c r="H22" s="389">
        <v>230</v>
      </c>
      <c r="I22" s="389">
        <v>240</v>
      </c>
      <c r="J22" s="389">
        <v>925</v>
      </c>
      <c r="K22" s="390">
        <v>0.58330000000000004</v>
      </c>
      <c r="L22" s="391">
        <v>0.42859999999999998</v>
      </c>
      <c r="M22" s="391">
        <v>0.2</v>
      </c>
      <c r="N22" s="392">
        <v>130.63</v>
      </c>
      <c r="O22" s="393">
        <v>1.67</v>
      </c>
      <c r="P22" s="393">
        <v>0.56000000000000005</v>
      </c>
      <c r="Q22" s="394">
        <v>0.65</v>
      </c>
    </row>
    <row r="23" spans="1:17" ht="22.5" customHeight="1" x14ac:dyDescent="0.25">
      <c r="A23" s="385">
        <v>20</v>
      </c>
      <c r="B23" s="386" t="s">
        <v>405</v>
      </c>
      <c r="C23" s="387">
        <v>2.0779999999999998</v>
      </c>
      <c r="D23" s="388">
        <v>9</v>
      </c>
      <c r="E23" s="388">
        <v>4</v>
      </c>
      <c r="F23" s="388">
        <v>1</v>
      </c>
      <c r="G23" s="388">
        <v>18</v>
      </c>
      <c r="H23" s="389">
        <v>95</v>
      </c>
      <c r="I23" s="389">
        <v>120</v>
      </c>
      <c r="J23" s="389">
        <v>400</v>
      </c>
      <c r="K23" s="390">
        <v>0.5</v>
      </c>
      <c r="L23" s="391">
        <v>0.55559999999999998</v>
      </c>
      <c r="M23" s="391">
        <v>0.2</v>
      </c>
      <c r="N23" s="392">
        <v>103.46</v>
      </c>
      <c r="O23" s="393">
        <v>2.41</v>
      </c>
      <c r="P23" s="393">
        <v>0.48</v>
      </c>
      <c r="Q23" s="394">
        <v>0.64</v>
      </c>
    </row>
    <row r="24" spans="1:17" ht="22.5" customHeight="1" x14ac:dyDescent="0.25">
      <c r="A24" s="385">
        <v>21</v>
      </c>
      <c r="B24" s="386" t="s">
        <v>414</v>
      </c>
      <c r="C24" s="387">
        <v>10.691000000000001</v>
      </c>
      <c r="D24" s="388">
        <v>17</v>
      </c>
      <c r="E24" s="388">
        <v>13</v>
      </c>
      <c r="F24" s="388">
        <v>2</v>
      </c>
      <c r="G24" s="388">
        <v>38</v>
      </c>
      <c r="H24" s="389">
        <v>665</v>
      </c>
      <c r="I24" s="389">
        <v>240</v>
      </c>
      <c r="J24" s="389">
        <v>915</v>
      </c>
      <c r="K24" s="390">
        <v>0.44740000000000002</v>
      </c>
      <c r="L24" s="391">
        <v>0.88239999999999996</v>
      </c>
      <c r="M24" s="391">
        <v>0.5</v>
      </c>
      <c r="N24" s="392">
        <v>84.65</v>
      </c>
      <c r="O24" s="393">
        <v>1.4</v>
      </c>
      <c r="P24" s="393">
        <v>0.19</v>
      </c>
      <c r="Q24" s="394">
        <v>0.64</v>
      </c>
    </row>
    <row r="25" spans="1:17" ht="22.5" customHeight="1" x14ac:dyDescent="0.25">
      <c r="A25" s="385">
        <v>22</v>
      </c>
      <c r="B25" s="386" t="s">
        <v>411</v>
      </c>
      <c r="C25" s="387">
        <v>3.681</v>
      </c>
      <c r="D25" s="388">
        <v>10</v>
      </c>
      <c r="E25" s="388">
        <v>5</v>
      </c>
      <c r="F25" s="388">
        <v>1</v>
      </c>
      <c r="G25" s="388">
        <v>18</v>
      </c>
      <c r="H25" s="389">
        <v>220</v>
      </c>
      <c r="I25" s="389">
        <v>120</v>
      </c>
      <c r="J25" s="389">
        <v>615</v>
      </c>
      <c r="K25" s="390">
        <v>0.55559999999999998</v>
      </c>
      <c r="L25" s="391">
        <v>0.6</v>
      </c>
      <c r="M25" s="391">
        <v>0.2</v>
      </c>
      <c r="N25" s="392">
        <v>92.37</v>
      </c>
      <c r="O25" s="393">
        <v>1.63</v>
      </c>
      <c r="P25" s="393">
        <v>0.27</v>
      </c>
      <c r="Q25" s="394">
        <v>0.61</v>
      </c>
    </row>
    <row r="26" spans="1:17" ht="22.5" customHeight="1" x14ac:dyDescent="0.25">
      <c r="A26" s="385">
        <v>23</v>
      </c>
      <c r="B26" s="386" t="s">
        <v>359</v>
      </c>
      <c r="C26" s="387">
        <v>1.2110000000000001</v>
      </c>
      <c r="D26" s="388">
        <v>8</v>
      </c>
      <c r="E26" s="388">
        <v>4</v>
      </c>
      <c r="F26" s="388">
        <v>0</v>
      </c>
      <c r="G26" s="388">
        <v>9</v>
      </c>
      <c r="H26" s="389">
        <v>350</v>
      </c>
      <c r="I26" s="389">
        <v>0</v>
      </c>
      <c r="J26" s="389">
        <v>640</v>
      </c>
      <c r="K26" s="390">
        <v>0.88890000000000002</v>
      </c>
      <c r="L26" s="391">
        <v>0.5</v>
      </c>
      <c r="M26" s="391">
        <v>0</v>
      </c>
      <c r="N26" s="392">
        <v>289.02</v>
      </c>
      <c r="O26" s="393">
        <v>3.3</v>
      </c>
      <c r="P26" s="393">
        <v>0</v>
      </c>
      <c r="Q26" s="394">
        <v>0.61</v>
      </c>
    </row>
    <row r="27" spans="1:17" ht="22.5" customHeight="1" x14ac:dyDescent="0.25">
      <c r="A27" s="385">
        <v>24</v>
      </c>
      <c r="B27" s="386" t="s">
        <v>371</v>
      </c>
      <c r="C27" s="387">
        <v>6.5119999999999996</v>
      </c>
      <c r="D27" s="388">
        <v>20</v>
      </c>
      <c r="E27" s="388">
        <v>14</v>
      </c>
      <c r="F27" s="388">
        <v>0</v>
      </c>
      <c r="G27" s="388">
        <v>32</v>
      </c>
      <c r="H27" s="389">
        <v>655</v>
      </c>
      <c r="I27" s="389">
        <v>0</v>
      </c>
      <c r="J27" s="389">
        <v>1480</v>
      </c>
      <c r="K27" s="390">
        <v>0.625</v>
      </c>
      <c r="L27" s="391">
        <v>0.7</v>
      </c>
      <c r="M27" s="391">
        <v>0</v>
      </c>
      <c r="N27" s="392">
        <v>100.58</v>
      </c>
      <c r="O27" s="393">
        <v>2.15</v>
      </c>
      <c r="P27" s="393">
        <v>0</v>
      </c>
      <c r="Q27" s="394">
        <v>0.59</v>
      </c>
    </row>
    <row r="28" spans="1:17" ht="22.5" customHeight="1" x14ac:dyDescent="0.25">
      <c r="A28" s="385">
        <v>25</v>
      </c>
      <c r="B28" s="386" t="s">
        <v>335</v>
      </c>
      <c r="C28" s="387">
        <v>11.477</v>
      </c>
      <c r="D28" s="388">
        <v>30</v>
      </c>
      <c r="E28" s="388">
        <v>15</v>
      </c>
      <c r="F28" s="388">
        <v>4</v>
      </c>
      <c r="G28" s="388">
        <v>73</v>
      </c>
      <c r="H28" s="389">
        <v>805</v>
      </c>
      <c r="I28" s="389">
        <v>420</v>
      </c>
      <c r="J28" s="389">
        <v>1630</v>
      </c>
      <c r="K28" s="390">
        <v>0.41099999999999998</v>
      </c>
      <c r="L28" s="391">
        <v>0.63329999999999997</v>
      </c>
      <c r="M28" s="391">
        <v>0.26669999999999999</v>
      </c>
      <c r="N28" s="392">
        <v>106.74</v>
      </c>
      <c r="O28" s="393">
        <v>1.66</v>
      </c>
      <c r="P28" s="393">
        <v>0.35</v>
      </c>
      <c r="Q28" s="394">
        <v>0.59</v>
      </c>
    </row>
    <row r="29" spans="1:17" ht="22.5" customHeight="1" x14ac:dyDescent="0.25">
      <c r="A29" s="385">
        <v>26</v>
      </c>
      <c r="B29" s="386" t="s">
        <v>287</v>
      </c>
      <c r="C29" s="387">
        <v>6.0860000000000003</v>
      </c>
      <c r="D29" s="388">
        <v>9</v>
      </c>
      <c r="E29" s="388">
        <v>5</v>
      </c>
      <c r="F29" s="388">
        <v>2</v>
      </c>
      <c r="G29" s="388">
        <v>23</v>
      </c>
      <c r="H29" s="389">
        <v>410</v>
      </c>
      <c r="I29" s="389">
        <v>210</v>
      </c>
      <c r="J29" s="389">
        <v>750</v>
      </c>
      <c r="K29" s="390">
        <v>0.39129999999999998</v>
      </c>
      <c r="L29" s="391">
        <v>0.77780000000000005</v>
      </c>
      <c r="M29" s="391">
        <v>0.5</v>
      </c>
      <c r="N29" s="392">
        <v>101.87</v>
      </c>
      <c r="O29" s="393">
        <v>1.1499999999999999</v>
      </c>
      <c r="P29" s="393">
        <v>0.33</v>
      </c>
      <c r="Q29" s="394">
        <v>0.57999999999999996</v>
      </c>
    </row>
    <row r="30" spans="1:17" ht="22.5" customHeight="1" x14ac:dyDescent="0.25">
      <c r="A30" s="385">
        <v>27</v>
      </c>
      <c r="B30" s="386" t="s">
        <v>389</v>
      </c>
      <c r="C30" s="387">
        <v>7.8979999999999997</v>
      </c>
      <c r="D30" s="388">
        <v>21</v>
      </c>
      <c r="E30" s="388">
        <v>8</v>
      </c>
      <c r="F30" s="388">
        <v>4</v>
      </c>
      <c r="G30" s="388">
        <v>51</v>
      </c>
      <c r="H30" s="389">
        <v>505</v>
      </c>
      <c r="I30" s="389">
        <v>330</v>
      </c>
      <c r="J30" s="389">
        <v>1360</v>
      </c>
      <c r="K30" s="390">
        <v>0.4118</v>
      </c>
      <c r="L30" s="391">
        <v>0.57140000000000002</v>
      </c>
      <c r="M30" s="391">
        <v>0.30769999999999997</v>
      </c>
      <c r="N30" s="392">
        <v>105.72</v>
      </c>
      <c r="O30" s="393">
        <v>1.52</v>
      </c>
      <c r="P30" s="393">
        <v>0.51</v>
      </c>
      <c r="Q30" s="394">
        <v>0.56999999999999995</v>
      </c>
    </row>
    <row r="31" spans="1:17" ht="22.5" customHeight="1" x14ac:dyDescent="0.25">
      <c r="A31" s="385">
        <v>28</v>
      </c>
      <c r="B31" s="386" t="s">
        <v>301</v>
      </c>
      <c r="C31" s="387">
        <v>6.7149999999999999</v>
      </c>
      <c r="D31" s="388">
        <v>19</v>
      </c>
      <c r="E31" s="388">
        <v>8</v>
      </c>
      <c r="F31" s="388">
        <v>2</v>
      </c>
      <c r="G31" s="388">
        <v>44</v>
      </c>
      <c r="H31" s="389">
        <v>735</v>
      </c>
      <c r="I31" s="389">
        <v>1300</v>
      </c>
      <c r="J31" s="389">
        <v>2615</v>
      </c>
      <c r="K31" s="390">
        <v>0.43180000000000002</v>
      </c>
      <c r="L31" s="391">
        <v>0.52629999999999999</v>
      </c>
      <c r="M31" s="391">
        <v>0.18179999999999999</v>
      </c>
      <c r="N31" s="392">
        <v>303.05</v>
      </c>
      <c r="O31" s="393">
        <v>1.49</v>
      </c>
      <c r="P31" s="393">
        <v>0.3</v>
      </c>
      <c r="Q31" s="394">
        <v>0.56999999999999995</v>
      </c>
    </row>
    <row r="32" spans="1:17" ht="22.5" customHeight="1" x14ac:dyDescent="0.25">
      <c r="A32" s="385">
        <v>29</v>
      </c>
      <c r="B32" s="386" t="s">
        <v>360</v>
      </c>
      <c r="C32" s="387">
        <v>3.3679999999999999</v>
      </c>
      <c r="D32" s="388">
        <v>5</v>
      </c>
      <c r="E32" s="388">
        <v>2</v>
      </c>
      <c r="F32" s="388">
        <v>2</v>
      </c>
      <c r="G32" s="388">
        <v>14</v>
      </c>
      <c r="H32" s="389">
        <v>60</v>
      </c>
      <c r="I32" s="389">
        <v>180</v>
      </c>
      <c r="J32" s="389">
        <v>290</v>
      </c>
      <c r="K32" s="390">
        <v>0.35709999999999997</v>
      </c>
      <c r="L32" s="391">
        <v>0.8</v>
      </c>
      <c r="M32" s="391">
        <v>0.66669999999999996</v>
      </c>
      <c r="N32" s="392">
        <v>71.260000000000005</v>
      </c>
      <c r="O32" s="393">
        <v>1.19</v>
      </c>
      <c r="P32" s="393">
        <v>0.59</v>
      </c>
      <c r="Q32" s="394">
        <v>0.56999999999999995</v>
      </c>
    </row>
    <row r="33" spans="1:17" ht="22.5" customHeight="1" x14ac:dyDescent="0.25">
      <c r="A33" s="385">
        <v>30</v>
      </c>
      <c r="B33" s="386" t="s">
        <v>326</v>
      </c>
      <c r="C33" s="387">
        <v>6.4249999999999998</v>
      </c>
      <c r="D33" s="388">
        <v>10</v>
      </c>
      <c r="E33" s="388">
        <v>6</v>
      </c>
      <c r="F33" s="388">
        <v>1</v>
      </c>
      <c r="G33" s="388">
        <v>19</v>
      </c>
      <c r="H33" s="389">
        <v>460</v>
      </c>
      <c r="I33" s="389">
        <v>60</v>
      </c>
      <c r="J33" s="389">
        <v>620</v>
      </c>
      <c r="K33" s="390">
        <v>0.52629999999999999</v>
      </c>
      <c r="L33" s="391">
        <v>0.7</v>
      </c>
      <c r="M33" s="391">
        <v>0.25</v>
      </c>
      <c r="N33" s="392">
        <v>80.930000000000007</v>
      </c>
      <c r="O33" s="393">
        <v>1.0900000000000001</v>
      </c>
      <c r="P33" s="393">
        <v>0.16</v>
      </c>
      <c r="Q33" s="394">
        <v>0.56000000000000005</v>
      </c>
    </row>
    <row r="34" spans="1:17" ht="22.5" customHeight="1" x14ac:dyDescent="0.25">
      <c r="A34" s="385">
        <v>31</v>
      </c>
      <c r="B34" s="386" t="s">
        <v>398</v>
      </c>
      <c r="C34" s="387">
        <v>5.9130000000000003</v>
      </c>
      <c r="D34" s="388">
        <v>19</v>
      </c>
      <c r="E34" s="388">
        <v>9</v>
      </c>
      <c r="F34" s="388">
        <v>1</v>
      </c>
      <c r="G34" s="388">
        <v>35</v>
      </c>
      <c r="H34" s="389">
        <v>450</v>
      </c>
      <c r="I34" s="389">
        <v>60</v>
      </c>
      <c r="J34" s="389">
        <v>1050</v>
      </c>
      <c r="K34" s="390">
        <v>0.54290000000000005</v>
      </c>
      <c r="L34" s="391">
        <v>0.52629999999999999</v>
      </c>
      <c r="M34" s="391">
        <v>0.1</v>
      </c>
      <c r="N34" s="392">
        <v>86.25</v>
      </c>
      <c r="O34" s="393">
        <v>1.69</v>
      </c>
      <c r="P34" s="393">
        <v>0.17</v>
      </c>
      <c r="Q34" s="394">
        <v>0.55000000000000004</v>
      </c>
    </row>
    <row r="35" spans="1:17" ht="22.5" customHeight="1" x14ac:dyDescent="0.25">
      <c r="A35" s="385">
        <v>32</v>
      </c>
      <c r="B35" s="386" t="s">
        <v>325</v>
      </c>
      <c r="C35" s="387">
        <v>6.3440000000000003</v>
      </c>
      <c r="D35" s="388">
        <v>20</v>
      </c>
      <c r="E35" s="388">
        <v>14</v>
      </c>
      <c r="F35" s="388">
        <v>0</v>
      </c>
      <c r="G35" s="388">
        <v>41</v>
      </c>
      <c r="H35" s="389">
        <v>715</v>
      </c>
      <c r="I35" s="389">
        <v>0</v>
      </c>
      <c r="J35" s="389">
        <v>1125</v>
      </c>
      <c r="K35" s="390">
        <v>0.48780000000000001</v>
      </c>
      <c r="L35" s="391">
        <v>0.7</v>
      </c>
      <c r="M35" s="391">
        <v>0</v>
      </c>
      <c r="N35" s="392">
        <v>112.7</v>
      </c>
      <c r="O35" s="393">
        <v>2.21</v>
      </c>
      <c r="P35" s="393">
        <v>0</v>
      </c>
      <c r="Q35" s="394">
        <v>0.54</v>
      </c>
    </row>
    <row r="36" spans="1:17" ht="22.5" customHeight="1" x14ac:dyDescent="0.25">
      <c r="A36" s="385">
        <v>33</v>
      </c>
      <c r="B36" s="386" t="s">
        <v>362</v>
      </c>
      <c r="C36" s="387">
        <v>6.0750000000000002</v>
      </c>
      <c r="D36" s="388">
        <v>20</v>
      </c>
      <c r="E36" s="388">
        <v>10</v>
      </c>
      <c r="F36" s="388">
        <v>1</v>
      </c>
      <c r="G36" s="388">
        <v>48</v>
      </c>
      <c r="H36" s="389">
        <v>685</v>
      </c>
      <c r="I36" s="389">
        <v>300</v>
      </c>
      <c r="J36" s="389">
        <v>1305</v>
      </c>
      <c r="K36" s="390">
        <v>0.41670000000000001</v>
      </c>
      <c r="L36" s="391">
        <v>0.55000000000000004</v>
      </c>
      <c r="M36" s="391">
        <v>0.1</v>
      </c>
      <c r="N36" s="392">
        <v>162.13999999999999</v>
      </c>
      <c r="O36" s="393">
        <v>1.81</v>
      </c>
      <c r="P36" s="393">
        <v>0.16</v>
      </c>
      <c r="Q36" s="394">
        <v>0.54</v>
      </c>
    </row>
    <row r="37" spans="1:17" ht="22.5" customHeight="1" x14ac:dyDescent="0.25">
      <c r="A37" s="385">
        <v>34</v>
      </c>
      <c r="B37" s="386" t="s">
        <v>357</v>
      </c>
      <c r="C37" s="387">
        <v>2.9420000000000002</v>
      </c>
      <c r="D37" s="388">
        <v>6</v>
      </c>
      <c r="E37" s="388">
        <v>3</v>
      </c>
      <c r="F37" s="388">
        <v>1</v>
      </c>
      <c r="G37" s="388">
        <v>13</v>
      </c>
      <c r="H37" s="389">
        <v>105</v>
      </c>
      <c r="I37" s="389">
        <v>24</v>
      </c>
      <c r="J37" s="389">
        <v>209</v>
      </c>
      <c r="K37" s="390">
        <v>0.46150000000000002</v>
      </c>
      <c r="L37" s="391">
        <v>0.66669999999999996</v>
      </c>
      <c r="M37" s="391">
        <v>0.33329999999999999</v>
      </c>
      <c r="N37" s="392">
        <v>43.85</v>
      </c>
      <c r="O37" s="393">
        <v>1.36</v>
      </c>
      <c r="P37" s="393">
        <v>0.34</v>
      </c>
      <c r="Q37" s="394">
        <v>0.54</v>
      </c>
    </row>
    <row r="38" spans="1:17" ht="22.5" customHeight="1" x14ac:dyDescent="0.25">
      <c r="A38" s="385">
        <v>35</v>
      </c>
      <c r="B38" s="386" t="s">
        <v>314</v>
      </c>
      <c r="C38" s="387">
        <v>3.9249999999999998</v>
      </c>
      <c r="D38" s="388">
        <v>5</v>
      </c>
      <c r="E38" s="388">
        <v>3</v>
      </c>
      <c r="F38" s="388">
        <v>1</v>
      </c>
      <c r="G38" s="388">
        <v>16</v>
      </c>
      <c r="H38" s="389">
        <v>75</v>
      </c>
      <c r="I38" s="389">
        <v>300</v>
      </c>
      <c r="J38" s="389">
        <v>400</v>
      </c>
      <c r="K38" s="390">
        <v>0.3125</v>
      </c>
      <c r="L38" s="391">
        <v>0.8</v>
      </c>
      <c r="M38" s="391">
        <v>0.5</v>
      </c>
      <c r="N38" s="392">
        <v>95.54</v>
      </c>
      <c r="O38" s="393">
        <v>1.02</v>
      </c>
      <c r="P38" s="393">
        <v>0.25</v>
      </c>
      <c r="Q38" s="394">
        <v>0.53</v>
      </c>
    </row>
    <row r="39" spans="1:17" ht="22.5" customHeight="1" x14ac:dyDescent="0.25">
      <c r="A39" s="385">
        <v>36</v>
      </c>
      <c r="B39" s="386" t="s">
        <v>373</v>
      </c>
      <c r="C39" s="387">
        <v>6.7779999999999996</v>
      </c>
      <c r="D39" s="388">
        <v>10</v>
      </c>
      <c r="E39" s="388">
        <v>5</v>
      </c>
      <c r="F39" s="388">
        <v>2</v>
      </c>
      <c r="G39" s="388">
        <v>23</v>
      </c>
      <c r="H39" s="389">
        <v>250</v>
      </c>
      <c r="I39" s="389">
        <v>180</v>
      </c>
      <c r="J39" s="389">
        <v>805</v>
      </c>
      <c r="K39" s="390">
        <v>0.43480000000000002</v>
      </c>
      <c r="L39" s="391">
        <v>0.7</v>
      </c>
      <c r="M39" s="391">
        <v>0.4</v>
      </c>
      <c r="N39" s="392">
        <v>63.44</v>
      </c>
      <c r="O39" s="393">
        <v>1.03</v>
      </c>
      <c r="P39" s="393">
        <v>0.3</v>
      </c>
      <c r="Q39" s="394">
        <v>0.53</v>
      </c>
    </row>
    <row r="40" spans="1:17" ht="22.5" customHeight="1" x14ac:dyDescent="0.25">
      <c r="A40" s="385">
        <v>37</v>
      </c>
      <c r="B40" s="386" t="s">
        <v>393</v>
      </c>
      <c r="C40" s="387">
        <v>7.4080000000000004</v>
      </c>
      <c r="D40" s="388">
        <v>16</v>
      </c>
      <c r="E40" s="388">
        <v>8</v>
      </c>
      <c r="F40" s="388">
        <v>2</v>
      </c>
      <c r="G40" s="388">
        <v>32</v>
      </c>
      <c r="H40" s="389">
        <v>195</v>
      </c>
      <c r="I40" s="389">
        <v>300</v>
      </c>
      <c r="J40" s="389">
        <v>685</v>
      </c>
      <c r="K40" s="390">
        <v>0.5</v>
      </c>
      <c r="L40" s="391">
        <v>0.625</v>
      </c>
      <c r="M40" s="391">
        <v>0.25</v>
      </c>
      <c r="N40" s="392">
        <v>66.819999999999993</v>
      </c>
      <c r="O40" s="393">
        <v>1.35</v>
      </c>
      <c r="P40" s="393">
        <v>0.27</v>
      </c>
      <c r="Q40" s="394">
        <v>0.53</v>
      </c>
    </row>
    <row r="41" spans="1:17" ht="22.5" customHeight="1" x14ac:dyDescent="0.25">
      <c r="A41" s="385">
        <v>38</v>
      </c>
      <c r="B41" s="386" t="s">
        <v>333</v>
      </c>
      <c r="C41" s="387">
        <v>8.1940000000000008</v>
      </c>
      <c r="D41" s="388">
        <v>14</v>
      </c>
      <c r="E41" s="388">
        <v>6</v>
      </c>
      <c r="F41" s="388">
        <v>3</v>
      </c>
      <c r="G41" s="388">
        <v>34</v>
      </c>
      <c r="H41" s="389">
        <v>355</v>
      </c>
      <c r="I41" s="389">
        <v>300</v>
      </c>
      <c r="J41" s="389">
        <v>850</v>
      </c>
      <c r="K41" s="390">
        <v>0.4118</v>
      </c>
      <c r="L41" s="391">
        <v>0.64290000000000003</v>
      </c>
      <c r="M41" s="391">
        <v>0.375</v>
      </c>
      <c r="N41" s="392">
        <v>79.94</v>
      </c>
      <c r="O41" s="393">
        <v>1.1000000000000001</v>
      </c>
      <c r="P41" s="393">
        <v>0.37</v>
      </c>
      <c r="Q41" s="394">
        <v>0.52</v>
      </c>
    </row>
    <row r="42" spans="1:17" ht="22.5" customHeight="1" x14ac:dyDescent="0.25">
      <c r="A42" s="385">
        <v>39</v>
      </c>
      <c r="B42" s="386" t="s">
        <v>417</v>
      </c>
      <c r="C42" s="387">
        <v>5.9669999999999996</v>
      </c>
      <c r="D42" s="388">
        <v>18</v>
      </c>
      <c r="E42" s="388">
        <v>9</v>
      </c>
      <c r="F42" s="388">
        <v>1</v>
      </c>
      <c r="G42" s="388">
        <v>40</v>
      </c>
      <c r="H42" s="389">
        <v>380</v>
      </c>
      <c r="I42" s="389">
        <v>120</v>
      </c>
      <c r="J42" s="389">
        <v>930</v>
      </c>
      <c r="K42" s="390">
        <v>0.45</v>
      </c>
      <c r="L42" s="391">
        <v>0.55559999999999998</v>
      </c>
      <c r="M42" s="391">
        <v>0.1111</v>
      </c>
      <c r="N42" s="392">
        <v>83.79</v>
      </c>
      <c r="O42" s="393">
        <v>1.68</v>
      </c>
      <c r="P42" s="393">
        <v>0.17</v>
      </c>
      <c r="Q42" s="394">
        <v>0.51</v>
      </c>
    </row>
    <row r="43" spans="1:17" ht="22.5" customHeight="1" x14ac:dyDescent="0.25">
      <c r="A43" s="385">
        <v>40</v>
      </c>
      <c r="B43" s="386" t="s">
        <v>302</v>
      </c>
      <c r="C43" s="387">
        <v>7.1440000000000001</v>
      </c>
      <c r="D43" s="388">
        <v>23</v>
      </c>
      <c r="E43" s="388">
        <v>9</v>
      </c>
      <c r="F43" s="388">
        <v>1</v>
      </c>
      <c r="G43" s="388">
        <v>40</v>
      </c>
      <c r="H43" s="389">
        <v>525</v>
      </c>
      <c r="I43" s="389">
        <v>60</v>
      </c>
      <c r="J43" s="389">
        <v>1355</v>
      </c>
      <c r="K43" s="390">
        <v>0.57499999999999996</v>
      </c>
      <c r="L43" s="391">
        <v>0.43480000000000002</v>
      </c>
      <c r="M43" s="391">
        <v>7.1400000000000005E-2</v>
      </c>
      <c r="N43" s="392">
        <v>81.89</v>
      </c>
      <c r="O43" s="393">
        <v>1.4</v>
      </c>
      <c r="P43" s="393">
        <v>0.14000000000000001</v>
      </c>
      <c r="Q43" s="394">
        <v>0.5</v>
      </c>
    </row>
    <row r="44" spans="1:17" ht="22.5" customHeight="1" x14ac:dyDescent="0.25">
      <c r="A44" s="385">
        <v>41</v>
      </c>
      <c r="B44" s="386" t="s">
        <v>283</v>
      </c>
      <c r="C44" s="387">
        <v>6.3239999999999998</v>
      </c>
      <c r="D44" s="388">
        <v>11</v>
      </c>
      <c r="E44" s="388">
        <v>10</v>
      </c>
      <c r="F44" s="388">
        <v>0</v>
      </c>
      <c r="G44" s="388">
        <v>25</v>
      </c>
      <c r="H44" s="389">
        <v>585</v>
      </c>
      <c r="I44" s="389">
        <v>0</v>
      </c>
      <c r="J44" s="389">
        <v>610</v>
      </c>
      <c r="K44" s="390">
        <v>0.44</v>
      </c>
      <c r="L44" s="391">
        <v>0.90910000000000002</v>
      </c>
      <c r="M44" s="391">
        <v>0</v>
      </c>
      <c r="N44" s="392">
        <v>92.5</v>
      </c>
      <c r="O44" s="393">
        <v>1.58</v>
      </c>
      <c r="P44" s="393">
        <v>0</v>
      </c>
      <c r="Q44" s="394">
        <v>0.5</v>
      </c>
    </row>
    <row r="45" spans="1:17" ht="22.5" customHeight="1" x14ac:dyDescent="0.25">
      <c r="A45" s="385">
        <v>42</v>
      </c>
      <c r="B45" s="386" t="s">
        <v>271</v>
      </c>
      <c r="C45" s="387">
        <v>6.1959999999999997</v>
      </c>
      <c r="D45" s="388">
        <v>16</v>
      </c>
      <c r="E45" s="388">
        <v>8</v>
      </c>
      <c r="F45" s="388">
        <v>1</v>
      </c>
      <c r="G45" s="388">
        <v>30</v>
      </c>
      <c r="H45" s="389">
        <v>190</v>
      </c>
      <c r="I45" s="389">
        <v>120</v>
      </c>
      <c r="J45" s="389">
        <v>715</v>
      </c>
      <c r="K45" s="390">
        <v>0.5333</v>
      </c>
      <c r="L45" s="391">
        <v>0.5625</v>
      </c>
      <c r="M45" s="391">
        <v>0.125</v>
      </c>
      <c r="N45" s="392">
        <v>50.03</v>
      </c>
      <c r="O45" s="393">
        <v>1.45</v>
      </c>
      <c r="P45" s="393">
        <v>0.16</v>
      </c>
      <c r="Q45" s="394">
        <v>0.49</v>
      </c>
    </row>
    <row r="46" spans="1:17" ht="22.5" customHeight="1" x14ac:dyDescent="0.25">
      <c r="A46" s="385">
        <v>43</v>
      </c>
      <c r="B46" s="386" t="s">
        <v>365</v>
      </c>
      <c r="C46" s="387">
        <v>4.7560000000000002</v>
      </c>
      <c r="D46" s="388">
        <v>12</v>
      </c>
      <c r="E46" s="388">
        <v>6</v>
      </c>
      <c r="F46" s="388">
        <v>1</v>
      </c>
      <c r="G46" s="388">
        <v>27</v>
      </c>
      <c r="H46" s="389">
        <v>205</v>
      </c>
      <c r="I46" s="389">
        <v>120</v>
      </c>
      <c r="J46" s="389">
        <v>595</v>
      </c>
      <c r="K46" s="390">
        <v>0.44440000000000002</v>
      </c>
      <c r="L46" s="391">
        <v>0.58330000000000004</v>
      </c>
      <c r="M46" s="391">
        <v>0.16669999999999999</v>
      </c>
      <c r="N46" s="392">
        <v>68.33</v>
      </c>
      <c r="O46" s="393">
        <v>1.47</v>
      </c>
      <c r="P46" s="393">
        <v>0.21</v>
      </c>
      <c r="Q46" s="394">
        <v>0.49</v>
      </c>
    </row>
    <row r="47" spans="1:17" ht="22.5" customHeight="1" x14ac:dyDescent="0.25">
      <c r="A47" s="385">
        <v>44</v>
      </c>
      <c r="B47" s="386" t="s">
        <v>397</v>
      </c>
      <c r="C47" s="387">
        <v>5.4649999999999999</v>
      </c>
      <c r="D47" s="388">
        <v>3</v>
      </c>
      <c r="E47" s="388">
        <v>1</v>
      </c>
      <c r="F47" s="388">
        <v>2</v>
      </c>
      <c r="G47" s="388">
        <v>10</v>
      </c>
      <c r="H47" s="389">
        <v>40</v>
      </c>
      <c r="I47" s="389">
        <v>120</v>
      </c>
      <c r="J47" s="389">
        <v>160</v>
      </c>
      <c r="K47" s="390">
        <v>0.3</v>
      </c>
      <c r="L47" s="391">
        <v>1</v>
      </c>
      <c r="M47" s="391">
        <v>1</v>
      </c>
      <c r="N47" s="392">
        <v>29.28</v>
      </c>
      <c r="O47" s="393">
        <v>0.55000000000000004</v>
      </c>
      <c r="P47" s="393">
        <v>0.37</v>
      </c>
      <c r="Q47" s="394">
        <v>0.48</v>
      </c>
    </row>
    <row r="48" spans="1:17" ht="22.5" customHeight="1" x14ac:dyDescent="0.25">
      <c r="A48" s="385">
        <v>45</v>
      </c>
      <c r="B48" s="386" t="s">
        <v>317</v>
      </c>
      <c r="C48" s="387">
        <v>12.647</v>
      </c>
      <c r="D48" s="388">
        <v>28</v>
      </c>
      <c r="E48" s="388">
        <v>14</v>
      </c>
      <c r="F48" s="388">
        <v>3</v>
      </c>
      <c r="G48" s="388">
        <v>70</v>
      </c>
      <c r="H48" s="389">
        <v>880</v>
      </c>
      <c r="I48" s="389">
        <v>300</v>
      </c>
      <c r="J48" s="389">
        <v>1890</v>
      </c>
      <c r="K48" s="390">
        <v>0.4</v>
      </c>
      <c r="L48" s="391">
        <v>0.60709999999999997</v>
      </c>
      <c r="M48" s="391">
        <v>0.21429999999999999</v>
      </c>
      <c r="N48" s="392">
        <v>93.3</v>
      </c>
      <c r="O48" s="393">
        <v>1.34</v>
      </c>
      <c r="P48" s="393">
        <v>0.24</v>
      </c>
      <c r="Q48" s="394">
        <v>0.48</v>
      </c>
    </row>
    <row r="49" spans="1:17" ht="22.5" customHeight="1" x14ac:dyDescent="0.25">
      <c r="A49" s="385">
        <v>46</v>
      </c>
      <c r="B49" s="386" t="s">
        <v>402</v>
      </c>
      <c r="C49" s="387">
        <v>6.2919999999999998</v>
      </c>
      <c r="D49" s="388">
        <v>15</v>
      </c>
      <c r="E49" s="388">
        <v>8</v>
      </c>
      <c r="F49" s="388">
        <v>1</v>
      </c>
      <c r="G49" s="388">
        <v>33</v>
      </c>
      <c r="H49" s="389">
        <v>285</v>
      </c>
      <c r="I49" s="389">
        <v>120</v>
      </c>
      <c r="J49" s="389">
        <v>645</v>
      </c>
      <c r="K49" s="390">
        <v>0.45450000000000002</v>
      </c>
      <c r="L49" s="391">
        <v>0.6</v>
      </c>
      <c r="M49" s="391">
        <v>0.1429</v>
      </c>
      <c r="N49" s="392">
        <v>64.37</v>
      </c>
      <c r="O49" s="393">
        <v>1.43</v>
      </c>
      <c r="P49" s="393">
        <v>0.16</v>
      </c>
      <c r="Q49" s="394">
        <v>0.47</v>
      </c>
    </row>
    <row r="50" spans="1:17" ht="22.5" customHeight="1" x14ac:dyDescent="0.25">
      <c r="A50" s="385">
        <v>47</v>
      </c>
      <c r="B50" s="386" t="s">
        <v>356</v>
      </c>
      <c r="C50" s="387">
        <v>7.3040000000000003</v>
      </c>
      <c r="D50" s="388">
        <v>11</v>
      </c>
      <c r="E50" s="388">
        <v>5</v>
      </c>
      <c r="F50" s="388">
        <v>2</v>
      </c>
      <c r="G50" s="388">
        <v>36</v>
      </c>
      <c r="H50" s="389">
        <v>165</v>
      </c>
      <c r="I50" s="389">
        <v>660</v>
      </c>
      <c r="J50" s="389">
        <v>920</v>
      </c>
      <c r="K50" s="390">
        <v>0.30559999999999998</v>
      </c>
      <c r="L50" s="391">
        <v>0.63639999999999997</v>
      </c>
      <c r="M50" s="391">
        <v>0.33329999999999999</v>
      </c>
      <c r="N50" s="392">
        <v>112.95</v>
      </c>
      <c r="O50" s="393">
        <v>0.96</v>
      </c>
      <c r="P50" s="393">
        <v>0.27</v>
      </c>
      <c r="Q50" s="394">
        <v>0.47</v>
      </c>
    </row>
    <row r="51" spans="1:17" ht="22.5" customHeight="1" x14ac:dyDescent="0.25">
      <c r="A51" s="385">
        <v>48</v>
      </c>
      <c r="B51" s="386" t="s">
        <v>379</v>
      </c>
      <c r="C51" s="387">
        <v>2.698</v>
      </c>
      <c r="D51" s="388">
        <v>6</v>
      </c>
      <c r="E51" s="388">
        <v>4</v>
      </c>
      <c r="F51" s="388">
        <v>0</v>
      </c>
      <c r="G51" s="388">
        <v>12</v>
      </c>
      <c r="H51" s="389">
        <v>265</v>
      </c>
      <c r="I51" s="389">
        <v>0</v>
      </c>
      <c r="J51" s="389">
        <v>330</v>
      </c>
      <c r="K51" s="390">
        <v>0.5</v>
      </c>
      <c r="L51" s="391">
        <v>0.66669999999999996</v>
      </c>
      <c r="M51" s="391">
        <v>0</v>
      </c>
      <c r="N51" s="392">
        <v>98.22</v>
      </c>
      <c r="O51" s="393">
        <v>1.48</v>
      </c>
      <c r="P51" s="393">
        <v>0</v>
      </c>
      <c r="Q51" s="394">
        <v>0.46</v>
      </c>
    </row>
    <row r="52" spans="1:17" ht="22.5" customHeight="1" x14ac:dyDescent="0.25">
      <c r="A52" s="385">
        <v>49</v>
      </c>
      <c r="B52" s="386" t="s">
        <v>355</v>
      </c>
      <c r="C52" s="387">
        <v>1.8420000000000001</v>
      </c>
      <c r="D52" s="388">
        <v>8</v>
      </c>
      <c r="E52" s="388">
        <v>4</v>
      </c>
      <c r="F52" s="388">
        <v>0</v>
      </c>
      <c r="G52" s="388">
        <v>10</v>
      </c>
      <c r="H52" s="389">
        <v>90</v>
      </c>
      <c r="I52" s="389">
        <v>0</v>
      </c>
      <c r="J52" s="389">
        <v>380</v>
      </c>
      <c r="K52" s="390">
        <v>0.8</v>
      </c>
      <c r="L52" s="391">
        <v>0.5</v>
      </c>
      <c r="M52" s="391">
        <v>0</v>
      </c>
      <c r="N52" s="392">
        <v>48.86</v>
      </c>
      <c r="O52" s="393">
        <v>2.17</v>
      </c>
      <c r="P52" s="393">
        <v>0</v>
      </c>
      <c r="Q52" s="394">
        <v>0.46</v>
      </c>
    </row>
    <row r="53" spans="1:17" ht="22.5" customHeight="1" x14ac:dyDescent="0.25">
      <c r="A53" s="385">
        <v>50</v>
      </c>
      <c r="B53" s="386" t="s">
        <v>282</v>
      </c>
      <c r="C53" s="387">
        <v>1.879</v>
      </c>
      <c r="D53" s="388">
        <v>7</v>
      </c>
      <c r="E53" s="388">
        <v>1</v>
      </c>
      <c r="F53" s="388">
        <v>1</v>
      </c>
      <c r="G53" s="388">
        <v>14</v>
      </c>
      <c r="H53" s="389">
        <v>10</v>
      </c>
      <c r="I53" s="389">
        <v>120</v>
      </c>
      <c r="J53" s="389">
        <v>335</v>
      </c>
      <c r="K53" s="390">
        <v>0.5</v>
      </c>
      <c r="L53" s="391">
        <v>0.28570000000000001</v>
      </c>
      <c r="M53" s="391">
        <v>0.16669999999999999</v>
      </c>
      <c r="N53" s="392">
        <v>69.19</v>
      </c>
      <c r="O53" s="393">
        <v>1.06</v>
      </c>
      <c r="P53" s="393">
        <v>0.53</v>
      </c>
      <c r="Q53" s="394">
        <v>0.44</v>
      </c>
    </row>
    <row r="54" spans="1:17" ht="22.5" customHeight="1" x14ac:dyDescent="0.25">
      <c r="A54" s="385">
        <v>51</v>
      </c>
      <c r="B54" s="386" t="s">
        <v>435</v>
      </c>
      <c r="C54" s="387">
        <v>6.2089999999999996</v>
      </c>
      <c r="D54" s="388">
        <v>14</v>
      </c>
      <c r="E54" s="388">
        <v>8</v>
      </c>
      <c r="F54" s="388">
        <v>0</v>
      </c>
      <c r="G54" s="388">
        <v>29</v>
      </c>
      <c r="H54" s="389">
        <v>995</v>
      </c>
      <c r="I54" s="389">
        <v>0</v>
      </c>
      <c r="J54" s="389">
        <v>1230</v>
      </c>
      <c r="K54" s="390">
        <v>0.48280000000000001</v>
      </c>
      <c r="L54" s="391">
        <v>0.57140000000000002</v>
      </c>
      <c r="M54" s="391">
        <v>0</v>
      </c>
      <c r="N54" s="392">
        <v>160.25</v>
      </c>
      <c r="O54" s="393">
        <v>1.29</v>
      </c>
      <c r="P54" s="393">
        <v>0</v>
      </c>
      <c r="Q54" s="394">
        <v>0.42</v>
      </c>
    </row>
    <row r="55" spans="1:17" ht="22.5" customHeight="1" x14ac:dyDescent="0.25">
      <c r="A55" s="385">
        <v>52</v>
      </c>
      <c r="B55" s="386" t="s">
        <v>337</v>
      </c>
      <c r="C55" s="387">
        <v>6.6260000000000003</v>
      </c>
      <c r="D55" s="388">
        <v>12</v>
      </c>
      <c r="E55" s="388">
        <v>8</v>
      </c>
      <c r="F55" s="388">
        <v>0</v>
      </c>
      <c r="G55" s="388">
        <v>28</v>
      </c>
      <c r="H55" s="389">
        <v>805</v>
      </c>
      <c r="I55" s="389">
        <v>0</v>
      </c>
      <c r="J55" s="389">
        <v>1030</v>
      </c>
      <c r="K55" s="390">
        <v>0.42859999999999998</v>
      </c>
      <c r="L55" s="391">
        <v>0.66669999999999996</v>
      </c>
      <c r="M55" s="391">
        <v>0</v>
      </c>
      <c r="N55" s="392">
        <v>121.49</v>
      </c>
      <c r="O55" s="393">
        <v>1.21</v>
      </c>
      <c r="P55" s="393">
        <v>0</v>
      </c>
      <c r="Q55" s="394">
        <v>0.41</v>
      </c>
    </row>
    <row r="56" spans="1:17" ht="22.5" customHeight="1" x14ac:dyDescent="0.25">
      <c r="A56" s="385">
        <v>53</v>
      </c>
      <c r="B56" s="386" t="s">
        <v>311</v>
      </c>
      <c r="C56" s="387">
        <v>6.3040000000000003</v>
      </c>
      <c r="D56" s="388">
        <v>8</v>
      </c>
      <c r="E56" s="388">
        <v>5</v>
      </c>
      <c r="F56" s="388">
        <v>1</v>
      </c>
      <c r="G56" s="388">
        <v>27</v>
      </c>
      <c r="H56" s="389">
        <v>160</v>
      </c>
      <c r="I56" s="389">
        <v>120</v>
      </c>
      <c r="J56" s="389">
        <v>400</v>
      </c>
      <c r="K56" s="390">
        <v>0.29630000000000001</v>
      </c>
      <c r="L56" s="391">
        <v>0.75</v>
      </c>
      <c r="M56" s="391">
        <v>0.33329999999999999</v>
      </c>
      <c r="N56" s="392">
        <v>44.42</v>
      </c>
      <c r="O56" s="393">
        <v>0.95</v>
      </c>
      <c r="P56" s="393">
        <v>0.16</v>
      </c>
      <c r="Q56" s="394">
        <v>0.4</v>
      </c>
    </row>
    <row r="57" spans="1:17" ht="22.5" customHeight="1" x14ac:dyDescent="0.25">
      <c r="A57" s="385">
        <v>54</v>
      </c>
      <c r="B57" s="386" t="s">
        <v>280</v>
      </c>
      <c r="C57" s="387">
        <v>7.4640000000000004</v>
      </c>
      <c r="D57" s="388">
        <v>13</v>
      </c>
      <c r="E57" s="388">
        <v>5</v>
      </c>
      <c r="F57" s="388">
        <v>1</v>
      </c>
      <c r="G57" s="388">
        <v>32</v>
      </c>
      <c r="H57" s="389">
        <v>410</v>
      </c>
      <c r="I57" s="389">
        <v>600</v>
      </c>
      <c r="J57" s="389">
        <v>1570</v>
      </c>
      <c r="K57" s="390">
        <v>0.40620000000000001</v>
      </c>
      <c r="L57" s="391">
        <v>0.46150000000000002</v>
      </c>
      <c r="M57" s="391">
        <v>0.125</v>
      </c>
      <c r="N57" s="392">
        <v>135.32</v>
      </c>
      <c r="O57" s="393">
        <v>0.8</v>
      </c>
      <c r="P57" s="393">
        <v>0.13</v>
      </c>
      <c r="Q57" s="394">
        <v>0.38</v>
      </c>
    </row>
    <row r="58" spans="1:17" ht="22.5" customHeight="1" x14ac:dyDescent="0.25">
      <c r="A58" s="385">
        <v>55</v>
      </c>
      <c r="B58" s="386" t="s">
        <v>276</v>
      </c>
      <c r="C58" s="387">
        <v>5.7530000000000001</v>
      </c>
      <c r="D58" s="388">
        <v>8</v>
      </c>
      <c r="E58" s="388">
        <v>7</v>
      </c>
      <c r="F58" s="388">
        <v>0</v>
      </c>
      <c r="G58" s="388">
        <v>23</v>
      </c>
      <c r="H58" s="389">
        <v>450</v>
      </c>
      <c r="I58" s="389">
        <v>0</v>
      </c>
      <c r="J58" s="389">
        <v>475</v>
      </c>
      <c r="K58" s="390">
        <v>0.3478</v>
      </c>
      <c r="L58" s="391">
        <v>0.875</v>
      </c>
      <c r="M58" s="391">
        <v>0</v>
      </c>
      <c r="N58" s="392">
        <v>78.22</v>
      </c>
      <c r="O58" s="393">
        <v>1.22</v>
      </c>
      <c r="P58" s="393">
        <v>0</v>
      </c>
      <c r="Q58" s="394">
        <v>0.38</v>
      </c>
    </row>
    <row r="59" spans="1:17" ht="22.5" customHeight="1" x14ac:dyDescent="0.25">
      <c r="A59" s="385">
        <v>56</v>
      </c>
      <c r="B59" s="386" t="s">
        <v>367</v>
      </c>
      <c r="C59" s="387">
        <v>8.8829999999999991</v>
      </c>
      <c r="D59" s="388">
        <v>10</v>
      </c>
      <c r="E59" s="388">
        <v>6</v>
      </c>
      <c r="F59" s="388">
        <v>1</v>
      </c>
      <c r="G59" s="388">
        <v>26</v>
      </c>
      <c r="H59" s="389">
        <v>130</v>
      </c>
      <c r="I59" s="389">
        <v>120</v>
      </c>
      <c r="J59" s="389">
        <v>295</v>
      </c>
      <c r="K59" s="390">
        <v>0.3846</v>
      </c>
      <c r="L59" s="391">
        <v>0.7</v>
      </c>
      <c r="M59" s="391">
        <v>0.25</v>
      </c>
      <c r="N59" s="392">
        <v>28.14</v>
      </c>
      <c r="O59" s="393">
        <v>0.79</v>
      </c>
      <c r="P59" s="393">
        <v>0.11</v>
      </c>
      <c r="Q59" s="394">
        <v>0.37</v>
      </c>
    </row>
    <row r="60" spans="1:17" ht="22.5" customHeight="1" x14ac:dyDescent="0.25">
      <c r="A60" s="385">
        <v>57</v>
      </c>
      <c r="B60" s="386" t="s">
        <v>354</v>
      </c>
      <c r="C60" s="387">
        <v>5.0289999999999999</v>
      </c>
      <c r="D60" s="388">
        <v>16</v>
      </c>
      <c r="E60" s="388">
        <v>3</v>
      </c>
      <c r="F60" s="388">
        <v>1</v>
      </c>
      <c r="G60" s="388">
        <v>30</v>
      </c>
      <c r="H60" s="389">
        <v>175</v>
      </c>
      <c r="I60" s="389">
        <v>120</v>
      </c>
      <c r="J60" s="389">
        <v>880</v>
      </c>
      <c r="K60" s="390">
        <v>0.5333</v>
      </c>
      <c r="L60" s="391">
        <v>0.25</v>
      </c>
      <c r="M60" s="391">
        <v>7.6899999999999996E-2</v>
      </c>
      <c r="N60" s="392">
        <v>58.66</v>
      </c>
      <c r="O60" s="393">
        <v>0.8</v>
      </c>
      <c r="P60" s="393">
        <v>0.2</v>
      </c>
      <c r="Q60" s="394">
        <v>0.37</v>
      </c>
    </row>
    <row r="61" spans="1:17" ht="22.5" customHeight="1" x14ac:dyDescent="0.25">
      <c r="A61" s="385">
        <v>58</v>
      </c>
      <c r="B61" s="386" t="s">
        <v>432</v>
      </c>
      <c r="C61" s="387">
        <v>7.8410000000000002</v>
      </c>
      <c r="D61" s="388">
        <v>8</v>
      </c>
      <c r="E61" s="388">
        <v>8</v>
      </c>
      <c r="F61" s="388">
        <v>0</v>
      </c>
      <c r="G61" s="388">
        <v>19</v>
      </c>
      <c r="H61" s="389">
        <v>315</v>
      </c>
      <c r="I61" s="389">
        <v>0</v>
      </c>
      <c r="J61" s="389">
        <v>315</v>
      </c>
      <c r="K61" s="390">
        <v>0.42109999999999997</v>
      </c>
      <c r="L61" s="391">
        <v>1</v>
      </c>
      <c r="M61" s="391">
        <v>0</v>
      </c>
      <c r="N61" s="392">
        <v>40.17</v>
      </c>
      <c r="O61" s="393">
        <v>1.02</v>
      </c>
      <c r="P61" s="393">
        <v>0</v>
      </c>
      <c r="Q61" s="394">
        <v>0.36</v>
      </c>
    </row>
    <row r="62" spans="1:17" ht="22.5" customHeight="1" x14ac:dyDescent="0.25">
      <c r="A62" s="385">
        <v>59</v>
      </c>
      <c r="B62" s="386" t="s">
        <v>341</v>
      </c>
      <c r="C62" s="387">
        <v>3.7410000000000001</v>
      </c>
      <c r="D62" s="388">
        <v>10</v>
      </c>
      <c r="E62" s="388">
        <v>3</v>
      </c>
      <c r="F62" s="388">
        <v>1</v>
      </c>
      <c r="G62" s="388">
        <v>25</v>
      </c>
      <c r="H62" s="389">
        <v>85</v>
      </c>
      <c r="I62" s="389">
        <v>120</v>
      </c>
      <c r="J62" s="389">
        <v>515</v>
      </c>
      <c r="K62" s="390">
        <v>0.4</v>
      </c>
      <c r="L62" s="391">
        <v>0.4</v>
      </c>
      <c r="M62" s="391">
        <v>0.1429</v>
      </c>
      <c r="N62" s="392">
        <v>54.8</v>
      </c>
      <c r="O62" s="393">
        <v>1.07</v>
      </c>
      <c r="P62" s="393">
        <v>0.27</v>
      </c>
      <c r="Q62" s="394">
        <v>0.34</v>
      </c>
    </row>
    <row r="63" spans="1:17" ht="22.5" customHeight="1" x14ac:dyDescent="0.25">
      <c r="A63" s="385">
        <v>60</v>
      </c>
      <c r="B63" s="386" t="s">
        <v>308</v>
      </c>
      <c r="C63" s="387">
        <v>5.7960000000000003</v>
      </c>
      <c r="D63" s="388">
        <v>13</v>
      </c>
      <c r="E63" s="388">
        <v>8</v>
      </c>
      <c r="F63" s="388">
        <v>0</v>
      </c>
      <c r="G63" s="388">
        <v>33</v>
      </c>
      <c r="H63" s="389">
        <v>445</v>
      </c>
      <c r="I63" s="389">
        <v>0</v>
      </c>
      <c r="J63" s="389">
        <v>745</v>
      </c>
      <c r="K63" s="390">
        <v>0.39389999999999997</v>
      </c>
      <c r="L63" s="391">
        <v>0.61539999999999995</v>
      </c>
      <c r="M63" s="391">
        <v>0</v>
      </c>
      <c r="N63" s="392">
        <v>76.78</v>
      </c>
      <c r="O63" s="393">
        <v>1.38</v>
      </c>
      <c r="P63" s="393">
        <v>0</v>
      </c>
      <c r="Q63" s="394">
        <v>0.33</v>
      </c>
    </row>
    <row r="64" spans="1:17" ht="22.5" customHeight="1" x14ac:dyDescent="0.25">
      <c r="A64" s="385">
        <v>61</v>
      </c>
      <c r="B64" s="386" t="s">
        <v>318</v>
      </c>
      <c r="C64" s="387">
        <v>7.5730000000000004</v>
      </c>
      <c r="D64" s="388">
        <v>18</v>
      </c>
      <c r="E64" s="388">
        <v>11</v>
      </c>
      <c r="F64" s="388">
        <v>0</v>
      </c>
      <c r="G64" s="388">
        <v>55</v>
      </c>
      <c r="H64" s="389">
        <v>550</v>
      </c>
      <c r="I64" s="389">
        <v>0</v>
      </c>
      <c r="J64" s="389">
        <v>735</v>
      </c>
      <c r="K64" s="390">
        <v>0.32729999999999998</v>
      </c>
      <c r="L64" s="391">
        <v>0.61109999999999998</v>
      </c>
      <c r="M64" s="391">
        <v>0</v>
      </c>
      <c r="N64" s="392">
        <v>72.63</v>
      </c>
      <c r="O64" s="393">
        <v>1.45</v>
      </c>
      <c r="P64" s="393">
        <v>0</v>
      </c>
      <c r="Q64" s="394">
        <v>0.32</v>
      </c>
    </row>
    <row r="65" spans="1:17" ht="22.5" customHeight="1" x14ac:dyDescent="0.25">
      <c r="A65" s="385">
        <v>62</v>
      </c>
      <c r="B65" s="386" t="s">
        <v>375</v>
      </c>
      <c r="C65" s="387">
        <v>13.128</v>
      </c>
      <c r="D65" s="388">
        <v>24</v>
      </c>
      <c r="E65" s="388">
        <v>13</v>
      </c>
      <c r="F65" s="388">
        <v>0</v>
      </c>
      <c r="G65" s="388">
        <v>45</v>
      </c>
      <c r="H65" s="389">
        <v>645</v>
      </c>
      <c r="I65" s="389">
        <v>0</v>
      </c>
      <c r="J65" s="389">
        <v>1275</v>
      </c>
      <c r="K65" s="390">
        <v>0.5333</v>
      </c>
      <c r="L65" s="391">
        <v>0.54169999999999996</v>
      </c>
      <c r="M65" s="391">
        <v>0</v>
      </c>
      <c r="N65" s="392">
        <v>49.13</v>
      </c>
      <c r="O65" s="393">
        <v>0.99</v>
      </c>
      <c r="P65" s="393">
        <v>0</v>
      </c>
      <c r="Q65" s="394">
        <v>0.31</v>
      </c>
    </row>
    <row r="66" spans="1:17" ht="22.5" customHeight="1" x14ac:dyDescent="0.25">
      <c r="A66" s="385">
        <v>63</v>
      </c>
      <c r="B66" s="386" t="s">
        <v>336</v>
      </c>
      <c r="C66" s="387">
        <v>4.4210000000000003</v>
      </c>
      <c r="D66" s="388">
        <v>18</v>
      </c>
      <c r="E66" s="388">
        <v>4</v>
      </c>
      <c r="F66" s="388">
        <v>0</v>
      </c>
      <c r="G66" s="388">
        <v>33</v>
      </c>
      <c r="H66" s="389">
        <v>330</v>
      </c>
      <c r="I66" s="389">
        <v>0</v>
      </c>
      <c r="J66" s="389">
        <v>1055</v>
      </c>
      <c r="K66" s="390">
        <v>0.54549999999999998</v>
      </c>
      <c r="L66" s="391">
        <v>0.22220000000000001</v>
      </c>
      <c r="M66" s="391">
        <v>0</v>
      </c>
      <c r="N66" s="392">
        <v>74.64</v>
      </c>
      <c r="O66" s="393">
        <v>0.9</v>
      </c>
      <c r="P66" s="393">
        <v>0</v>
      </c>
      <c r="Q66" s="394">
        <v>0.28999999999999998</v>
      </c>
    </row>
    <row r="67" spans="1:17" ht="22.5" customHeight="1" x14ac:dyDescent="0.25">
      <c r="A67" s="385">
        <v>64</v>
      </c>
      <c r="B67" s="386" t="s">
        <v>352</v>
      </c>
      <c r="C67" s="387">
        <v>4.069</v>
      </c>
      <c r="D67" s="388">
        <v>4</v>
      </c>
      <c r="E67" s="388">
        <v>3</v>
      </c>
      <c r="F67" s="388">
        <v>0</v>
      </c>
      <c r="G67" s="388">
        <v>10</v>
      </c>
      <c r="H67" s="389">
        <v>90</v>
      </c>
      <c r="I67" s="389">
        <v>0</v>
      </c>
      <c r="J67" s="389">
        <v>140</v>
      </c>
      <c r="K67" s="390">
        <v>0.4</v>
      </c>
      <c r="L67" s="391">
        <v>0.75</v>
      </c>
      <c r="M67" s="391">
        <v>0</v>
      </c>
      <c r="N67" s="392">
        <v>22.12</v>
      </c>
      <c r="O67" s="393">
        <v>0.74</v>
      </c>
      <c r="P67" s="393">
        <v>0</v>
      </c>
      <c r="Q67" s="394">
        <v>0.26</v>
      </c>
    </row>
    <row r="68" spans="1:17" ht="22.5" customHeight="1" x14ac:dyDescent="0.25">
      <c r="A68" s="385">
        <v>65</v>
      </c>
      <c r="B68" s="386" t="s">
        <v>401</v>
      </c>
      <c r="C68" s="387">
        <v>6.0810000000000004</v>
      </c>
      <c r="D68" s="388">
        <v>9</v>
      </c>
      <c r="E68" s="388">
        <v>6</v>
      </c>
      <c r="F68" s="388">
        <v>0</v>
      </c>
      <c r="G68" s="388">
        <v>29</v>
      </c>
      <c r="H68" s="389">
        <v>275</v>
      </c>
      <c r="I68" s="389">
        <v>0</v>
      </c>
      <c r="J68" s="389">
        <v>470</v>
      </c>
      <c r="K68" s="390">
        <v>0.31030000000000002</v>
      </c>
      <c r="L68" s="391">
        <v>0.66669999999999996</v>
      </c>
      <c r="M68" s="391">
        <v>0</v>
      </c>
      <c r="N68" s="392">
        <v>45.22</v>
      </c>
      <c r="O68" s="393">
        <v>0.99</v>
      </c>
      <c r="P68" s="393">
        <v>0</v>
      </c>
      <c r="Q68" s="394">
        <v>0.25</v>
      </c>
    </row>
    <row r="69" spans="1:17" ht="22.5" customHeight="1" x14ac:dyDescent="0.25">
      <c r="A69" s="385">
        <v>66</v>
      </c>
      <c r="B69" s="386" t="s">
        <v>385</v>
      </c>
      <c r="C69" s="387">
        <v>6.11</v>
      </c>
      <c r="D69" s="388">
        <v>11</v>
      </c>
      <c r="E69" s="388">
        <v>5</v>
      </c>
      <c r="F69" s="388">
        <v>0</v>
      </c>
      <c r="G69" s="388">
        <v>26</v>
      </c>
      <c r="H69" s="389">
        <v>310</v>
      </c>
      <c r="I69" s="389">
        <v>0</v>
      </c>
      <c r="J69" s="389">
        <v>625</v>
      </c>
      <c r="K69" s="390">
        <v>0.42309999999999998</v>
      </c>
      <c r="L69" s="391">
        <v>0.45450000000000002</v>
      </c>
      <c r="M69" s="391">
        <v>0</v>
      </c>
      <c r="N69" s="392">
        <v>50.74</v>
      </c>
      <c r="O69" s="393">
        <v>0.82</v>
      </c>
      <c r="P69" s="393">
        <v>0</v>
      </c>
      <c r="Q69" s="394">
        <v>0.22</v>
      </c>
    </row>
    <row r="70" spans="1:17" ht="22.5" customHeight="1" x14ac:dyDescent="0.25">
      <c r="A70" s="385">
        <v>67</v>
      </c>
      <c r="B70" s="386" t="s">
        <v>351</v>
      </c>
      <c r="C70" s="387">
        <v>4.09</v>
      </c>
      <c r="D70" s="388">
        <v>9</v>
      </c>
      <c r="E70" s="388">
        <v>3</v>
      </c>
      <c r="F70" s="388">
        <v>0</v>
      </c>
      <c r="G70" s="388">
        <v>18</v>
      </c>
      <c r="H70" s="389">
        <v>55</v>
      </c>
      <c r="I70" s="389">
        <v>0</v>
      </c>
      <c r="J70" s="389">
        <v>265</v>
      </c>
      <c r="K70" s="390">
        <v>0.5</v>
      </c>
      <c r="L70" s="391">
        <v>0.33329999999999999</v>
      </c>
      <c r="M70" s="391">
        <v>0</v>
      </c>
      <c r="N70" s="392">
        <v>13.45</v>
      </c>
      <c r="O70" s="393">
        <v>0.73</v>
      </c>
      <c r="P70" s="393">
        <v>0</v>
      </c>
      <c r="Q70" s="394">
        <v>0.2</v>
      </c>
    </row>
    <row r="71" spans="1:17" ht="22.5" customHeight="1" x14ac:dyDescent="0.25">
      <c r="A71" s="385">
        <v>68</v>
      </c>
      <c r="B71" s="386" t="s">
        <v>286</v>
      </c>
      <c r="C71" s="387">
        <v>3.7170000000000001</v>
      </c>
      <c r="D71" s="388">
        <v>9</v>
      </c>
      <c r="E71" s="388">
        <v>3</v>
      </c>
      <c r="F71" s="388">
        <v>0</v>
      </c>
      <c r="G71" s="388">
        <v>22</v>
      </c>
      <c r="H71" s="389">
        <v>240</v>
      </c>
      <c r="I71" s="389">
        <v>0</v>
      </c>
      <c r="J71" s="389">
        <v>470</v>
      </c>
      <c r="K71" s="390">
        <v>0.40910000000000002</v>
      </c>
      <c r="L71" s="391">
        <v>0.33329999999999999</v>
      </c>
      <c r="M71" s="391">
        <v>0</v>
      </c>
      <c r="N71" s="392">
        <v>64.569999999999993</v>
      </c>
      <c r="O71" s="393">
        <v>0.81</v>
      </c>
      <c r="P71" s="393">
        <v>0</v>
      </c>
      <c r="Q71" s="394">
        <v>0.19</v>
      </c>
    </row>
    <row r="72" spans="1:17" ht="22.5" customHeight="1" x14ac:dyDescent="0.25">
      <c r="A72" s="385">
        <v>69</v>
      </c>
      <c r="B72" s="386" t="s">
        <v>366</v>
      </c>
      <c r="C72" s="387">
        <v>5.5679999999999996</v>
      </c>
      <c r="D72" s="388">
        <v>13</v>
      </c>
      <c r="E72" s="388">
        <v>5</v>
      </c>
      <c r="F72" s="388">
        <v>0</v>
      </c>
      <c r="G72" s="388">
        <v>39</v>
      </c>
      <c r="H72" s="389">
        <v>225</v>
      </c>
      <c r="I72" s="389">
        <v>0</v>
      </c>
      <c r="J72" s="389">
        <v>670</v>
      </c>
      <c r="K72" s="390">
        <v>0.33329999999999999</v>
      </c>
      <c r="L72" s="391">
        <v>0.3846</v>
      </c>
      <c r="M72" s="391">
        <v>0</v>
      </c>
      <c r="N72" s="392">
        <v>40.409999999999997</v>
      </c>
      <c r="O72" s="393">
        <v>0.9</v>
      </c>
      <c r="P72" s="393">
        <v>0</v>
      </c>
      <c r="Q72" s="394">
        <v>0.15</v>
      </c>
    </row>
    <row r="73" spans="1:17" ht="22.5" customHeight="1" x14ac:dyDescent="0.25">
      <c r="A73" s="385">
        <v>70</v>
      </c>
      <c r="B73" s="386" t="s">
        <v>408</v>
      </c>
      <c r="C73" s="387">
        <v>0.83699999999999997</v>
      </c>
      <c r="D73" s="388">
        <v>2</v>
      </c>
      <c r="E73" s="388">
        <v>0</v>
      </c>
      <c r="F73" s="388">
        <v>0</v>
      </c>
      <c r="G73" s="388">
        <v>4</v>
      </c>
      <c r="H73" s="389">
        <v>0</v>
      </c>
      <c r="I73" s="389">
        <v>0</v>
      </c>
      <c r="J73" s="389">
        <v>110</v>
      </c>
      <c r="K73" s="390">
        <v>0.5</v>
      </c>
      <c r="L73" s="391">
        <v>0</v>
      </c>
      <c r="M73" s="391">
        <v>0</v>
      </c>
      <c r="N73" s="392">
        <v>0</v>
      </c>
      <c r="O73" s="393">
        <v>0</v>
      </c>
      <c r="P73" s="393">
        <v>0</v>
      </c>
      <c r="Q73" s="394">
        <v>0.13</v>
      </c>
    </row>
    <row r="74" spans="1:17" ht="22.5" customHeight="1" x14ac:dyDescent="0.25">
      <c r="A74" s="385">
        <v>71</v>
      </c>
      <c r="B74" s="386" t="s">
        <v>305</v>
      </c>
      <c r="C74" s="387">
        <v>5.6459999999999999</v>
      </c>
      <c r="D74" s="388">
        <v>10</v>
      </c>
      <c r="E74" s="388">
        <v>2</v>
      </c>
      <c r="F74" s="388">
        <v>0</v>
      </c>
      <c r="G74" s="388">
        <v>35</v>
      </c>
      <c r="H74" s="389">
        <v>100</v>
      </c>
      <c r="I74" s="389">
        <v>0</v>
      </c>
      <c r="J74" s="389">
        <v>390</v>
      </c>
      <c r="K74" s="390">
        <v>0.28570000000000001</v>
      </c>
      <c r="L74" s="391">
        <v>0.2</v>
      </c>
      <c r="M74" s="391">
        <v>0</v>
      </c>
      <c r="N74" s="392">
        <v>17.71</v>
      </c>
      <c r="O74" s="393">
        <v>0.35</v>
      </c>
      <c r="P74" s="393">
        <v>0</v>
      </c>
      <c r="Q74" s="394">
        <v>0.09</v>
      </c>
    </row>
    <row r="75" spans="1:17" ht="22.5" customHeight="1" x14ac:dyDescent="0.25">
      <c r="A75" s="385">
        <v>72</v>
      </c>
      <c r="B75" s="386" t="s">
        <v>321</v>
      </c>
      <c r="C75" s="387">
        <v>2.7109999999999999</v>
      </c>
      <c r="D75" s="388">
        <v>1</v>
      </c>
      <c r="E75" s="388">
        <v>0</v>
      </c>
      <c r="F75" s="388">
        <v>0</v>
      </c>
      <c r="G75" s="388">
        <v>7</v>
      </c>
      <c r="H75" s="389">
        <v>0</v>
      </c>
      <c r="I75" s="389">
        <v>0</v>
      </c>
      <c r="J75" s="389">
        <v>25</v>
      </c>
      <c r="K75" s="390">
        <v>0.1429</v>
      </c>
      <c r="L75" s="391">
        <v>0</v>
      </c>
      <c r="M75" s="391">
        <v>0</v>
      </c>
      <c r="N75" s="392">
        <v>0</v>
      </c>
      <c r="O75" s="393">
        <v>0</v>
      </c>
      <c r="P75" s="393">
        <v>0</v>
      </c>
      <c r="Q75" s="394">
        <v>0.03</v>
      </c>
    </row>
    <row r="76" spans="1:17" ht="22.5" customHeight="1" x14ac:dyDescent="0.25">
      <c r="A76" s="385">
        <v>73</v>
      </c>
      <c r="B76" s="386" t="s">
        <v>364</v>
      </c>
      <c r="C76" s="387">
        <v>0.72699999999999998</v>
      </c>
      <c r="D76" s="388">
        <v>0</v>
      </c>
      <c r="E76" s="388">
        <v>0</v>
      </c>
      <c r="F76" s="388">
        <v>0</v>
      </c>
      <c r="G76" s="388">
        <v>2</v>
      </c>
      <c r="H76" s="389">
        <v>0</v>
      </c>
      <c r="I76" s="389">
        <v>0</v>
      </c>
      <c r="J76" s="389">
        <v>0</v>
      </c>
      <c r="K76" s="390">
        <v>0</v>
      </c>
      <c r="L76" s="391">
        <v>0</v>
      </c>
      <c r="M76" s="391">
        <v>0</v>
      </c>
      <c r="N76" s="392">
        <v>0</v>
      </c>
      <c r="O76" s="393">
        <v>0</v>
      </c>
      <c r="P76" s="393">
        <v>0</v>
      </c>
      <c r="Q76" s="394">
        <v>0.01</v>
      </c>
    </row>
    <row r="77" spans="1:17" ht="22.5" customHeight="1" x14ac:dyDescent="0.25">
      <c r="A77" s="385">
        <v>74</v>
      </c>
      <c r="B77" s="386" t="s">
        <v>316</v>
      </c>
      <c r="C77" s="387">
        <v>0.14399999999999999</v>
      </c>
      <c r="D77" s="388">
        <v>0</v>
      </c>
      <c r="E77" s="388">
        <v>0</v>
      </c>
      <c r="F77" s="388">
        <v>0</v>
      </c>
      <c r="G77" s="388">
        <v>0</v>
      </c>
      <c r="H77" s="389">
        <v>0</v>
      </c>
      <c r="I77" s="389">
        <v>0</v>
      </c>
      <c r="J77" s="389">
        <v>0</v>
      </c>
      <c r="K77" s="390">
        <v>0</v>
      </c>
      <c r="L77" s="391">
        <v>0</v>
      </c>
      <c r="M77" s="391">
        <v>0</v>
      </c>
      <c r="N77" s="392">
        <v>0</v>
      </c>
      <c r="O77" s="393">
        <v>0</v>
      </c>
      <c r="P77" s="393">
        <v>0</v>
      </c>
      <c r="Q77" s="394">
        <v>0.01</v>
      </c>
    </row>
    <row r="78" spans="1:17" ht="22.5" customHeight="1" x14ac:dyDescent="0.25">
      <c r="A78" s="385">
        <v>75</v>
      </c>
      <c r="B78" s="386" t="s">
        <v>274</v>
      </c>
      <c r="C78" s="387">
        <v>0.70599999999999996</v>
      </c>
      <c r="D78" s="388">
        <v>0</v>
      </c>
      <c r="E78" s="388">
        <v>0</v>
      </c>
      <c r="F78" s="388">
        <v>0</v>
      </c>
      <c r="G78" s="388">
        <v>1</v>
      </c>
      <c r="H78" s="389">
        <v>0</v>
      </c>
      <c r="I78" s="389">
        <v>0</v>
      </c>
      <c r="J78" s="389">
        <v>0</v>
      </c>
      <c r="K78" s="390">
        <v>0</v>
      </c>
      <c r="L78" s="391">
        <v>0</v>
      </c>
      <c r="M78" s="391">
        <v>0</v>
      </c>
      <c r="N78" s="392">
        <v>0</v>
      </c>
      <c r="O78" s="393">
        <v>0</v>
      </c>
      <c r="P78" s="393">
        <v>0</v>
      </c>
      <c r="Q78" s="394">
        <v>0.01</v>
      </c>
    </row>
    <row r="79" spans="1:17" ht="22.5" customHeight="1" x14ac:dyDescent="0.25">
      <c r="A79" s="385">
        <v>76</v>
      </c>
      <c r="B79" s="386" t="s">
        <v>329</v>
      </c>
      <c r="C79" s="387">
        <v>0.13300000000000001</v>
      </c>
      <c r="D79" s="388">
        <v>0</v>
      </c>
      <c r="E79" s="388">
        <v>0</v>
      </c>
      <c r="F79" s="388">
        <v>0</v>
      </c>
      <c r="G79" s="388">
        <v>2</v>
      </c>
      <c r="H79" s="389">
        <v>0</v>
      </c>
      <c r="I79" s="389">
        <v>0</v>
      </c>
      <c r="J79" s="389">
        <v>0</v>
      </c>
      <c r="K79" s="390">
        <v>0</v>
      </c>
      <c r="L79" s="391">
        <v>0</v>
      </c>
      <c r="M79" s="391">
        <v>0</v>
      </c>
      <c r="N79" s="392">
        <v>0</v>
      </c>
      <c r="O79" s="393">
        <v>0</v>
      </c>
      <c r="P79" s="393">
        <v>0</v>
      </c>
      <c r="Q79" s="394">
        <v>0.01</v>
      </c>
    </row>
    <row r="80" spans="1:17" ht="22.5" customHeight="1" x14ac:dyDescent="0.25">
      <c r="A80" s="385">
        <v>77</v>
      </c>
      <c r="B80" s="386" t="s">
        <v>295</v>
      </c>
      <c r="C80" s="387">
        <v>0.19400000000000001</v>
      </c>
      <c r="D80" s="388">
        <v>0</v>
      </c>
      <c r="E80" s="388">
        <v>0</v>
      </c>
      <c r="F80" s="388">
        <v>0</v>
      </c>
      <c r="G80" s="388">
        <v>0</v>
      </c>
      <c r="H80" s="389">
        <v>0</v>
      </c>
      <c r="I80" s="389">
        <v>0</v>
      </c>
      <c r="J80" s="389">
        <v>0</v>
      </c>
      <c r="K80" s="390">
        <v>0</v>
      </c>
      <c r="L80" s="391">
        <v>0</v>
      </c>
      <c r="M80" s="391">
        <v>0</v>
      </c>
      <c r="N80" s="392">
        <v>0</v>
      </c>
      <c r="O80" s="393">
        <v>0</v>
      </c>
      <c r="P80" s="393">
        <v>0</v>
      </c>
      <c r="Q80" s="394">
        <v>0.01</v>
      </c>
    </row>
    <row r="81" spans="1:17" ht="22.5" customHeight="1" x14ac:dyDescent="0.25">
      <c r="A81" s="385">
        <v>78</v>
      </c>
      <c r="B81" s="386" t="s">
        <v>426</v>
      </c>
      <c r="C81" s="387">
        <v>2.181</v>
      </c>
      <c r="D81" s="388">
        <v>0</v>
      </c>
      <c r="E81" s="388">
        <v>0</v>
      </c>
      <c r="F81" s="388">
        <v>0</v>
      </c>
      <c r="G81" s="388">
        <v>6</v>
      </c>
      <c r="H81" s="389">
        <v>0</v>
      </c>
      <c r="I81" s="389">
        <v>0</v>
      </c>
      <c r="J81" s="389">
        <v>0</v>
      </c>
      <c r="K81" s="390">
        <v>0</v>
      </c>
      <c r="L81" s="391">
        <v>0</v>
      </c>
      <c r="M81" s="391">
        <v>0</v>
      </c>
      <c r="N81" s="392">
        <v>0</v>
      </c>
      <c r="O81" s="393">
        <v>0</v>
      </c>
      <c r="P81" s="393">
        <v>0</v>
      </c>
      <c r="Q81" s="394">
        <v>0.01</v>
      </c>
    </row>
    <row r="82" spans="1:17" ht="22.5" customHeight="1" x14ac:dyDescent="0.25">
      <c r="A82" s="385" t="s">
        <v>171</v>
      </c>
      <c r="B82" s="395" t="s">
        <v>3</v>
      </c>
      <c r="C82" s="396">
        <v>426.541</v>
      </c>
      <c r="D82" s="397">
        <v>1013</v>
      </c>
      <c r="E82" s="398">
        <v>519</v>
      </c>
      <c r="F82" s="398">
        <v>104</v>
      </c>
      <c r="G82" s="397">
        <v>2158</v>
      </c>
      <c r="H82" s="399">
        <v>28120</v>
      </c>
      <c r="I82" s="399">
        <v>14645</v>
      </c>
      <c r="J82" s="399">
        <v>62717</v>
      </c>
      <c r="K82" s="400">
        <v>0.46939999999999998</v>
      </c>
      <c r="L82" s="401">
        <v>0.61499999999999999</v>
      </c>
      <c r="M82" s="401">
        <v>0.21049999999999999</v>
      </c>
      <c r="N82" s="402">
        <v>100.26</v>
      </c>
      <c r="O82" s="403">
        <v>1.46</v>
      </c>
      <c r="P82" s="403">
        <v>0.24</v>
      </c>
      <c r="Q82" s="404" t="s">
        <v>171</v>
      </c>
    </row>
    <row r="83" spans="1:17" ht="22.5" customHeight="1" x14ac:dyDescent="0.25"/>
    <row r="84" spans="1:17" ht="22.5" customHeight="1" x14ac:dyDescent="0.25"/>
  </sheetData>
  <mergeCells count="3">
    <mergeCell ref="F1:L1"/>
    <mergeCell ref="A2:A3"/>
    <mergeCell ref="B2:B3"/>
  </mergeCell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tabColor rgb="FF0070C0"/>
  </sheetPr>
  <dimension ref="A1:Q84"/>
  <sheetViews>
    <sheetView workbookViewId="0">
      <selection activeCell="B47" sqref="B47"/>
    </sheetView>
  </sheetViews>
  <sheetFormatPr defaultRowHeight="22.5" customHeight="1" x14ac:dyDescent="0.25"/>
  <cols>
    <col min="1" max="1" width="6" style="93" bestFit="1" customWidth="1"/>
    <col min="2" max="2" width="21.5703125" style="94" bestFit="1" customWidth="1"/>
    <col min="3" max="3" width="8.28515625" style="93" bestFit="1" customWidth="1"/>
    <col min="4" max="4" width="7" style="93" bestFit="1" customWidth="1"/>
    <col min="5" max="5" width="10.28515625" style="93" bestFit="1" customWidth="1"/>
    <col min="6" max="6" width="10.42578125" style="93" bestFit="1" customWidth="1"/>
    <col min="7" max="7" width="8.42578125" style="93" bestFit="1" customWidth="1"/>
    <col min="8" max="9" width="13.42578125" style="93" bestFit="1" customWidth="1"/>
    <col min="10" max="10" width="14.7109375" style="93" bestFit="1" customWidth="1"/>
    <col min="11" max="11" width="13.42578125" style="93" bestFit="1" customWidth="1"/>
    <col min="12" max="12" width="11.42578125" style="93" bestFit="1" customWidth="1"/>
    <col min="13" max="13" width="10.42578125" style="93" bestFit="1" customWidth="1"/>
    <col min="14" max="14" width="11.85546875" style="93" bestFit="1" customWidth="1"/>
    <col min="15" max="15" width="11.42578125" style="93" bestFit="1" customWidth="1"/>
    <col min="16" max="16" width="10.42578125" style="93" bestFit="1" customWidth="1"/>
    <col min="17" max="17" width="12.28515625" style="93" bestFit="1" customWidth="1"/>
    <col min="18" max="16384" width="9.140625" style="93"/>
  </cols>
  <sheetData>
    <row r="1" spans="1:17" ht="22.5" customHeight="1" x14ac:dyDescent="0.25">
      <c r="F1" s="642" t="s">
        <v>267</v>
      </c>
      <c r="G1" s="642"/>
      <c r="H1" s="642"/>
      <c r="I1" s="642"/>
      <c r="J1" s="642"/>
      <c r="K1" s="642"/>
      <c r="L1" s="642"/>
    </row>
    <row r="2" spans="1:17" ht="22.5" customHeight="1" x14ac:dyDescent="0.25">
      <c r="A2" s="639" t="s">
        <v>172</v>
      </c>
      <c r="B2" s="608" t="s">
        <v>7</v>
      </c>
      <c r="C2" s="419" t="s">
        <v>173</v>
      </c>
      <c r="D2" s="420" t="s">
        <v>3</v>
      </c>
      <c r="E2" s="420" t="s">
        <v>176</v>
      </c>
      <c r="F2" s="420" t="s">
        <v>166</v>
      </c>
      <c r="G2" s="420" t="s">
        <v>8</v>
      </c>
      <c r="H2" s="420" t="s">
        <v>176</v>
      </c>
      <c r="I2" s="420" t="s">
        <v>166</v>
      </c>
      <c r="J2" s="420" t="s">
        <v>3</v>
      </c>
      <c r="K2" s="420" t="s">
        <v>21</v>
      </c>
      <c r="L2" s="420" t="s">
        <v>164</v>
      </c>
      <c r="M2" s="420" t="s">
        <v>166</v>
      </c>
      <c r="N2" s="420" t="s">
        <v>164</v>
      </c>
      <c r="O2" s="420" t="s">
        <v>164</v>
      </c>
      <c r="P2" s="420" t="s">
        <v>166</v>
      </c>
      <c r="Q2" s="421" t="s">
        <v>169</v>
      </c>
    </row>
    <row r="3" spans="1:17" ht="22.5" customHeight="1" x14ac:dyDescent="0.25">
      <c r="A3" s="640"/>
      <c r="B3" s="641"/>
      <c r="C3" s="422" t="s">
        <v>174</v>
      </c>
      <c r="D3" s="423" t="s">
        <v>175</v>
      </c>
      <c r="E3" s="423" t="s">
        <v>175</v>
      </c>
      <c r="F3" s="423" t="s">
        <v>175</v>
      </c>
      <c r="G3" s="423" t="s">
        <v>12</v>
      </c>
      <c r="H3" s="423" t="s">
        <v>9</v>
      </c>
      <c r="I3" s="423" t="s">
        <v>9</v>
      </c>
      <c r="J3" s="423" t="s">
        <v>9</v>
      </c>
      <c r="K3" s="423" t="s">
        <v>13</v>
      </c>
      <c r="L3" s="423" t="s">
        <v>165</v>
      </c>
      <c r="M3" s="423" t="s">
        <v>165</v>
      </c>
      <c r="N3" s="423" t="s">
        <v>167</v>
      </c>
      <c r="O3" s="423" t="s">
        <v>168</v>
      </c>
      <c r="P3" s="423" t="s">
        <v>168</v>
      </c>
      <c r="Q3" s="424" t="s">
        <v>170</v>
      </c>
    </row>
    <row r="4" spans="1:17" ht="22.5" customHeight="1" x14ac:dyDescent="0.25">
      <c r="A4" s="405">
        <v>1</v>
      </c>
      <c r="B4" s="425" t="s">
        <v>274</v>
      </c>
      <c r="C4" s="407">
        <v>0.53400000000000003</v>
      </c>
      <c r="D4" s="406">
        <v>2</v>
      </c>
      <c r="E4" s="406">
        <v>1</v>
      </c>
      <c r="F4" s="406">
        <v>1</v>
      </c>
      <c r="G4" s="406">
        <v>3</v>
      </c>
      <c r="H4" s="408">
        <v>50</v>
      </c>
      <c r="I4" s="408">
        <v>120</v>
      </c>
      <c r="J4" s="408">
        <v>170</v>
      </c>
      <c r="K4" s="409">
        <v>0.66669999999999996</v>
      </c>
      <c r="L4" s="410">
        <v>1</v>
      </c>
      <c r="M4" s="410">
        <v>1</v>
      </c>
      <c r="N4" s="411">
        <v>318.35000000000002</v>
      </c>
      <c r="O4" s="412">
        <v>3.75</v>
      </c>
      <c r="P4" s="412">
        <v>1.87</v>
      </c>
      <c r="Q4" s="413">
        <v>0.89</v>
      </c>
    </row>
    <row r="5" spans="1:17" ht="22.5" customHeight="1" x14ac:dyDescent="0.25">
      <c r="A5" s="405">
        <v>2</v>
      </c>
      <c r="B5" s="425" t="s">
        <v>408</v>
      </c>
      <c r="C5" s="407">
        <v>0.93200000000000005</v>
      </c>
      <c r="D5" s="406">
        <v>3</v>
      </c>
      <c r="E5" s="406">
        <v>2</v>
      </c>
      <c r="F5" s="406">
        <v>1</v>
      </c>
      <c r="G5" s="406">
        <v>5</v>
      </c>
      <c r="H5" s="408">
        <v>70</v>
      </c>
      <c r="I5" s="408">
        <v>120</v>
      </c>
      <c r="J5" s="408">
        <v>190</v>
      </c>
      <c r="K5" s="409">
        <v>0.6</v>
      </c>
      <c r="L5" s="410">
        <v>1</v>
      </c>
      <c r="M5" s="410">
        <v>1</v>
      </c>
      <c r="N5" s="411">
        <v>203.86</v>
      </c>
      <c r="O5" s="412">
        <v>3.22</v>
      </c>
      <c r="P5" s="412">
        <v>1.07</v>
      </c>
      <c r="Q5" s="413">
        <v>0.8</v>
      </c>
    </row>
    <row r="6" spans="1:17" ht="22.5" customHeight="1" x14ac:dyDescent="0.25">
      <c r="A6" s="405">
        <v>3</v>
      </c>
      <c r="B6" s="425" t="s">
        <v>342</v>
      </c>
      <c r="C6" s="407">
        <v>7.5190000000000001</v>
      </c>
      <c r="D6" s="406">
        <v>40</v>
      </c>
      <c r="E6" s="406">
        <v>25</v>
      </c>
      <c r="F6" s="406">
        <v>1</v>
      </c>
      <c r="G6" s="406">
        <v>49</v>
      </c>
      <c r="H6" s="408">
        <v>1890</v>
      </c>
      <c r="I6" s="408">
        <v>120</v>
      </c>
      <c r="J6" s="408">
        <v>3025</v>
      </c>
      <c r="K6" s="409">
        <v>0.81630000000000003</v>
      </c>
      <c r="L6" s="410">
        <v>0.65</v>
      </c>
      <c r="M6" s="410">
        <v>6.6699999999999995E-2</v>
      </c>
      <c r="N6" s="411">
        <v>267.32</v>
      </c>
      <c r="O6" s="412">
        <v>3.46</v>
      </c>
      <c r="P6" s="412">
        <v>0.13</v>
      </c>
      <c r="Q6" s="413">
        <v>0.79</v>
      </c>
    </row>
    <row r="7" spans="1:17" ht="22.5" customHeight="1" x14ac:dyDescent="0.25">
      <c r="A7" s="405">
        <v>4</v>
      </c>
      <c r="B7" s="425" t="s">
        <v>298</v>
      </c>
      <c r="C7" s="407">
        <v>7.0190000000000001</v>
      </c>
      <c r="D7" s="406">
        <v>28</v>
      </c>
      <c r="E7" s="406">
        <v>7</v>
      </c>
      <c r="F7" s="406">
        <v>9</v>
      </c>
      <c r="G7" s="406">
        <v>34</v>
      </c>
      <c r="H7" s="408">
        <v>485</v>
      </c>
      <c r="I7" s="408">
        <v>1080</v>
      </c>
      <c r="J7" s="408">
        <v>2160</v>
      </c>
      <c r="K7" s="409">
        <v>0.82350000000000001</v>
      </c>
      <c r="L7" s="410">
        <v>0.57140000000000002</v>
      </c>
      <c r="M7" s="410">
        <v>0.42859999999999998</v>
      </c>
      <c r="N7" s="411">
        <v>222.97</v>
      </c>
      <c r="O7" s="412">
        <v>2.2799999999999998</v>
      </c>
      <c r="P7" s="412">
        <v>1.28</v>
      </c>
      <c r="Q7" s="413">
        <v>0.79</v>
      </c>
    </row>
    <row r="8" spans="1:17" ht="22.5" customHeight="1" x14ac:dyDescent="0.25">
      <c r="A8" s="405">
        <v>5</v>
      </c>
      <c r="B8" s="425" t="s">
        <v>393</v>
      </c>
      <c r="C8" s="407">
        <v>6.48</v>
      </c>
      <c r="D8" s="406">
        <v>28</v>
      </c>
      <c r="E8" s="406">
        <v>15</v>
      </c>
      <c r="F8" s="406">
        <v>2</v>
      </c>
      <c r="G8" s="406">
        <v>41</v>
      </c>
      <c r="H8" s="408">
        <v>1490</v>
      </c>
      <c r="I8" s="408">
        <v>420</v>
      </c>
      <c r="J8" s="408">
        <v>2385</v>
      </c>
      <c r="K8" s="409">
        <v>0.68289999999999995</v>
      </c>
      <c r="L8" s="410">
        <v>0.60709999999999997</v>
      </c>
      <c r="M8" s="410">
        <v>0.15379999999999999</v>
      </c>
      <c r="N8" s="411">
        <v>294.75</v>
      </c>
      <c r="O8" s="412">
        <v>2.62</v>
      </c>
      <c r="P8" s="412">
        <v>0.31</v>
      </c>
      <c r="Q8" s="413">
        <v>0.75</v>
      </c>
    </row>
    <row r="9" spans="1:17" ht="22.5" customHeight="1" x14ac:dyDescent="0.25">
      <c r="A9" s="405">
        <v>6</v>
      </c>
      <c r="B9" s="425" t="s">
        <v>272</v>
      </c>
      <c r="C9" s="407">
        <v>8.0579999999999998</v>
      </c>
      <c r="D9" s="406">
        <v>41</v>
      </c>
      <c r="E9" s="406">
        <v>17</v>
      </c>
      <c r="F9" s="406">
        <v>7</v>
      </c>
      <c r="G9" s="406">
        <v>66</v>
      </c>
      <c r="H9" s="408">
        <v>785</v>
      </c>
      <c r="I9" s="408">
        <v>840</v>
      </c>
      <c r="J9" s="408">
        <v>2585</v>
      </c>
      <c r="K9" s="409">
        <v>0.62119999999999997</v>
      </c>
      <c r="L9" s="410">
        <v>0.58540000000000003</v>
      </c>
      <c r="M9" s="410">
        <v>0.29170000000000001</v>
      </c>
      <c r="N9" s="411">
        <v>201.66</v>
      </c>
      <c r="O9" s="412">
        <v>2.98</v>
      </c>
      <c r="P9" s="412">
        <v>0.87</v>
      </c>
      <c r="Q9" s="413">
        <v>0.75</v>
      </c>
    </row>
    <row r="10" spans="1:17" ht="22.5" customHeight="1" x14ac:dyDescent="0.25">
      <c r="A10" s="405">
        <v>7</v>
      </c>
      <c r="B10" s="425" t="s">
        <v>283</v>
      </c>
      <c r="C10" s="407">
        <v>6.0890000000000004</v>
      </c>
      <c r="D10" s="406">
        <v>17</v>
      </c>
      <c r="E10" s="406">
        <v>10</v>
      </c>
      <c r="F10" s="406">
        <v>3</v>
      </c>
      <c r="G10" s="406">
        <v>21</v>
      </c>
      <c r="H10" s="408">
        <v>505</v>
      </c>
      <c r="I10" s="408">
        <v>360</v>
      </c>
      <c r="J10" s="408">
        <v>1040</v>
      </c>
      <c r="K10" s="409">
        <v>0.8095</v>
      </c>
      <c r="L10" s="410">
        <v>0.76470000000000005</v>
      </c>
      <c r="M10" s="410">
        <v>0.42859999999999998</v>
      </c>
      <c r="N10" s="411">
        <v>142.06</v>
      </c>
      <c r="O10" s="412">
        <v>2.13</v>
      </c>
      <c r="P10" s="412">
        <v>0.49</v>
      </c>
      <c r="Q10" s="413">
        <v>0.75</v>
      </c>
    </row>
    <row r="11" spans="1:17" ht="22.5" customHeight="1" x14ac:dyDescent="0.25">
      <c r="A11" s="405">
        <v>8</v>
      </c>
      <c r="B11" s="425" t="s">
        <v>357</v>
      </c>
      <c r="C11" s="407">
        <v>0.214</v>
      </c>
      <c r="D11" s="406">
        <v>1</v>
      </c>
      <c r="E11" s="406">
        <v>1</v>
      </c>
      <c r="F11" s="406">
        <v>0</v>
      </c>
      <c r="G11" s="406">
        <v>1</v>
      </c>
      <c r="H11" s="408">
        <v>200</v>
      </c>
      <c r="I11" s="408">
        <v>0</v>
      </c>
      <c r="J11" s="408">
        <v>200</v>
      </c>
      <c r="K11" s="409">
        <v>1</v>
      </c>
      <c r="L11" s="410">
        <v>1</v>
      </c>
      <c r="M11" s="410">
        <v>0</v>
      </c>
      <c r="N11" s="411">
        <v>934.58</v>
      </c>
      <c r="O11" s="412">
        <v>4.67</v>
      </c>
      <c r="P11" s="412">
        <v>0</v>
      </c>
      <c r="Q11" s="413">
        <v>0.74</v>
      </c>
    </row>
    <row r="12" spans="1:17" ht="22.5" customHeight="1" x14ac:dyDescent="0.25">
      <c r="A12" s="405">
        <v>9</v>
      </c>
      <c r="B12" s="425" t="s">
        <v>280</v>
      </c>
      <c r="C12" s="407">
        <v>6.843</v>
      </c>
      <c r="D12" s="406">
        <v>33</v>
      </c>
      <c r="E12" s="406">
        <v>14</v>
      </c>
      <c r="F12" s="406">
        <v>3</v>
      </c>
      <c r="G12" s="406">
        <v>39</v>
      </c>
      <c r="H12" s="408">
        <v>830</v>
      </c>
      <c r="I12" s="408">
        <v>540</v>
      </c>
      <c r="J12" s="408">
        <v>2610</v>
      </c>
      <c r="K12" s="409">
        <v>0.84619999999999995</v>
      </c>
      <c r="L12" s="410">
        <v>0.51519999999999999</v>
      </c>
      <c r="M12" s="410">
        <v>0.15790000000000001</v>
      </c>
      <c r="N12" s="411">
        <v>200.2</v>
      </c>
      <c r="O12" s="412">
        <v>2.48</v>
      </c>
      <c r="P12" s="412">
        <v>0.44</v>
      </c>
      <c r="Q12" s="413">
        <v>0.74</v>
      </c>
    </row>
    <row r="13" spans="1:17" ht="22.5" customHeight="1" x14ac:dyDescent="0.25">
      <c r="A13" s="405">
        <v>10</v>
      </c>
      <c r="B13" s="425" t="s">
        <v>360</v>
      </c>
      <c r="C13" s="407">
        <v>3.194</v>
      </c>
      <c r="D13" s="406">
        <v>13</v>
      </c>
      <c r="E13" s="406">
        <v>7</v>
      </c>
      <c r="F13" s="406">
        <v>2</v>
      </c>
      <c r="G13" s="406">
        <v>22</v>
      </c>
      <c r="H13" s="408">
        <v>425</v>
      </c>
      <c r="I13" s="408">
        <v>180</v>
      </c>
      <c r="J13" s="408">
        <v>1025</v>
      </c>
      <c r="K13" s="409">
        <v>0.59089999999999998</v>
      </c>
      <c r="L13" s="410">
        <v>0.69230000000000003</v>
      </c>
      <c r="M13" s="410">
        <v>0.33329999999999999</v>
      </c>
      <c r="N13" s="411">
        <v>189.42</v>
      </c>
      <c r="O13" s="412">
        <v>2.82</v>
      </c>
      <c r="P13" s="412">
        <v>0.63</v>
      </c>
      <c r="Q13" s="413">
        <v>0.72</v>
      </c>
    </row>
    <row r="14" spans="1:17" ht="22.5" customHeight="1" x14ac:dyDescent="0.25">
      <c r="A14" s="405">
        <v>11</v>
      </c>
      <c r="B14" s="425" t="s">
        <v>291</v>
      </c>
      <c r="C14" s="407">
        <v>2.1640000000000001</v>
      </c>
      <c r="D14" s="406">
        <v>10</v>
      </c>
      <c r="E14" s="406">
        <v>5</v>
      </c>
      <c r="F14" s="406">
        <v>1</v>
      </c>
      <c r="G14" s="406">
        <v>16</v>
      </c>
      <c r="H14" s="408">
        <v>300</v>
      </c>
      <c r="I14" s="408">
        <v>120</v>
      </c>
      <c r="J14" s="408">
        <v>820</v>
      </c>
      <c r="K14" s="409">
        <v>0.625</v>
      </c>
      <c r="L14" s="410">
        <v>0.6</v>
      </c>
      <c r="M14" s="410">
        <v>0.2</v>
      </c>
      <c r="N14" s="411">
        <v>194.09</v>
      </c>
      <c r="O14" s="412">
        <v>2.77</v>
      </c>
      <c r="P14" s="412">
        <v>0.46</v>
      </c>
      <c r="Q14" s="413">
        <v>0.7</v>
      </c>
    </row>
    <row r="15" spans="1:17" ht="22.5" customHeight="1" x14ac:dyDescent="0.25">
      <c r="A15" s="405">
        <v>12</v>
      </c>
      <c r="B15" s="425" t="s">
        <v>422</v>
      </c>
      <c r="C15" s="407">
        <v>14.803000000000001</v>
      </c>
      <c r="D15" s="406">
        <v>77</v>
      </c>
      <c r="E15" s="406">
        <v>30</v>
      </c>
      <c r="F15" s="406">
        <v>9</v>
      </c>
      <c r="G15" s="406">
        <v>110</v>
      </c>
      <c r="H15" s="408">
        <v>1865</v>
      </c>
      <c r="I15" s="408">
        <v>1080</v>
      </c>
      <c r="J15" s="408">
        <v>5450</v>
      </c>
      <c r="K15" s="409">
        <v>0.7</v>
      </c>
      <c r="L15" s="410">
        <v>0.50649999999999995</v>
      </c>
      <c r="M15" s="410">
        <v>0.1915</v>
      </c>
      <c r="N15" s="411">
        <v>198.95</v>
      </c>
      <c r="O15" s="412">
        <v>2.63</v>
      </c>
      <c r="P15" s="412">
        <v>0.61</v>
      </c>
      <c r="Q15" s="413">
        <v>0.7</v>
      </c>
    </row>
    <row r="16" spans="1:17" ht="22.5" customHeight="1" x14ac:dyDescent="0.25">
      <c r="A16" s="405">
        <v>13</v>
      </c>
      <c r="B16" s="425" t="s">
        <v>366</v>
      </c>
      <c r="C16" s="407">
        <v>5.5250000000000004</v>
      </c>
      <c r="D16" s="406">
        <v>22</v>
      </c>
      <c r="E16" s="406">
        <v>15</v>
      </c>
      <c r="F16" s="406">
        <v>1</v>
      </c>
      <c r="G16" s="406">
        <v>40</v>
      </c>
      <c r="H16" s="408">
        <v>1250</v>
      </c>
      <c r="I16" s="408">
        <v>120</v>
      </c>
      <c r="J16" s="408">
        <v>1750</v>
      </c>
      <c r="K16" s="409">
        <v>0.55000000000000004</v>
      </c>
      <c r="L16" s="410">
        <v>0.72729999999999995</v>
      </c>
      <c r="M16" s="410">
        <v>0.1429</v>
      </c>
      <c r="N16" s="411">
        <v>247.96</v>
      </c>
      <c r="O16" s="412">
        <v>2.9</v>
      </c>
      <c r="P16" s="412">
        <v>0.18</v>
      </c>
      <c r="Q16" s="413">
        <v>0.69</v>
      </c>
    </row>
    <row r="17" spans="1:17" ht="22.5" customHeight="1" x14ac:dyDescent="0.25">
      <c r="A17" s="405">
        <v>14</v>
      </c>
      <c r="B17" s="425" t="s">
        <v>432</v>
      </c>
      <c r="C17" s="407">
        <v>8.891</v>
      </c>
      <c r="D17" s="406">
        <v>39</v>
      </c>
      <c r="E17" s="406">
        <v>24</v>
      </c>
      <c r="F17" s="406">
        <v>1</v>
      </c>
      <c r="G17" s="406">
        <v>53</v>
      </c>
      <c r="H17" s="408">
        <v>1355</v>
      </c>
      <c r="I17" s="408">
        <v>240</v>
      </c>
      <c r="J17" s="408">
        <v>2140</v>
      </c>
      <c r="K17" s="409">
        <v>0.73580000000000001</v>
      </c>
      <c r="L17" s="410">
        <v>0.64100000000000001</v>
      </c>
      <c r="M17" s="410">
        <v>6.6699999999999995E-2</v>
      </c>
      <c r="N17" s="411">
        <v>179.39</v>
      </c>
      <c r="O17" s="412">
        <v>2.81</v>
      </c>
      <c r="P17" s="412">
        <v>0.11</v>
      </c>
      <c r="Q17" s="413">
        <v>0.69</v>
      </c>
    </row>
    <row r="18" spans="1:17" ht="22.5" customHeight="1" x14ac:dyDescent="0.25">
      <c r="A18" s="405">
        <v>15</v>
      </c>
      <c r="B18" s="425" t="s">
        <v>379</v>
      </c>
      <c r="C18" s="407">
        <v>7.3550000000000004</v>
      </c>
      <c r="D18" s="406">
        <v>21</v>
      </c>
      <c r="E18" s="406">
        <v>16</v>
      </c>
      <c r="F18" s="406">
        <v>1</v>
      </c>
      <c r="G18" s="406">
        <v>28</v>
      </c>
      <c r="H18" s="408">
        <v>885</v>
      </c>
      <c r="I18" s="408">
        <v>120</v>
      </c>
      <c r="J18" s="408">
        <v>1195</v>
      </c>
      <c r="K18" s="409">
        <v>0.75</v>
      </c>
      <c r="L18" s="410">
        <v>0.8095</v>
      </c>
      <c r="M18" s="410">
        <v>0.2</v>
      </c>
      <c r="N18" s="411">
        <v>136.63999999999999</v>
      </c>
      <c r="O18" s="412">
        <v>2.31</v>
      </c>
      <c r="P18" s="412">
        <v>0.14000000000000001</v>
      </c>
      <c r="Q18" s="413">
        <v>0.68</v>
      </c>
    </row>
    <row r="19" spans="1:17" ht="22.5" customHeight="1" x14ac:dyDescent="0.25">
      <c r="A19" s="405">
        <v>16</v>
      </c>
      <c r="B19" s="425" t="s">
        <v>389</v>
      </c>
      <c r="C19" s="407">
        <v>6.9219999999999997</v>
      </c>
      <c r="D19" s="406">
        <v>22</v>
      </c>
      <c r="E19" s="406">
        <v>11</v>
      </c>
      <c r="F19" s="406">
        <v>5</v>
      </c>
      <c r="G19" s="406">
        <v>51</v>
      </c>
      <c r="H19" s="408">
        <v>885</v>
      </c>
      <c r="I19" s="408">
        <v>795</v>
      </c>
      <c r="J19" s="408">
        <v>2070</v>
      </c>
      <c r="K19" s="409">
        <v>0.43140000000000001</v>
      </c>
      <c r="L19" s="410">
        <v>0.72729999999999995</v>
      </c>
      <c r="M19" s="410">
        <v>0.45450000000000002</v>
      </c>
      <c r="N19" s="411">
        <v>242.7</v>
      </c>
      <c r="O19" s="412">
        <v>2.31</v>
      </c>
      <c r="P19" s="412">
        <v>0.72</v>
      </c>
      <c r="Q19" s="413">
        <v>0.67</v>
      </c>
    </row>
    <row r="20" spans="1:17" ht="22.5" customHeight="1" x14ac:dyDescent="0.25">
      <c r="A20" s="405">
        <v>17</v>
      </c>
      <c r="B20" s="425" t="s">
        <v>405</v>
      </c>
      <c r="C20" s="407">
        <v>5.8179999999999996</v>
      </c>
      <c r="D20" s="406">
        <v>29</v>
      </c>
      <c r="E20" s="406">
        <v>15</v>
      </c>
      <c r="F20" s="406">
        <v>1</v>
      </c>
      <c r="G20" s="406">
        <v>43</v>
      </c>
      <c r="H20" s="408">
        <v>1155</v>
      </c>
      <c r="I20" s="408">
        <v>120</v>
      </c>
      <c r="J20" s="408">
        <v>2375</v>
      </c>
      <c r="K20" s="409">
        <v>0.6744</v>
      </c>
      <c r="L20" s="410">
        <v>0.55169999999999997</v>
      </c>
      <c r="M20" s="410">
        <v>7.1400000000000005E-2</v>
      </c>
      <c r="N20" s="411">
        <v>219.15</v>
      </c>
      <c r="O20" s="412">
        <v>2.75</v>
      </c>
      <c r="P20" s="412">
        <v>0.17</v>
      </c>
      <c r="Q20" s="413">
        <v>0.66</v>
      </c>
    </row>
    <row r="21" spans="1:17" ht="22.5" customHeight="1" x14ac:dyDescent="0.25">
      <c r="A21" s="405">
        <v>18</v>
      </c>
      <c r="B21" s="425" t="s">
        <v>383</v>
      </c>
      <c r="C21" s="407">
        <v>8.3030000000000008</v>
      </c>
      <c r="D21" s="406">
        <v>34</v>
      </c>
      <c r="E21" s="406">
        <v>16</v>
      </c>
      <c r="F21" s="406">
        <v>4</v>
      </c>
      <c r="G21" s="406">
        <v>56</v>
      </c>
      <c r="H21" s="408">
        <v>1025</v>
      </c>
      <c r="I21" s="408">
        <v>480</v>
      </c>
      <c r="J21" s="408">
        <v>2315</v>
      </c>
      <c r="K21" s="409">
        <v>0.60709999999999997</v>
      </c>
      <c r="L21" s="410">
        <v>0.58819999999999995</v>
      </c>
      <c r="M21" s="410">
        <v>0.22220000000000001</v>
      </c>
      <c r="N21" s="411">
        <v>181.26</v>
      </c>
      <c r="O21" s="412">
        <v>2.41</v>
      </c>
      <c r="P21" s="412">
        <v>0.48</v>
      </c>
      <c r="Q21" s="413">
        <v>0.65</v>
      </c>
    </row>
    <row r="22" spans="1:17" ht="22.5" customHeight="1" x14ac:dyDescent="0.25">
      <c r="A22" s="405">
        <v>19</v>
      </c>
      <c r="B22" s="425" t="s">
        <v>329</v>
      </c>
      <c r="C22" s="407">
        <v>6.7850000000000001</v>
      </c>
      <c r="D22" s="406">
        <v>47</v>
      </c>
      <c r="E22" s="406">
        <v>12</v>
      </c>
      <c r="F22" s="406">
        <v>4</v>
      </c>
      <c r="G22" s="406">
        <v>63</v>
      </c>
      <c r="H22" s="408">
        <v>1340</v>
      </c>
      <c r="I22" s="408">
        <v>420</v>
      </c>
      <c r="J22" s="408">
        <v>3780</v>
      </c>
      <c r="K22" s="409">
        <v>0.746</v>
      </c>
      <c r="L22" s="410">
        <v>0.34039999999999998</v>
      </c>
      <c r="M22" s="410">
        <v>0.1143</v>
      </c>
      <c r="N22" s="411">
        <v>259.39999999999998</v>
      </c>
      <c r="O22" s="412">
        <v>2.36</v>
      </c>
      <c r="P22" s="412">
        <v>0.59</v>
      </c>
      <c r="Q22" s="413">
        <v>0.64</v>
      </c>
    </row>
    <row r="23" spans="1:17" ht="22.5" customHeight="1" x14ac:dyDescent="0.25">
      <c r="A23" s="405">
        <v>20</v>
      </c>
      <c r="B23" s="425" t="s">
        <v>277</v>
      </c>
      <c r="C23" s="407">
        <v>9.9209999999999994</v>
      </c>
      <c r="D23" s="406">
        <v>52</v>
      </c>
      <c r="E23" s="406">
        <v>21</v>
      </c>
      <c r="F23" s="406">
        <v>2</v>
      </c>
      <c r="G23" s="406">
        <v>68</v>
      </c>
      <c r="H23" s="408">
        <v>2350</v>
      </c>
      <c r="I23" s="408">
        <v>240</v>
      </c>
      <c r="J23" s="408">
        <v>4265</v>
      </c>
      <c r="K23" s="409">
        <v>0.76470000000000005</v>
      </c>
      <c r="L23" s="410">
        <v>0.44230000000000003</v>
      </c>
      <c r="M23" s="410">
        <v>6.4500000000000002E-2</v>
      </c>
      <c r="N23" s="411">
        <v>261.06</v>
      </c>
      <c r="O23" s="412">
        <v>2.3199999999999998</v>
      </c>
      <c r="P23" s="412">
        <v>0.2</v>
      </c>
      <c r="Q23" s="413">
        <v>0.63</v>
      </c>
    </row>
    <row r="24" spans="1:17" ht="22.5" customHeight="1" x14ac:dyDescent="0.25">
      <c r="A24" s="405">
        <v>21</v>
      </c>
      <c r="B24" s="425" t="s">
        <v>400</v>
      </c>
      <c r="C24" s="407">
        <v>6.1059999999999999</v>
      </c>
      <c r="D24" s="406">
        <v>22</v>
      </c>
      <c r="E24" s="406">
        <v>14</v>
      </c>
      <c r="F24" s="406">
        <v>2</v>
      </c>
      <c r="G24" s="406">
        <v>44</v>
      </c>
      <c r="H24" s="408">
        <v>775</v>
      </c>
      <c r="I24" s="408">
        <v>240</v>
      </c>
      <c r="J24" s="408">
        <v>1400</v>
      </c>
      <c r="K24" s="409">
        <v>0.5</v>
      </c>
      <c r="L24" s="410">
        <v>0.72729999999999995</v>
      </c>
      <c r="M24" s="410">
        <v>0.25</v>
      </c>
      <c r="N24" s="411">
        <v>166.23</v>
      </c>
      <c r="O24" s="412">
        <v>2.62</v>
      </c>
      <c r="P24" s="412">
        <v>0.33</v>
      </c>
      <c r="Q24" s="413">
        <v>0.62</v>
      </c>
    </row>
    <row r="25" spans="1:17" ht="22.5" customHeight="1" x14ac:dyDescent="0.25">
      <c r="A25" s="405">
        <v>22</v>
      </c>
      <c r="B25" s="425" t="s">
        <v>403</v>
      </c>
      <c r="C25" s="407">
        <v>7.1550000000000002</v>
      </c>
      <c r="D25" s="406">
        <v>25</v>
      </c>
      <c r="E25" s="406">
        <v>10</v>
      </c>
      <c r="F25" s="406">
        <v>3</v>
      </c>
      <c r="G25" s="406">
        <v>35</v>
      </c>
      <c r="H25" s="408">
        <v>1005</v>
      </c>
      <c r="I25" s="408">
        <v>360</v>
      </c>
      <c r="J25" s="408">
        <v>2100</v>
      </c>
      <c r="K25" s="409">
        <v>0.71430000000000005</v>
      </c>
      <c r="L25" s="410">
        <v>0.52</v>
      </c>
      <c r="M25" s="410">
        <v>0.2</v>
      </c>
      <c r="N25" s="411">
        <v>190.78</v>
      </c>
      <c r="O25" s="412">
        <v>1.82</v>
      </c>
      <c r="P25" s="412">
        <v>0.42</v>
      </c>
      <c r="Q25" s="413">
        <v>0.62</v>
      </c>
    </row>
    <row r="26" spans="1:17" ht="22.5" customHeight="1" x14ac:dyDescent="0.25">
      <c r="A26" s="405">
        <v>23</v>
      </c>
      <c r="B26" s="425" t="s">
        <v>341</v>
      </c>
      <c r="C26" s="407">
        <v>4.5759999999999996</v>
      </c>
      <c r="D26" s="406">
        <v>25</v>
      </c>
      <c r="E26" s="406">
        <v>7</v>
      </c>
      <c r="F26" s="406">
        <v>2</v>
      </c>
      <c r="G26" s="406">
        <v>30</v>
      </c>
      <c r="H26" s="408">
        <v>800</v>
      </c>
      <c r="I26" s="408">
        <v>240</v>
      </c>
      <c r="J26" s="408">
        <v>1960</v>
      </c>
      <c r="K26" s="409">
        <v>0.83330000000000004</v>
      </c>
      <c r="L26" s="410">
        <v>0.36</v>
      </c>
      <c r="M26" s="410">
        <v>0.1111</v>
      </c>
      <c r="N26" s="411">
        <v>227.27</v>
      </c>
      <c r="O26" s="412">
        <v>1.97</v>
      </c>
      <c r="P26" s="412">
        <v>0.44</v>
      </c>
      <c r="Q26" s="413">
        <v>0.61</v>
      </c>
    </row>
    <row r="27" spans="1:17" ht="22.5" customHeight="1" x14ac:dyDescent="0.25">
      <c r="A27" s="405">
        <v>24</v>
      </c>
      <c r="B27" s="425" t="s">
        <v>335</v>
      </c>
      <c r="C27" s="407">
        <v>11.57</v>
      </c>
      <c r="D27" s="406">
        <v>37</v>
      </c>
      <c r="E27" s="406">
        <v>22</v>
      </c>
      <c r="F27" s="406">
        <v>4</v>
      </c>
      <c r="G27" s="406">
        <v>75</v>
      </c>
      <c r="H27" s="408">
        <v>1600</v>
      </c>
      <c r="I27" s="408">
        <v>360</v>
      </c>
      <c r="J27" s="408">
        <v>2385</v>
      </c>
      <c r="K27" s="409">
        <v>0.49330000000000002</v>
      </c>
      <c r="L27" s="410">
        <v>0.70269999999999999</v>
      </c>
      <c r="M27" s="410">
        <v>0.26669999999999999</v>
      </c>
      <c r="N27" s="411">
        <v>169.4</v>
      </c>
      <c r="O27" s="412">
        <v>2.25</v>
      </c>
      <c r="P27" s="412">
        <v>0.35</v>
      </c>
      <c r="Q27" s="413">
        <v>0.59</v>
      </c>
    </row>
    <row r="28" spans="1:17" ht="22.5" customHeight="1" x14ac:dyDescent="0.25">
      <c r="A28" s="405">
        <v>25</v>
      </c>
      <c r="B28" s="425" t="s">
        <v>430</v>
      </c>
      <c r="C28" s="407">
        <v>5.7830000000000004</v>
      </c>
      <c r="D28" s="406">
        <v>21</v>
      </c>
      <c r="E28" s="406">
        <v>11</v>
      </c>
      <c r="F28" s="406">
        <v>1</v>
      </c>
      <c r="G28" s="406">
        <v>30</v>
      </c>
      <c r="H28" s="408">
        <v>770</v>
      </c>
      <c r="I28" s="408">
        <v>120</v>
      </c>
      <c r="J28" s="408">
        <v>1585</v>
      </c>
      <c r="K28" s="409">
        <v>0.7</v>
      </c>
      <c r="L28" s="410">
        <v>0.57140000000000002</v>
      </c>
      <c r="M28" s="410">
        <v>0.1</v>
      </c>
      <c r="N28" s="411">
        <v>153.9</v>
      </c>
      <c r="O28" s="412">
        <v>2.08</v>
      </c>
      <c r="P28" s="412">
        <v>0.17</v>
      </c>
      <c r="Q28" s="413">
        <v>0.57999999999999996</v>
      </c>
    </row>
    <row r="29" spans="1:17" ht="22.5" customHeight="1" x14ac:dyDescent="0.25">
      <c r="A29" s="405">
        <v>26</v>
      </c>
      <c r="B29" s="425" t="s">
        <v>367</v>
      </c>
      <c r="C29" s="407">
        <v>6.2160000000000002</v>
      </c>
      <c r="D29" s="406">
        <v>18</v>
      </c>
      <c r="E29" s="406">
        <v>6</v>
      </c>
      <c r="F29" s="406">
        <v>5</v>
      </c>
      <c r="G29" s="406">
        <v>31</v>
      </c>
      <c r="H29" s="408">
        <v>340</v>
      </c>
      <c r="I29" s="408">
        <v>540</v>
      </c>
      <c r="J29" s="408">
        <v>1255</v>
      </c>
      <c r="K29" s="409">
        <v>0.5806</v>
      </c>
      <c r="L29" s="410">
        <v>0.61109999999999998</v>
      </c>
      <c r="M29" s="410">
        <v>0.41670000000000001</v>
      </c>
      <c r="N29" s="411">
        <v>141.57</v>
      </c>
      <c r="O29" s="412">
        <v>1.77</v>
      </c>
      <c r="P29" s="412">
        <v>0.8</v>
      </c>
      <c r="Q29" s="413">
        <v>0.56999999999999995</v>
      </c>
    </row>
    <row r="30" spans="1:17" ht="22.5" customHeight="1" x14ac:dyDescent="0.25">
      <c r="A30" s="405">
        <v>27</v>
      </c>
      <c r="B30" s="425" t="s">
        <v>308</v>
      </c>
      <c r="C30" s="407">
        <v>6.95</v>
      </c>
      <c r="D30" s="406">
        <v>25</v>
      </c>
      <c r="E30" s="406">
        <v>13</v>
      </c>
      <c r="F30" s="406">
        <v>1</v>
      </c>
      <c r="G30" s="406">
        <v>35</v>
      </c>
      <c r="H30" s="408">
        <v>925</v>
      </c>
      <c r="I30" s="408">
        <v>240</v>
      </c>
      <c r="J30" s="408">
        <v>1660</v>
      </c>
      <c r="K30" s="409">
        <v>0.71430000000000005</v>
      </c>
      <c r="L30" s="410">
        <v>0.56000000000000005</v>
      </c>
      <c r="M30" s="410">
        <v>8.3299999999999999E-2</v>
      </c>
      <c r="N30" s="411">
        <v>167.63</v>
      </c>
      <c r="O30" s="412">
        <v>2.0099999999999998</v>
      </c>
      <c r="P30" s="412">
        <v>0.14000000000000001</v>
      </c>
      <c r="Q30" s="413">
        <v>0.56999999999999995</v>
      </c>
    </row>
    <row r="31" spans="1:17" ht="22.5" customHeight="1" x14ac:dyDescent="0.25">
      <c r="A31" s="405">
        <v>28</v>
      </c>
      <c r="B31" s="425" t="s">
        <v>401</v>
      </c>
      <c r="C31" s="407">
        <v>6.8680000000000003</v>
      </c>
      <c r="D31" s="406">
        <v>21</v>
      </c>
      <c r="E31" s="406">
        <v>7</v>
      </c>
      <c r="F31" s="406">
        <v>4</v>
      </c>
      <c r="G31" s="406">
        <v>39</v>
      </c>
      <c r="H31" s="408">
        <v>420</v>
      </c>
      <c r="I31" s="408">
        <v>1500</v>
      </c>
      <c r="J31" s="408">
        <v>2285</v>
      </c>
      <c r="K31" s="409">
        <v>0.53849999999999998</v>
      </c>
      <c r="L31" s="410">
        <v>0.52380000000000004</v>
      </c>
      <c r="M31" s="410">
        <v>0.28570000000000001</v>
      </c>
      <c r="N31" s="411">
        <v>279.56</v>
      </c>
      <c r="O31" s="412">
        <v>1.6</v>
      </c>
      <c r="P31" s="412">
        <v>0.57999999999999996</v>
      </c>
      <c r="Q31" s="413">
        <v>0.56000000000000005</v>
      </c>
    </row>
    <row r="32" spans="1:17" ht="22.5" customHeight="1" x14ac:dyDescent="0.25">
      <c r="A32" s="405">
        <v>29</v>
      </c>
      <c r="B32" s="425" t="s">
        <v>351</v>
      </c>
      <c r="C32" s="407">
        <v>3.2120000000000002</v>
      </c>
      <c r="D32" s="406">
        <v>8</v>
      </c>
      <c r="E32" s="406">
        <v>4</v>
      </c>
      <c r="F32" s="406">
        <v>1</v>
      </c>
      <c r="G32" s="406">
        <v>11</v>
      </c>
      <c r="H32" s="408">
        <v>175</v>
      </c>
      <c r="I32" s="408">
        <v>120</v>
      </c>
      <c r="J32" s="408">
        <v>375</v>
      </c>
      <c r="K32" s="409">
        <v>0.72729999999999995</v>
      </c>
      <c r="L32" s="410">
        <v>0.625</v>
      </c>
      <c r="M32" s="410">
        <v>0.25</v>
      </c>
      <c r="N32" s="411">
        <v>91.84</v>
      </c>
      <c r="O32" s="412">
        <v>1.56</v>
      </c>
      <c r="P32" s="412">
        <v>0.31</v>
      </c>
      <c r="Q32" s="413">
        <v>0.56000000000000005</v>
      </c>
    </row>
    <row r="33" spans="1:17" ht="22.5" customHeight="1" x14ac:dyDescent="0.25">
      <c r="A33" s="405">
        <v>30</v>
      </c>
      <c r="B33" s="425" t="s">
        <v>317</v>
      </c>
      <c r="C33" s="407">
        <v>11.08</v>
      </c>
      <c r="D33" s="406">
        <v>51</v>
      </c>
      <c r="E33" s="406">
        <v>24</v>
      </c>
      <c r="F33" s="406">
        <v>2</v>
      </c>
      <c r="G33" s="406">
        <v>85</v>
      </c>
      <c r="H33" s="408">
        <v>1650</v>
      </c>
      <c r="I33" s="408">
        <v>540</v>
      </c>
      <c r="J33" s="408">
        <v>4310</v>
      </c>
      <c r="K33" s="409">
        <v>0.6</v>
      </c>
      <c r="L33" s="410">
        <v>0.50980000000000003</v>
      </c>
      <c r="M33" s="410">
        <v>7.4099999999999999E-2</v>
      </c>
      <c r="N33" s="411">
        <v>197.65</v>
      </c>
      <c r="O33" s="412">
        <v>2.35</v>
      </c>
      <c r="P33" s="412">
        <v>0.18</v>
      </c>
      <c r="Q33" s="413">
        <v>0.56000000000000005</v>
      </c>
    </row>
    <row r="34" spans="1:17" ht="22.5" customHeight="1" x14ac:dyDescent="0.25">
      <c r="A34" s="405">
        <v>31</v>
      </c>
      <c r="B34" s="425" t="s">
        <v>271</v>
      </c>
      <c r="C34" s="407">
        <v>6.56</v>
      </c>
      <c r="D34" s="406">
        <v>32</v>
      </c>
      <c r="E34" s="406">
        <v>17</v>
      </c>
      <c r="F34" s="406">
        <v>0</v>
      </c>
      <c r="G34" s="406">
        <v>38</v>
      </c>
      <c r="H34" s="408">
        <v>1050</v>
      </c>
      <c r="I34" s="408">
        <v>0</v>
      </c>
      <c r="J34" s="408">
        <v>1615</v>
      </c>
      <c r="K34" s="409">
        <v>0.84209999999999996</v>
      </c>
      <c r="L34" s="410">
        <v>0.53120000000000001</v>
      </c>
      <c r="M34" s="410">
        <v>0</v>
      </c>
      <c r="N34" s="411">
        <v>160.06</v>
      </c>
      <c r="O34" s="412">
        <v>2.59</v>
      </c>
      <c r="P34" s="412">
        <v>0</v>
      </c>
      <c r="Q34" s="413">
        <v>0.54</v>
      </c>
    </row>
    <row r="35" spans="1:17" ht="22.5" customHeight="1" x14ac:dyDescent="0.25">
      <c r="A35" s="405">
        <v>32</v>
      </c>
      <c r="B35" s="425" t="s">
        <v>435</v>
      </c>
      <c r="C35" s="407">
        <v>4.4749999999999996</v>
      </c>
      <c r="D35" s="406">
        <v>25</v>
      </c>
      <c r="E35" s="406">
        <v>14</v>
      </c>
      <c r="F35" s="406">
        <v>0</v>
      </c>
      <c r="G35" s="406">
        <v>34</v>
      </c>
      <c r="H35" s="408">
        <v>750</v>
      </c>
      <c r="I35" s="408">
        <v>0</v>
      </c>
      <c r="J35" s="408">
        <v>1470</v>
      </c>
      <c r="K35" s="409">
        <v>0.73529999999999995</v>
      </c>
      <c r="L35" s="410">
        <v>0.56000000000000005</v>
      </c>
      <c r="M35" s="410">
        <v>0</v>
      </c>
      <c r="N35" s="411">
        <v>167.6</v>
      </c>
      <c r="O35" s="412">
        <v>3.13</v>
      </c>
      <c r="P35" s="412">
        <v>0</v>
      </c>
      <c r="Q35" s="413">
        <v>0.54</v>
      </c>
    </row>
    <row r="36" spans="1:17" ht="22.5" customHeight="1" x14ac:dyDescent="0.25">
      <c r="A36" s="405">
        <v>33</v>
      </c>
      <c r="B36" s="425" t="s">
        <v>282</v>
      </c>
      <c r="C36" s="407">
        <v>0.32400000000000001</v>
      </c>
      <c r="D36" s="406">
        <v>2</v>
      </c>
      <c r="E36" s="406">
        <v>1</v>
      </c>
      <c r="F36" s="406">
        <v>0</v>
      </c>
      <c r="G36" s="406">
        <v>3</v>
      </c>
      <c r="H36" s="408">
        <v>100</v>
      </c>
      <c r="I36" s="408">
        <v>0</v>
      </c>
      <c r="J36" s="408">
        <v>150</v>
      </c>
      <c r="K36" s="409">
        <v>0.66669999999999996</v>
      </c>
      <c r="L36" s="410">
        <v>0.5</v>
      </c>
      <c r="M36" s="410">
        <v>0</v>
      </c>
      <c r="N36" s="411">
        <v>308.64</v>
      </c>
      <c r="O36" s="412">
        <v>3.09</v>
      </c>
      <c r="P36" s="412">
        <v>0</v>
      </c>
      <c r="Q36" s="413">
        <v>0.54</v>
      </c>
    </row>
    <row r="37" spans="1:17" ht="22.5" customHeight="1" x14ac:dyDescent="0.25">
      <c r="A37" s="405">
        <v>34</v>
      </c>
      <c r="B37" s="425" t="s">
        <v>362</v>
      </c>
      <c r="C37" s="407">
        <v>8.6080000000000005</v>
      </c>
      <c r="D37" s="406">
        <v>46</v>
      </c>
      <c r="E37" s="406">
        <v>23</v>
      </c>
      <c r="F37" s="406">
        <v>1</v>
      </c>
      <c r="G37" s="406">
        <v>84</v>
      </c>
      <c r="H37" s="408">
        <v>1520</v>
      </c>
      <c r="I37" s="408">
        <v>120</v>
      </c>
      <c r="J37" s="408">
        <v>3345</v>
      </c>
      <c r="K37" s="409">
        <v>0.54759999999999998</v>
      </c>
      <c r="L37" s="410">
        <v>0.52170000000000005</v>
      </c>
      <c r="M37" s="410">
        <v>4.3499999999999997E-2</v>
      </c>
      <c r="N37" s="411">
        <v>190.52</v>
      </c>
      <c r="O37" s="412">
        <v>2.79</v>
      </c>
      <c r="P37" s="412">
        <v>0.12</v>
      </c>
      <c r="Q37" s="413">
        <v>0.53</v>
      </c>
    </row>
    <row r="38" spans="1:17" ht="22.5" customHeight="1" x14ac:dyDescent="0.25">
      <c r="A38" s="405">
        <v>35</v>
      </c>
      <c r="B38" s="425" t="s">
        <v>354</v>
      </c>
      <c r="C38" s="407">
        <v>5.2</v>
      </c>
      <c r="D38" s="406">
        <v>24</v>
      </c>
      <c r="E38" s="406">
        <v>12</v>
      </c>
      <c r="F38" s="406">
        <v>0</v>
      </c>
      <c r="G38" s="406">
        <v>31</v>
      </c>
      <c r="H38" s="408">
        <v>1495</v>
      </c>
      <c r="I38" s="408">
        <v>0</v>
      </c>
      <c r="J38" s="408">
        <v>2205</v>
      </c>
      <c r="K38" s="409">
        <v>0.7742</v>
      </c>
      <c r="L38" s="410">
        <v>0.5</v>
      </c>
      <c r="M38" s="410">
        <v>0</v>
      </c>
      <c r="N38" s="411">
        <v>287.5</v>
      </c>
      <c r="O38" s="412">
        <v>2.31</v>
      </c>
      <c r="P38" s="412">
        <v>0</v>
      </c>
      <c r="Q38" s="413">
        <v>0.53</v>
      </c>
    </row>
    <row r="39" spans="1:17" ht="22.5" customHeight="1" x14ac:dyDescent="0.25">
      <c r="A39" s="405">
        <v>36</v>
      </c>
      <c r="B39" s="425" t="s">
        <v>402</v>
      </c>
      <c r="C39" s="407">
        <v>7.3460000000000001</v>
      </c>
      <c r="D39" s="406">
        <v>33</v>
      </c>
      <c r="E39" s="406">
        <v>21</v>
      </c>
      <c r="F39" s="406">
        <v>0</v>
      </c>
      <c r="G39" s="406">
        <v>48</v>
      </c>
      <c r="H39" s="408">
        <v>955</v>
      </c>
      <c r="I39" s="408">
        <v>0</v>
      </c>
      <c r="J39" s="408">
        <v>1535</v>
      </c>
      <c r="K39" s="409">
        <v>0.6875</v>
      </c>
      <c r="L39" s="410">
        <v>0.63639999999999997</v>
      </c>
      <c r="M39" s="410">
        <v>0</v>
      </c>
      <c r="N39" s="411">
        <v>130</v>
      </c>
      <c r="O39" s="412">
        <v>2.86</v>
      </c>
      <c r="P39" s="412">
        <v>0</v>
      </c>
      <c r="Q39" s="413">
        <v>0.52</v>
      </c>
    </row>
    <row r="40" spans="1:17" ht="22.5" customHeight="1" x14ac:dyDescent="0.25">
      <c r="A40" s="405">
        <v>37</v>
      </c>
      <c r="B40" s="425" t="s">
        <v>392</v>
      </c>
      <c r="C40" s="407">
        <v>0.82199999999999995</v>
      </c>
      <c r="D40" s="406">
        <v>4</v>
      </c>
      <c r="E40" s="406">
        <v>0</v>
      </c>
      <c r="F40" s="406">
        <v>1</v>
      </c>
      <c r="G40" s="406">
        <v>6</v>
      </c>
      <c r="H40" s="408">
        <v>0</v>
      </c>
      <c r="I40" s="408">
        <v>240</v>
      </c>
      <c r="J40" s="408">
        <v>395</v>
      </c>
      <c r="K40" s="409">
        <v>0.66669999999999996</v>
      </c>
      <c r="L40" s="410">
        <v>0.25</v>
      </c>
      <c r="M40" s="410">
        <v>0.25</v>
      </c>
      <c r="N40" s="411">
        <v>291.97000000000003</v>
      </c>
      <c r="O40" s="412">
        <v>1.22</v>
      </c>
      <c r="P40" s="412">
        <v>1.22</v>
      </c>
      <c r="Q40" s="413">
        <v>0.52</v>
      </c>
    </row>
    <row r="41" spans="1:17" ht="22.5" customHeight="1" x14ac:dyDescent="0.25">
      <c r="A41" s="405">
        <v>38</v>
      </c>
      <c r="B41" s="425" t="s">
        <v>324</v>
      </c>
      <c r="C41" s="407">
        <v>4.5030000000000001</v>
      </c>
      <c r="D41" s="406">
        <v>17</v>
      </c>
      <c r="E41" s="406">
        <v>7</v>
      </c>
      <c r="F41" s="406">
        <v>1</v>
      </c>
      <c r="G41" s="406">
        <v>28</v>
      </c>
      <c r="H41" s="408">
        <v>910</v>
      </c>
      <c r="I41" s="408">
        <v>25</v>
      </c>
      <c r="J41" s="408">
        <v>1320</v>
      </c>
      <c r="K41" s="409">
        <v>0.60709999999999997</v>
      </c>
      <c r="L41" s="410">
        <v>0.47060000000000002</v>
      </c>
      <c r="M41" s="410">
        <v>0.1</v>
      </c>
      <c r="N41" s="411">
        <v>207.64</v>
      </c>
      <c r="O41" s="412">
        <v>1.78</v>
      </c>
      <c r="P41" s="412">
        <v>0.22</v>
      </c>
      <c r="Q41" s="413">
        <v>0.51</v>
      </c>
    </row>
    <row r="42" spans="1:17" ht="22.5" customHeight="1" x14ac:dyDescent="0.25">
      <c r="A42" s="405">
        <v>39</v>
      </c>
      <c r="B42" s="425" t="s">
        <v>333</v>
      </c>
      <c r="C42" s="407">
        <v>9.5329999999999995</v>
      </c>
      <c r="D42" s="406">
        <v>34</v>
      </c>
      <c r="E42" s="406">
        <v>14</v>
      </c>
      <c r="F42" s="406">
        <v>2</v>
      </c>
      <c r="G42" s="406">
        <v>44</v>
      </c>
      <c r="H42" s="408">
        <v>830</v>
      </c>
      <c r="I42" s="408">
        <v>300</v>
      </c>
      <c r="J42" s="408">
        <v>1942</v>
      </c>
      <c r="K42" s="409">
        <v>0.77270000000000005</v>
      </c>
      <c r="L42" s="410">
        <v>0.47060000000000002</v>
      </c>
      <c r="M42" s="410">
        <v>0.1</v>
      </c>
      <c r="N42" s="411">
        <v>118.54</v>
      </c>
      <c r="O42" s="412">
        <v>1.68</v>
      </c>
      <c r="P42" s="412">
        <v>0.21</v>
      </c>
      <c r="Q42" s="413">
        <v>0.5</v>
      </c>
    </row>
    <row r="43" spans="1:17" ht="22.5" customHeight="1" x14ac:dyDescent="0.25">
      <c r="A43" s="405">
        <v>40</v>
      </c>
      <c r="B43" s="425" t="s">
        <v>269</v>
      </c>
      <c r="C43" s="407">
        <v>7.1890000000000001</v>
      </c>
      <c r="D43" s="406">
        <v>29</v>
      </c>
      <c r="E43" s="406">
        <v>6</v>
      </c>
      <c r="F43" s="406">
        <v>5</v>
      </c>
      <c r="G43" s="406">
        <v>39</v>
      </c>
      <c r="H43" s="408">
        <v>220</v>
      </c>
      <c r="I43" s="408">
        <v>720</v>
      </c>
      <c r="J43" s="408">
        <v>2190</v>
      </c>
      <c r="K43" s="409">
        <v>0.74360000000000004</v>
      </c>
      <c r="L43" s="410">
        <v>0.37930000000000003</v>
      </c>
      <c r="M43" s="410">
        <v>0.21740000000000001</v>
      </c>
      <c r="N43" s="411">
        <v>130.76</v>
      </c>
      <c r="O43" s="412">
        <v>1.53</v>
      </c>
      <c r="P43" s="412">
        <v>0.7</v>
      </c>
      <c r="Q43" s="413">
        <v>0.5</v>
      </c>
    </row>
    <row r="44" spans="1:17" ht="22.5" customHeight="1" x14ac:dyDescent="0.25">
      <c r="A44" s="405">
        <v>41</v>
      </c>
      <c r="B44" s="425" t="s">
        <v>290</v>
      </c>
      <c r="C44" s="407">
        <v>0.97099999999999997</v>
      </c>
      <c r="D44" s="406">
        <v>4</v>
      </c>
      <c r="E44" s="406">
        <v>1</v>
      </c>
      <c r="F44" s="406">
        <v>1</v>
      </c>
      <c r="G44" s="406">
        <v>7</v>
      </c>
      <c r="H44" s="408">
        <v>25</v>
      </c>
      <c r="I44" s="408">
        <v>60</v>
      </c>
      <c r="J44" s="408">
        <v>285</v>
      </c>
      <c r="K44" s="409">
        <v>0.57140000000000002</v>
      </c>
      <c r="L44" s="410">
        <v>0.5</v>
      </c>
      <c r="M44" s="410">
        <v>0.33329999999999999</v>
      </c>
      <c r="N44" s="411">
        <v>87.54</v>
      </c>
      <c r="O44" s="412">
        <v>2.06</v>
      </c>
      <c r="P44" s="412">
        <v>1.03</v>
      </c>
      <c r="Q44" s="413">
        <v>0.49</v>
      </c>
    </row>
    <row r="45" spans="1:17" ht="22.5" customHeight="1" x14ac:dyDescent="0.25">
      <c r="A45" s="405">
        <v>42</v>
      </c>
      <c r="B45" s="425" t="s">
        <v>286</v>
      </c>
      <c r="C45" s="407">
        <v>3.2330000000000001</v>
      </c>
      <c r="D45" s="406">
        <v>13</v>
      </c>
      <c r="E45" s="406">
        <v>8</v>
      </c>
      <c r="F45" s="406">
        <v>0</v>
      </c>
      <c r="G45" s="406">
        <v>20</v>
      </c>
      <c r="H45" s="408">
        <v>510</v>
      </c>
      <c r="I45" s="408">
        <v>0</v>
      </c>
      <c r="J45" s="408">
        <v>845</v>
      </c>
      <c r="K45" s="409">
        <v>0.65</v>
      </c>
      <c r="L45" s="410">
        <v>0.61539999999999995</v>
      </c>
      <c r="M45" s="410">
        <v>0</v>
      </c>
      <c r="N45" s="411">
        <v>157.75</v>
      </c>
      <c r="O45" s="412">
        <v>2.4700000000000002</v>
      </c>
      <c r="P45" s="412">
        <v>0</v>
      </c>
      <c r="Q45" s="413">
        <v>0.49</v>
      </c>
    </row>
    <row r="46" spans="1:17" ht="22.5" customHeight="1" x14ac:dyDescent="0.25">
      <c r="A46" s="405">
        <v>43</v>
      </c>
      <c r="B46" s="425" t="s">
        <v>364</v>
      </c>
      <c r="C46" s="407">
        <v>2.4180000000000001</v>
      </c>
      <c r="D46" s="406">
        <v>8</v>
      </c>
      <c r="E46" s="406">
        <v>5</v>
      </c>
      <c r="F46" s="406">
        <v>0</v>
      </c>
      <c r="G46" s="406">
        <v>13</v>
      </c>
      <c r="H46" s="408">
        <v>500</v>
      </c>
      <c r="I46" s="408">
        <v>0</v>
      </c>
      <c r="J46" s="408">
        <v>680</v>
      </c>
      <c r="K46" s="409">
        <v>0.61539999999999995</v>
      </c>
      <c r="L46" s="410">
        <v>0.625</v>
      </c>
      <c r="M46" s="410">
        <v>0</v>
      </c>
      <c r="N46" s="411">
        <v>206.78</v>
      </c>
      <c r="O46" s="412">
        <v>2.0699999999999998</v>
      </c>
      <c r="P46" s="412">
        <v>0</v>
      </c>
      <c r="Q46" s="413">
        <v>0.48</v>
      </c>
    </row>
    <row r="47" spans="1:17" ht="22.5" customHeight="1" x14ac:dyDescent="0.25">
      <c r="A47" s="405">
        <v>44</v>
      </c>
      <c r="B47" s="425" t="s">
        <v>300</v>
      </c>
      <c r="C47" s="407">
        <v>0.55700000000000005</v>
      </c>
      <c r="D47" s="406">
        <v>1</v>
      </c>
      <c r="E47" s="406">
        <v>1</v>
      </c>
      <c r="F47" s="406">
        <v>0</v>
      </c>
      <c r="G47" s="406">
        <v>1</v>
      </c>
      <c r="H47" s="408">
        <v>25</v>
      </c>
      <c r="I47" s="408">
        <v>0</v>
      </c>
      <c r="J47" s="408">
        <v>25</v>
      </c>
      <c r="K47" s="409">
        <v>1</v>
      </c>
      <c r="L47" s="410">
        <v>1</v>
      </c>
      <c r="M47" s="410">
        <v>0</v>
      </c>
      <c r="N47" s="411">
        <v>44.88</v>
      </c>
      <c r="O47" s="412">
        <v>1.8</v>
      </c>
      <c r="P47" s="412">
        <v>0</v>
      </c>
      <c r="Q47" s="413">
        <v>0.48</v>
      </c>
    </row>
    <row r="48" spans="1:17" ht="22.5" customHeight="1" x14ac:dyDescent="0.25">
      <c r="A48" s="405">
        <v>45</v>
      </c>
      <c r="B48" s="425" t="s">
        <v>337</v>
      </c>
      <c r="C48" s="407">
        <v>6.4589999999999996</v>
      </c>
      <c r="D48" s="406">
        <v>22</v>
      </c>
      <c r="E48" s="406">
        <v>16</v>
      </c>
      <c r="F48" s="406">
        <v>0</v>
      </c>
      <c r="G48" s="406">
        <v>38</v>
      </c>
      <c r="H48" s="408">
        <v>1179</v>
      </c>
      <c r="I48" s="408">
        <v>0</v>
      </c>
      <c r="J48" s="408">
        <v>1484</v>
      </c>
      <c r="K48" s="409">
        <v>0.57889999999999997</v>
      </c>
      <c r="L48" s="410">
        <v>0.72729999999999995</v>
      </c>
      <c r="M48" s="410">
        <v>0</v>
      </c>
      <c r="N48" s="411">
        <v>182.54</v>
      </c>
      <c r="O48" s="412">
        <v>2.48</v>
      </c>
      <c r="P48" s="412">
        <v>0</v>
      </c>
      <c r="Q48" s="413">
        <v>0.48</v>
      </c>
    </row>
    <row r="49" spans="1:17" ht="22.5" customHeight="1" x14ac:dyDescent="0.25">
      <c r="A49" s="405">
        <v>46</v>
      </c>
      <c r="B49" s="425" t="s">
        <v>302</v>
      </c>
      <c r="C49" s="407">
        <v>7.2770000000000001</v>
      </c>
      <c r="D49" s="406">
        <v>36</v>
      </c>
      <c r="E49" s="406">
        <v>15</v>
      </c>
      <c r="F49" s="406">
        <v>1</v>
      </c>
      <c r="G49" s="406">
        <v>55</v>
      </c>
      <c r="H49" s="408">
        <v>860</v>
      </c>
      <c r="I49" s="408">
        <v>120</v>
      </c>
      <c r="J49" s="408">
        <v>1950</v>
      </c>
      <c r="K49" s="409">
        <v>0.65449999999999997</v>
      </c>
      <c r="L49" s="410">
        <v>0.44440000000000002</v>
      </c>
      <c r="M49" s="410">
        <v>4.7600000000000003E-2</v>
      </c>
      <c r="N49" s="411">
        <v>134.66999999999999</v>
      </c>
      <c r="O49" s="412">
        <v>2.2000000000000002</v>
      </c>
      <c r="P49" s="412">
        <v>0.14000000000000001</v>
      </c>
      <c r="Q49" s="413">
        <v>0.47</v>
      </c>
    </row>
    <row r="50" spans="1:17" ht="22.5" customHeight="1" x14ac:dyDescent="0.25">
      <c r="A50" s="405">
        <v>47</v>
      </c>
      <c r="B50" s="425" t="s">
        <v>414</v>
      </c>
      <c r="C50" s="407">
        <v>9.5069999999999997</v>
      </c>
      <c r="D50" s="406">
        <v>42</v>
      </c>
      <c r="E50" s="406">
        <v>16</v>
      </c>
      <c r="F50" s="406">
        <v>2</v>
      </c>
      <c r="G50" s="406">
        <v>59</v>
      </c>
      <c r="H50" s="408">
        <v>535</v>
      </c>
      <c r="I50" s="408">
        <v>240</v>
      </c>
      <c r="J50" s="408">
        <v>2550</v>
      </c>
      <c r="K50" s="409">
        <v>0.71189999999999998</v>
      </c>
      <c r="L50" s="410">
        <v>0.42859999999999998</v>
      </c>
      <c r="M50" s="410">
        <v>7.6899999999999996E-2</v>
      </c>
      <c r="N50" s="411">
        <v>81.52</v>
      </c>
      <c r="O50" s="412">
        <v>1.89</v>
      </c>
      <c r="P50" s="412">
        <v>0.21</v>
      </c>
      <c r="Q50" s="413">
        <v>0.46</v>
      </c>
    </row>
    <row r="51" spans="1:17" ht="22.5" customHeight="1" x14ac:dyDescent="0.25">
      <c r="A51" s="405">
        <v>48</v>
      </c>
      <c r="B51" s="425" t="s">
        <v>276</v>
      </c>
      <c r="C51" s="407">
        <v>7.1230000000000002</v>
      </c>
      <c r="D51" s="406">
        <v>26</v>
      </c>
      <c r="E51" s="406">
        <v>10</v>
      </c>
      <c r="F51" s="406">
        <v>2</v>
      </c>
      <c r="G51" s="406">
        <v>45</v>
      </c>
      <c r="H51" s="408">
        <v>1090</v>
      </c>
      <c r="I51" s="408">
        <v>240</v>
      </c>
      <c r="J51" s="408">
        <v>2005</v>
      </c>
      <c r="K51" s="409">
        <v>0.57779999999999998</v>
      </c>
      <c r="L51" s="410">
        <v>0.46150000000000002</v>
      </c>
      <c r="M51" s="410">
        <v>0.125</v>
      </c>
      <c r="N51" s="411">
        <v>186.72</v>
      </c>
      <c r="O51" s="412">
        <v>1.68</v>
      </c>
      <c r="P51" s="412">
        <v>0.28000000000000003</v>
      </c>
      <c r="Q51" s="413">
        <v>0.45</v>
      </c>
    </row>
    <row r="52" spans="1:17" ht="22.5" customHeight="1" x14ac:dyDescent="0.25">
      <c r="A52" s="405">
        <v>49</v>
      </c>
      <c r="B52" s="425" t="s">
        <v>375</v>
      </c>
      <c r="C52" s="407">
        <v>10.769</v>
      </c>
      <c r="D52" s="406">
        <v>40</v>
      </c>
      <c r="E52" s="406">
        <v>23</v>
      </c>
      <c r="F52" s="406">
        <v>0</v>
      </c>
      <c r="G52" s="406">
        <v>64</v>
      </c>
      <c r="H52" s="408">
        <v>1835</v>
      </c>
      <c r="I52" s="408">
        <v>0</v>
      </c>
      <c r="J52" s="408">
        <v>2810</v>
      </c>
      <c r="K52" s="409">
        <v>0.625</v>
      </c>
      <c r="L52" s="410">
        <v>0.57499999999999996</v>
      </c>
      <c r="M52" s="410">
        <v>0</v>
      </c>
      <c r="N52" s="411">
        <v>170.4</v>
      </c>
      <c r="O52" s="412">
        <v>2.14</v>
      </c>
      <c r="P52" s="412">
        <v>0</v>
      </c>
      <c r="Q52" s="413">
        <v>0.44</v>
      </c>
    </row>
    <row r="53" spans="1:17" ht="22.5" customHeight="1" x14ac:dyDescent="0.25">
      <c r="A53" s="405">
        <v>50</v>
      </c>
      <c r="B53" s="425" t="s">
        <v>318</v>
      </c>
      <c r="C53" s="407">
        <v>7.2389999999999999</v>
      </c>
      <c r="D53" s="406">
        <v>36</v>
      </c>
      <c r="E53" s="406">
        <v>12</v>
      </c>
      <c r="F53" s="406">
        <v>1</v>
      </c>
      <c r="G53" s="406">
        <v>58</v>
      </c>
      <c r="H53" s="408">
        <v>1300</v>
      </c>
      <c r="I53" s="408">
        <v>120</v>
      </c>
      <c r="J53" s="408">
        <v>3220</v>
      </c>
      <c r="K53" s="409">
        <v>0.62070000000000003</v>
      </c>
      <c r="L53" s="410">
        <v>0.36109999999999998</v>
      </c>
      <c r="M53" s="410">
        <v>4.1700000000000001E-2</v>
      </c>
      <c r="N53" s="411">
        <v>196.16</v>
      </c>
      <c r="O53" s="412">
        <v>1.8</v>
      </c>
      <c r="P53" s="412">
        <v>0.14000000000000001</v>
      </c>
      <c r="Q53" s="413">
        <v>0.43</v>
      </c>
    </row>
    <row r="54" spans="1:17" ht="22.5" customHeight="1" x14ac:dyDescent="0.25">
      <c r="A54" s="405">
        <v>51</v>
      </c>
      <c r="B54" s="425" t="s">
        <v>323</v>
      </c>
      <c r="C54" s="407">
        <v>1.6559999999999999</v>
      </c>
      <c r="D54" s="406">
        <v>5</v>
      </c>
      <c r="E54" s="406">
        <v>3</v>
      </c>
      <c r="F54" s="406">
        <v>0</v>
      </c>
      <c r="G54" s="406">
        <v>6</v>
      </c>
      <c r="H54" s="408">
        <v>80</v>
      </c>
      <c r="I54" s="408">
        <v>0</v>
      </c>
      <c r="J54" s="408">
        <v>140</v>
      </c>
      <c r="K54" s="409">
        <v>0.83330000000000004</v>
      </c>
      <c r="L54" s="410">
        <v>0.6</v>
      </c>
      <c r="M54" s="410">
        <v>0</v>
      </c>
      <c r="N54" s="411">
        <v>48.31</v>
      </c>
      <c r="O54" s="412">
        <v>1.81</v>
      </c>
      <c r="P54" s="412">
        <v>0</v>
      </c>
      <c r="Q54" s="413">
        <v>0.43</v>
      </c>
    </row>
    <row r="55" spans="1:17" ht="22.5" customHeight="1" x14ac:dyDescent="0.25">
      <c r="A55" s="405">
        <v>52</v>
      </c>
      <c r="B55" s="425" t="s">
        <v>301</v>
      </c>
      <c r="C55" s="407">
        <v>6.8010000000000002</v>
      </c>
      <c r="D55" s="406">
        <v>28</v>
      </c>
      <c r="E55" s="406">
        <v>13</v>
      </c>
      <c r="F55" s="406">
        <v>1</v>
      </c>
      <c r="G55" s="406">
        <v>51</v>
      </c>
      <c r="H55" s="408">
        <v>930</v>
      </c>
      <c r="I55" s="408">
        <v>60</v>
      </c>
      <c r="J55" s="408">
        <v>1585</v>
      </c>
      <c r="K55" s="409">
        <v>0.54900000000000004</v>
      </c>
      <c r="L55" s="410">
        <v>0.5</v>
      </c>
      <c r="M55" s="410">
        <v>6.6699999999999995E-2</v>
      </c>
      <c r="N55" s="411">
        <v>145.57</v>
      </c>
      <c r="O55" s="412">
        <v>2.06</v>
      </c>
      <c r="P55" s="412">
        <v>0.15</v>
      </c>
      <c r="Q55" s="413">
        <v>0.43</v>
      </c>
    </row>
    <row r="56" spans="1:17" ht="22.5" customHeight="1" x14ac:dyDescent="0.25">
      <c r="A56" s="405">
        <v>53</v>
      </c>
      <c r="B56" s="425" t="s">
        <v>417</v>
      </c>
      <c r="C56" s="407">
        <v>3.6139999999999999</v>
      </c>
      <c r="D56" s="406">
        <v>17</v>
      </c>
      <c r="E56" s="406">
        <v>8</v>
      </c>
      <c r="F56" s="406">
        <v>0</v>
      </c>
      <c r="G56" s="406">
        <v>28</v>
      </c>
      <c r="H56" s="408">
        <v>935</v>
      </c>
      <c r="I56" s="408">
        <v>0</v>
      </c>
      <c r="J56" s="408">
        <v>1555</v>
      </c>
      <c r="K56" s="409">
        <v>0.60709999999999997</v>
      </c>
      <c r="L56" s="410">
        <v>0.47060000000000002</v>
      </c>
      <c r="M56" s="410">
        <v>0</v>
      </c>
      <c r="N56" s="411">
        <v>258.72000000000003</v>
      </c>
      <c r="O56" s="412">
        <v>2.21</v>
      </c>
      <c r="P56" s="412">
        <v>0</v>
      </c>
      <c r="Q56" s="413">
        <v>0.42</v>
      </c>
    </row>
    <row r="57" spans="1:17" ht="22.5" customHeight="1" x14ac:dyDescent="0.25">
      <c r="A57" s="405">
        <v>54</v>
      </c>
      <c r="B57" s="425" t="s">
        <v>332</v>
      </c>
      <c r="C57" s="407">
        <v>6.2690000000000001</v>
      </c>
      <c r="D57" s="406">
        <v>17</v>
      </c>
      <c r="E57" s="406">
        <v>9</v>
      </c>
      <c r="F57" s="406">
        <v>1</v>
      </c>
      <c r="G57" s="406">
        <v>33</v>
      </c>
      <c r="H57" s="408">
        <v>700</v>
      </c>
      <c r="I57" s="408">
        <v>120</v>
      </c>
      <c r="J57" s="408">
        <v>1655</v>
      </c>
      <c r="K57" s="409">
        <v>0.51519999999999999</v>
      </c>
      <c r="L57" s="410">
        <v>0.58819999999999995</v>
      </c>
      <c r="M57" s="410">
        <v>0.125</v>
      </c>
      <c r="N57" s="411">
        <v>130.80000000000001</v>
      </c>
      <c r="O57" s="412">
        <v>1.6</v>
      </c>
      <c r="P57" s="412">
        <v>0.16</v>
      </c>
      <c r="Q57" s="413">
        <v>0.42</v>
      </c>
    </row>
    <row r="58" spans="1:17" ht="22.5" customHeight="1" x14ac:dyDescent="0.25">
      <c r="A58" s="405">
        <v>55</v>
      </c>
      <c r="B58" s="425" t="s">
        <v>325</v>
      </c>
      <c r="C58" s="407">
        <v>6.6130000000000004</v>
      </c>
      <c r="D58" s="406">
        <v>33</v>
      </c>
      <c r="E58" s="406">
        <v>13</v>
      </c>
      <c r="F58" s="406">
        <v>0</v>
      </c>
      <c r="G58" s="406">
        <v>48</v>
      </c>
      <c r="H58" s="408">
        <v>1384</v>
      </c>
      <c r="I58" s="408">
        <v>0</v>
      </c>
      <c r="J58" s="408">
        <v>2189</v>
      </c>
      <c r="K58" s="409">
        <v>0.6875</v>
      </c>
      <c r="L58" s="410">
        <v>0.39389999999999997</v>
      </c>
      <c r="M58" s="410">
        <v>0</v>
      </c>
      <c r="N58" s="411">
        <v>209.28</v>
      </c>
      <c r="O58" s="412">
        <v>1.97</v>
      </c>
      <c r="P58" s="412">
        <v>0</v>
      </c>
      <c r="Q58" s="413">
        <v>0.4</v>
      </c>
    </row>
    <row r="59" spans="1:17" ht="22.5" customHeight="1" x14ac:dyDescent="0.25">
      <c r="A59" s="405">
        <v>56</v>
      </c>
      <c r="B59" s="425" t="s">
        <v>399</v>
      </c>
      <c r="C59" s="407">
        <v>0.51900000000000002</v>
      </c>
      <c r="D59" s="406">
        <v>1</v>
      </c>
      <c r="E59" s="406">
        <v>1</v>
      </c>
      <c r="F59" s="406">
        <v>0</v>
      </c>
      <c r="G59" s="406">
        <v>3</v>
      </c>
      <c r="H59" s="408">
        <v>100</v>
      </c>
      <c r="I59" s="408">
        <v>0</v>
      </c>
      <c r="J59" s="408">
        <v>100</v>
      </c>
      <c r="K59" s="409">
        <v>0.33329999999999999</v>
      </c>
      <c r="L59" s="410">
        <v>1</v>
      </c>
      <c r="M59" s="410">
        <v>0</v>
      </c>
      <c r="N59" s="411">
        <v>192.68</v>
      </c>
      <c r="O59" s="412">
        <v>1.93</v>
      </c>
      <c r="P59" s="412">
        <v>0</v>
      </c>
      <c r="Q59" s="413">
        <v>0.4</v>
      </c>
    </row>
    <row r="60" spans="1:17" ht="22.5" customHeight="1" x14ac:dyDescent="0.25">
      <c r="A60" s="405">
        <v>57</v>
      </c>
      <c r="B60" s="425" t="s">
        <v>311</v>
      </c>
      <c r="C60" s="407">
        <v>6.7779999999999996</v>
      </c>
      <c r="D60" s="406">
        <v>22</v>
      </c>
      <c r="E60" s="406">
        <v>5</v>
      </c>
      <c r="F60" s="406">
        <v>3</v>
      </c>
      <c r="G60" s="406">
        <v>35</v>
      </c>
      <c r="H60" s="408">
        <v>250</v>
      </c>
      <c r="I60" s="408">
        <v>600</v>
      </c>
      <c r="J60" s="408">
        <v>2000</v>
      </c>
      <c r="K60" s="409">
        <v>0.62860000000000005</v>
      </c>
      <c r="L60" s="410">
        <v>0.36359999999999998</v>
      </c>
      <c r="M60" s="410">
        <v>0.17649999999999999</v>
      </c>
      <c r="N60" s="411">
        <v>125.41</v>
      </c>
      <c r="O60" s="412">
        <v>1.18</v>
      </c>
      <c r="P60" s="412">
        <v>0.44</v>
      </c>
      <c r="Q60" s="413">
        <v>0.39</v>
      </c>
    </row>
    <row r="61" spans="1:17" ht="22.5" customHeight="1" x14ac:dyDescent="0.25">
      <c r="A61" s="405">
        <v>58</v>
      </c>
      <c r="B61" s="425" t="s">
        <v>314</v>
      </c>
      <c r="C61" s="407">
        <v>1.145</v>
      </c>
      <c r="D61" s="406">
        <v>7</v>
      </c>
      <c r="E61" s="406">
        <v>2</v>
      </c>
      <c r="F61" s="406">
        <v>0</v>
      </c>
      <c r="G61" s="406">
        <v>9</v>
      </c>
      <c r="H61" s="408">
        <v>225</v>
      </c>
      <c r="I61" s="408">
        <v>0</v>
      </c>
      <c r="J61" s="408">
        <v>385</v>
      </c>
      <c r="K61" s="409">
        <v>0.77780000000000005</v>
      </c>
      <c r="L61" s="410">
        <v>0.28570000000000001</v>
      </c>
      <c r="M61" s="410">
        <v>0</v>
      </c>
      <c r="N61" s="411">
        <v>196.51</v>
      </c>
      <c r="O61" s="412">
        <v>1.75</v>
      </c>
      <c r="P61" s="412">
        <v>0</v>
      </c>
      <c r="Q61" s="413">
        <v>0.38</v>
      </c>
    </row>
    <row r="62" spans="1:17" ht="22.5" customHeight="1" x14ac:dyDescent="0.25">
      <c r="A62" s="405">
        <v>59</v>
      </c>
      <c r="B62" s="425" t="s">
        <v>336</v>
      </c>
      <c r="C62" s="407">
        <v>5.6609999999999996</v>
      </c>
      <c r="D62" s="406">
        <v>32</v>
      </c>
      <c r="E62" s="406">
        <v>16</v>
      </c>
      <c r="F62" s="406">
        <v>0</v>
      </c>
      <c r="G62" s="406">
        <v>53</v>
      </c>
      <c r="H62" s="408">
        <v>670</v>
      </c>
      <c r="I62" s="408">
        <v>0</v>
      </c>
      <c r="J62" s="408">
        <v>1470</v>
      </c>
      <c r="K62" s="409">
        <v>0.6038</v>
      </c>
      <c r="L62" s="410">
        <v>0.5</v>
      </c>
      <c r="M62" s="410">
        <v>0</v>
      </c>
      <c r="N62" s="411">
        <v>118.35</v>
      </c>
      <c r="O62" s="412">
        <v>2.83</v>
      </c>
      <c r="P62" s="412">
        <v>0</v>
      </c>
      <c r="Q62" s="413">
        <v>0.38</v>
      </c>
    </row>
    <row r="63" spans="1:17" ht="22.5" customHeight="1" x14ac:dyDescent="0.25">
      <c r="A63" s="405">
        <v>60</v>
      </c>
      <c r="B63" s="425" t="s">
        <v>297</v>
      </c>
      <c r="C63" s="407">
        <v>6.9539999999999997</v>
      </c>
      <c r="D63" s="406">
        <v>22</v>
      </c>
      <c r="E63" s="406">
        <v>5</v>
      </c>
      <c r="F63" s="406">
        <v>4</v>
      </c>
      <c r="G63" s="406">
        <v>41</v>
      </c>
      <c r="H63" s="408">
        <v>220</v>
      </c>
      <c r="I63" s="408">
        <v>600</v>
      </c>
      <c r="J63" s="408">
        <v>1925</v>
      </c>
      <c r="K63" s="409">
        <v>0.53659999999999997</v>
      </c>
      <c r="L63" s="410">
        <v>0.40910000000000002</v>
      </c>
      <c r="M63" s="410">
        <v>0.23530000000000001</v>
      </c>
      <c r="N63" s="411">
        <v>117.92</v>
      </c>
      <c r="O63" s="412">
        <v>1.29</v>
      </c>
      <c r="P63" s="412">
        <v>0.57999999999999996</v>
      </c>
      <c r="Q63" s="413">
        <v>0.36</v>
      </c>
    </row>
    <row r="64" spans="1:17" ht="22.5" customHeight="1" x14ac:dyDescent="0.25">
      <c r="A64" s="405">
        <v>61</v>
      </c>
      <c r="B64" s="425" t="s">
        <v>374</v>
      </c>
      <c r="C64" s="407">
        <v>9.26</v>
      </c>
      <c r="D64" s="406">
        <v>35</v>
      </c>
      <c r="E64" s="406">
        <v>12</v>
      </c>
      <c r="F64" s="406">
        <v>3</v>
      </c>
      <c r="G64" s="406">
        <v>64</v>
      </c>
      <c r="H64" s="408">
        <v>655</v>
      </c>
      <c r="I64" s="408">
        <v>360</v>
      </c>
      <c r="J64" s="408">
        <v>2145</v>
      </c>
      <c r="K64" s="409">
        <v>0.54690000000000005</v>
      </c>
      <c r="L64" s="410">
        <v>0.42859999999999998</v>
      </c>
      <c r="M64" s="410">
        <v>0.13039999999999999</v>
      </c>
      <c r="N64" s="411">
        <v>109.61</v>
      </c>
      <c r="O64" s="412">
        <v>1.62</v>
      </c>
      <c r="P64" s="412">
        <v>0.32</v>
      </c>
      <c r="Q64" s="413">
        <v>0.36</v>
      </c>
    </row>
    <row r="65" spans="1:17" ht="22.5" customHeight="1" x14ac:dyDescent="0.25">
      <c r="A65" s="405">
        <v>62</v>
      </c>
      <c r="B65" s="425" t="s">
        <v>328</v>
      </c>
      <c r="C65" s="407">
        <v>6.9779999999999998</v>
      </c>
      <c r="D65" s="406">
        <v>23</v>
      </c>
      <c r="E65" s="406">
        <v>10</v>
      </c>
      <c r="F65" s="406">
        <v>0</v>
      </c>
      <c r="G65" s="406">
        <v>30</v>
      </c>
      <c r="H65" s="408">
        <v>1150</v>
      </c>
      <c r="I65" s="408">
        <v>0</v>
      </c>
      <c r="J65" s="408">
        <v>1740</v>
      </c>
      <c r="K65" s="409">
        <v>0.76670000000000005</v>
      </c>
      <c r="L65" s="410">
        <v>0.43480000000000002</v>
      </c>
      <c r="M65" s="410">
        <v>0</v>
      </c>
      <c r="N65" s="411">
        <v>164.8</v>
      </c>
      <c r="O65" s="412">
        <v>1.43</v>
      </c>
      <c r="P65" s="412">
        <v>0</v>
      </c>
      <c r="Q65" s="413">
        <v>0.35</v>
      </c>
    </row>
    <row r="66" spans="1:17" ht="22.5" customHeight="1" x14ac:dyDescent="0.25">
      <c r="A66" s="405">
        <v>63</v>
      </c>
      <c r="B66" s="425" t="s">
        <v>371</v>
      </c>
      <c r="C66" s="407">
        <v>4.2309999999999999</v>
      </c>
      <c r="D66" s="406">
        <v>24</v>
      </c>
      <c r="E66" s="406">
        <v>6</v>
      </c>
      <c r="F66" s="406">
        <v>0</v>
      </c>
      <c r="G66" s="406">
        <v>29</v>
      </c>
      <c r="H66" s="408">
        <v>740</v>
      </c>
      <c r="I66" s="408">
        <v>0</v>
      </c>
      <c r="J66" s="408">
        <v>1570</v>
      </c>
      <c r="K66" s="409">
        <v>0.8276</v>
      </c>
      <c r="L66" s="410">
        <v>0.25</v>
      </c>
      <c r="M66" s="410">
        <v>0</v>
      </c>
      <c r="N66" s="411">
        <v>174.9</v>
      </c>
      <c r="O66" s="412">
        <v>1.42</v>
      </c>
      <c r="P66" s="412">
        <v>0</v>
      </c>
      <c r="Q66" s="413">
        <v>0.32</v>
      </c>
    </row>
    <row r="67" spans="1:17" ht="22.5" customHeight="1" x14ac:dyDescent="0.25">
      <c r="A67" s="405">
        <v>64</v>
      </c>
      <c r="B67" s="425" t="s">
        <v>279</v>
      </c>
      <c r="C67" s="407">
        <v>6.96</v>
      </c>
      <c r="D67" s="406">
        <v>28</v>
      </c>
      <c r="E67" s="406">
        <v>10</v>
      </c>
      <c r="F67" s="406">
        <v>1</v>
      </c>
      <c r="G67" s="406">
        <v>59</v>
      </c>
      <c r="H67" s="408">
        <v>945</v>
      </c>
      <c r="I67" s="408">
        <v>120</v>
      </c>
      <c r="J67" s="408">
        <v>1980</v>
      </c>
      <c r="K67" s="409">
        <v>0.47460000000000002</v>
      </c>
      <c r="L67" s="410">
        <v>0.39290000000000003</v>
      </c>
      <c r="M67" s="410">
        <v>5.5599999999999997E-2</v>
      </c>
      <c r="N67" s="411">
        <v>153.02000000000001</v>
      </c>
      <c r="O67" s="412">
        <v>1.58</v>
      </c>
      <c r="P67" s="412">
        <v>0.14000000000000001</v>
      </c>
      <c r="Q67" s="413">
        <v>0.3</v>
      </c>
    </row>
    <row r="68" spans="1:17" ht="22.5" customHeight="1" x14ac:dyDescent="0.25">
      <c r="A68" s="405">
        <v>65</v>
      </c>
      <c r="B68" s="425" t="s">
        <v>365</v>
      </c>
      <c r="C68" s="407">
        <v>3.3849999999999998</v>
      </c>
      <c r="D68" s="406">
        <v>9</v>
      </c>
      <c r="E68" s="406">
        <v>2</v>
      </c>
      <c r="F68" s="406">
        <v>1</v>
      </c>
      <c r="G68" s="406">
        <v>15</v>
      </c>
      <c r="H68" s="408">
        <v>45</v>
      </c>
      <c r="I68" s="408">
        <v>120</v>
      </c>
      <c r="J68" s="408">
        <v>870</v>
      </c>
      <c r="K68" s="409">
        <v>0.6</v>
      </c>
      <c r="L68" s="410">
        <v>0.33329999999999999</v>
      </c>
      <c r="M68" s="410">
        <v>0.1429</v>
      </c>
      <c r="N68" s="411">
        <v>48.74</v>
      </c>
      <c r="O68" s="412">
        <v>0.89</v>
      </c>
      <c r="P68" s="412">
        <v>0.3</v>
      </c>
      <c r="Q68" s="413">
        <v>0.28999999999999998</v>
      </c>
    </row>
    <row r="69" spans="1:17" ht="22.5" customHeight="1" x14ac:dyDescent="0.25">
      <c r="A69" s="405">
        <v>66</v>
      </c>
      <c r="B69" s="425" t="s">
        <v>373</v>
      </c>
      <c r="C69" s="407">
        <v>5.45</v>
      </c>
      <c r="D69" s="406">
        <v>26</v>
      </c>
      <c r="E69" s="406">
        <v>9</v>
      </c>
      <c r="F69" s="406">
        <v>0</v>
      </c>
      <c r="G69" s="406">
        <v>37</v>
      </c>
      <c r="H69" s="408">
        <v>510</v>
      </c>
      <c r="I69" s="408">
        <v>0</v>
      </c>
      <c r="J69" s="408">
        <v>1670</v>
      </c>
      <c r="K69" s="409">
        <v>0.70269999999999999</v>
      </c>
      <c r="L69" s="410">
        <v>0.34620000000000001</v>
      </c>
      <c r="M69" s="410">
        <v>0</v>
      </c>
      <c r="N69" s="411">
        <v>93.58</v>
      </c>
      <c r="O69" s="412">
        <v>1.65</v>
      </c>
      <c r="P69" s="412">
        <v>0</v>
      </c>
      <c r="Q69" s="413">
        <v>0.27</v>
      </c>
    </row>
    <row r="70" spans="1:17" ht="22.5" customHeight="1" x14ac:dyDescent="0.25">
      <c r="A70" s="405">
        <v>67</v>
      </c>
      <c r="B70" s="425" t="s">
        <v>355</v>
      </c>
      <c r="C70" s="407">
        <v>1.0529999999999999</v>
      </c>
      <c r="D70" s="406">
        <v>4</v>
      </c>
      <c r="E70" s="406">
        <v>2</v>
      </c>
      <c r="F70" s="406">
        <v>0</v>
      </c>
      <c r="G70" s="406">
        <v>8</v>
      </c>
      <c r="H70" s="408">
        <v>125</v>
      </c>
      <c r="I70" s="408">
        <v>0</v>
      </c>
      <c r="J70" s="408">
        <v>200</v>
      </c>
      <c r="K70" s="409">
        <v>0.5</v>
      </c>
      <c r="L70" s="410">
        <v>0.5</v>
      </c>
      <c r="M70" s="410">
        <v>0</v>
      </c>
      <c r="N70" s="411">
        <v>118.71</v>
      </c>
      <c r="O70" s="412">
        <v>1.9</v>
      </c>
      <c r="P70" s="412">
        <v>0</v>
      </c>
      <c r="Q70" s="413">
        <v>0.25</v>
      </c>
    </row>
    <row r="71" spans="1:17" ht="22.5" customHeight="1" x14ac:dyDescent="0.25">
      <c r="A71" s="405">
        <v>68</v>
      </c>
      <c r="B71" s="425" t="s">
        <v>326</v>
      </c>
      <c r="C71" s="407">
        <v>3.2440000000000002</v>
      </c>
      <c r="D71" s="406">
        <v>10</v>
      </c>
      <c r="E71" s="406">
        <v>4</v>
      </c>
      <c r="F71" s="406">
        <v>0</v>
      </c>
      <c r="G71" s="406">
        <v>16</v>
      </c>
      <c r="H71" s="408">
        <v>450</v>
      </c>
      <c r="I71" s="408">
        <v>0</v>
      </c>
      <c r="J71" s="408">
        <v>780</v>
      </c>
      <c r="K71" s="409">
        <v>0.625</v>
      </c>
      <c r="L71" s="410">
        <v>0.4</v>
      </c>
      <c r="M71" s="410">
        <v>0</v>
      </c>
      <c r="N71" s="411">
        <v>138.72</v>
      </c>
      <c r="O71" s="412">
        <v>1.23</v>
      </c>
      <c r="P71" s="412">
        <v>0</v>
      </c>
      <c r="Q71" s="413">
        <v>0.24</v>
      </c>
    </row>
    <row r="72" spans="1:17" ht="22.5" customHeight="1" x14ac:dyDescent="0.25">
      <c r="A72" s="405">
        <v>69</v>
      </c>
      <c r="B72" s="425" t="s">
        <v>426</v>
      </c>
      <c r="C72" s="407">
        <v>3.8079999999999998</v>
      </c>
      <c r="D72" s="406">
        <v>13</v>
      </c>
      <c r="E72" s="406">
        <v>6</v>
      </c>
      <c r="F72" s="406">
        <v>0</v>
      </c>
      <c r="G72" s="406">
        <v>24</v>
      </c>
      <c r="H72" s="408">
        <v>450</v>
      </c>
      <c r="I72" s="408">
        <v>0</v>
      </c>
      <c r="J72" s="408">
        <v>800</v>
      </c>
      <c r="K72" s="409">
        <v>0.54169999999999996</v>
      </c>
      <c r="L72" s="410">
        <v>0.46150000000000002</v>
      </c>
      <c r="M72" s="410">
        <v>0</v>
      </c>
      <c r="N72" s="411">
        <v>118.17</v>
      </c>
      <c r="O72" s="412">
        <v>1.58</v>
      </c>
      <c r="P72" s="412">
        <v>0</v>
      </c>
      <c r="Q72" s="413">
        <v>0.21</v>
      </c>
    </row>
    <row r="73" spans="1:17" ht="22.5" customHeight="1" x14ac:dyDescent="0.25">
      <c r="A73" s="405">
        <v>70</v>
      </c>
      <c r="B73" s="425" t="s">
        <v>287</v>
      </c>
      <c r="C73" s="407">
        <v>7.1040000000000001</v>
      </c>
      <c r="D73" s="406">
        <v>29</v>
      </c>
      <c r="E73" s="406">
        <v>10</v>
      </c>
      <c r="F73" s="406">
        <v>0</v>
      </c>
      <c r="G73" s="406">
        <v>46</v>
      </c>
      <c r="H73" s="408">
        <v>535</v>
      </c>
      <c r="I73" s="408">
        <v>0</v>
      </c>
      <c r="J73" s="408">
        <v>1710</v>
      </c>
      <c r="K73" s="409">
        <v>0.63039999999999996</v>
      </c>
      <c r="L73" s="410">
        <v>0.3448</v>
      </c>
      <c r="M73" s="410">
        <v>0</v>
      </c>
      <c r="N73" s="411">
        <v>75.31</v>
      </c>
      <c r="O73" s="412">
        <v>1.41</v>
      </c>
      <c r="P73" s="412">
        <v>0</v>
      </c>
      <c r="Q73" s="413">
        <v>0.2</v>
      </c>
    </row>
    <row r="74" spans="1:17" ht="22.5" customHeight="1" x14ac:dyDescent="0.25">
      <c r="A74" s="405">
        <v>71</v>
      </c>
      <c r="B74" s="425" t="s">
        <v>321</v>
      </c>
      <c r="C74" s="407">
        <v>4.2060000000000004</v>
      </c>
      <c r="D74" s="406">
        <v>16</v>
      </c>
      <c r="E74" s="406">
        <v>6</v>
      </c>
      <c r="F74" s="406">
        <v>0</v>
      </c>
      <c r="G74" s="406">
        <v>26</v>
      </c>
      <c r="H74" s="408">
        <v>295</v>
      </c>
      <c r="I74" s="408">
        <v>0</v>
      </c>
      <c r="J74" s="408">
        <v>775</v>
      </c>
      <c r="K74" s="409">
        <v>0.61539999999999995</v>
      </c>
      <c r="L74" s="410">
        <v>0.375</v>
      </c>
      <c r="M74" s="410">
        <v>0</v>
      </c>
      <c r="N74" s="411">
        <v>70.14</v>
      </c>
      <c r="O74" s="412">
        <v>1.43</v>
      </c>
      <c r="P74" s="412">
        <v>0</v>
      </c>
      <c r="Q74" s="413">
        <v>0.19</v>
      </c>
    </row>
    <row r="75" spans="1:17" ht="22.5" customHeight="1" x14ac:dyDescent="0.25">
      <c r="A75" s="405">
        <v>72</v>
      </c>
      <c r="B75" s="425" t="s">
        <v>385</v>
      </c>
      <c r="C75" s="407">
        <v>3.8849999999999998</v>
      </c>
      <c r="D75" s="406">
        <v>5</v>
      </c>
      <c r="E75" s="406">
        <v>3</v>
      </c>
      <c r="F75" s="406">
        <v>0</v>
      </c>
      <c r="G75" s="406">
        <v>12</v>
      </c>
      <c r="H75" s="408">
        <v>140</v>
      </c>
      <c r="I75" s="408">
        <v>0</v>
      </c>
      <c r="J75" s="408">
        <v>185</v>
      </c>
      <c r="K75" s="409">
        <v>0.41670000000000001</v>
      </c>
      <c r="L75" s="410">
        <v>0.6</v>
      </c>
      <c r="M75" s="410">
        <v>0</v>
      </c>
      <c r="N75" s="411">
        <v>36.04</v>
      </c>
      <c r="O75" s="412">
        <v>0.77</v>
      </c>
      <c r="P75" s="412">
        <v>0</v>
      </c>
      <c r="Q75" s="413">
        <v>0.18</v>
      </c>
    </row>
    <row r="76" spans="1:17" ht="22.5" customHeight="1" x14ac:dyDescent="0.25">
      <c r="A76" s="405">
        <v>73</v>
      </c>
      <c r="B76" s="425" t="s">
        <v>356</v>
      </c>
      <c r="C76" s="407">
        <v>4.6369999999999996</v>
      </c>
      <c r="D76" s="406">
        <v>18</v>
      </c>
      <c r="E76" s="406">
        <v>8</v>
      </c>
      <c r="F76" s="406">
        <v>0</v>
      </c>
      <c r="G76" s="406">
        <v>39</v>
      </c>
      <c r="H76" s="408">
        <v>360</v>
      </c>
      <c r="I76" s="408">
        <v>0</v>
      </c>
      <c r="J76" s="408">
        <v>885</v>
      </c>
      <c r="K76" s="409">
        <v>0.46150000000000002</v>
      </c>
      <c r="L76" s="410">
        <v>0.44440000000000002</v>
      </c>
      <c r="M76" s="410">
        <v>0</v>
      </c>
      <c r="N76" s="411">
        <v>77.64</v>
      </c>
      <c r="O76" s="412">
        <v>1.73</v>
      </c>
      <c r="P76" s="412">
        <v>0</v>
      </c>
      <c r="Q76" s="413">
        <v>0.18</v>
      </c>
    </row>
    <row r="77" spans="1:17" ht="22.5" customHeight="1" x14ac:dyDescent="0.25">
      <c r="A77" s="405">
        <v>74</v>
      </c>
      <c r="B77" s="425" t="s">
        <v>352</v>
      </c>
      <c r="C77" s="407">
        <v>6.8769999999999998</v>
      </c>
      <c r="D77" s="406">
        <v>28</v>
      </c>
      <c r="E77" s="406">
        <v>9</v>
      </c>
      <c r="F77" s="406">
        <v>0</v>
      </c>
      <c r="G77" s="406">
        <v>48</v>
      </c>
      <c r="H77" s="408">
        <v>510</v>
      </c>
      <c r="I77" s="408">
        <v>0</v>
      </c>
      <c r="J77" s="408">
        <v>1455</v>
      </c>
      <c r="K77" s="409">
        <v>0.58330000000000004</v>
      </c>
      <c r="L77" s="410">
        <v>0.32140000000000002</v>
      </c>
      <c r="M77" s="410">
        <v>0</v>
      </c>
      <c r="N77" s="411">
        <v>74.16</v>
      </c>
      <c r="O77" s="412">
        <v>1.31</v>
      </c>
      <c r="P77" s="412">
        <v>0</v>
      </c>
      <c r="Q77" s="413">
        <v>0.15</v>
      </c>
    </row>
    <row r="78" spans="1:17" ht="22.5" customHeight="1" x14ac:dyDescent="0.25">
      <c r="A78" s="405">
        <v>75</v>
      </c>
      <c r="B78" s="425" t="s">
        <v>411</v>
      </c>
      <c r="C78" s="407">
        <v>1.266</v>
      </c>
      <c r="D78" s="406">
        <v>2</v>
      </c>
      <c r="E78" s="406">
        <v>1</v>
      </c>
      <c r="F78" s="406">
        <v>0</v>
      </c>
      <c r="G78" s="406">
        <v>7</v>
      </c>
      <c r="H78" s="408">
        <v>100</v>
      </c>
      <c r="I78" s="408">
        <v>0</v>
      </c>
      <c r="J78" s="408">
        <v>125</v>
      </c>
      <c r="K78" s="409">
        <v>0.28570000000000001</v>
      </c>
      <c r="L78" s="410">
        <v>0.5</v>
      </c>
      <c r="M78" s="410">
        <v>0</v>
      </c>
      <c r="N78" s="411">
        <v>78.989999999999995</v>
      </c>
      <c r="O78" s="412">
        <v>0.79</v>
      </c>
      <c r="P78" s="412">
        <v>0</v>
      </c>
      <c r="Q78" s="413">
        <v>0.13</v>
      </c>
    </row>
    <row r="79" spans="1:17" ht="22.5" customHeight="1" x14ac:dyDescent="0.25">
      <c r="A79" s="405">
        <v>76</v>
      </c>
      <c r="B79" s="425" t="s">
        <v>398</v>
      </c>
      <c r="C79" s="407">
        <v>0.98899999999999999</v>
      </c>
      <c r="D79" s="406">
        <v>4</v>
      </c>
      <c r="E79" s="406">
        <v>1</v>
      </c>
      <c r="F79" s="406">
        <v>0</v>
      </c>
      <c r="G79" s="406">
        <v>7</v>
      </c>
      <c r="H79" s="408">
        <v>40</v>
      </c>
      <c r="I79" s="408">
        <v>0</v>
      </c>
      <c r="J79" s="408">
        <v>165</v>
      </c>
      <c r="K79" s="409">
        <v>0.57140000000000002</v>
      </c>
      <c r="L79" s="410">
        <v>0.25</v>
      </c>
      <c r="M79" s="410">
        <v>0</v>
      </c>
      <c r="N79" s="411">
        <v>40.44</v>
      </c>
      <c r="O79" s="412">
        <v>1.01</v>
      </c>
      <c r="P79" s="412">
        <v>0</v>
      </c>
      <c r="Q79" s="413">
        <v>0.1</v>
      </c>
    </row>
    <row r="80" spans="1:17" ht="22.5" customHeight="1" x14ac:dyDescent="0.25">
      <c r="A80" s="405">
        <v>77</v>
      </c>
      <c r="B80" s="425" t="s">
        <v>305</v>
      </c>
      <c r="C80" s="407">
        <v>6.7969999999999997</v>
      </c>
      <c r="D80" s="406">
        <v>24</v>
      </c>
      <c r="E80" s="406">
        <v>5</v>
      </c>
      <c r="F80" s="406">
        <v>0</v>
      </c>
      <c r="G80" s="406">
        <v>45</v>
      </c>
      <c r="H80" s="408">
        <v>400</v>
      </c>
      <c r="I80" s="408">
        <v>0</v>
      </c>
      <c r="J80" s="408">
        <v>1435</v>
      </c>
      <c r="K80" s="409">
        <v>0.5333</v>
      </c>
      <c r="L80" s="410">
        <v>0.20830000000000001</v>
      </c>
      <c r="M80" s="410">
        <v>0</v>
      </c>
      <c r="N80" s="411">
        <v>58.85</v>
      </c>
      <c r="O80" s="412">
        <v>0.74</v>
      </c>
      <c r="P80" s="412">
        <v>0</v>
      </c>
      <c r="Q80" s="413">
        <v>7.0000000000000007E-2</v>
      </c>
    </row>
    <row r="81" spans="1:17" ht="22.5" customHeight="1" x14ac:dyDescent="0.25">
      <c r="A81" s="405">
        <v>78</v>
      </c>
      <c r="B81" s="425" t="s">
        <v>397</v>
      </c>
      <c r="C81" s="407">
        <v>3.8140000000000001</v>
      </c>
      <c r="D81" s="406">
        <v>4</v>
      </c>
      <c r="E81" s="406">
        <v>1</v>
      </c>
      <c r="F81" s="406">
        <v>0</v>
      </c>
      <c r="G81" s="406">
        <v>8</v>
      </c>
      <c r="H81" s="408">
        <v>50</v>
      </c>
      <c r="I81" s="408">
        <v>0</v>
      </c>
      <c r="J81" s="408">
        <v>295</v>
      </c>
      <c r="K81" s="409">
        <v>0.5</v>
      </c>
      <c r="L81" s="410">
        <v>0.25</v>
      </c>
      <c r="M81" s="410">
        <v>0</v>
      </c>
      <c r="N81" s="411">
        <v>13.11</v>
      </c>
      <c r="O81" s="412">
        <v>0.26</v>
      </c>
      <c r="P81" s="412">
        <v>0</v>
      </c>
      <c r="Q81" s="413">
        <v>0.05</v>
      </c>
    </row>
    <row r="82" spans="1:17" ht="22.5" customHeight="1" x14ac:dyDescent="0.25">
      <c r="A82" s="405">
        <v>79</v>
      </c>
      <c r="B82" s="425" t="s">
        <v>423</v>
      </c>
      <c r="C82" s="407">
        <v>3.669</v>
      </c>
      <c r="D82" s="406">
        <v>3</v>
      </c>
      <c r="E82" s="406">
        <v>0</v>
      </c>
      <c r="F82" s="406">
        <v>0</v>
      </c>
      <c r="G82" s="406">
        <v>8</v>
      </c>
      <c r="H82" s="408">
        <v>0</v>
      </c>
      <c r="I82" s="408">
        <v>0</v>
      </c>
      <c r="J82" s="408">
        <v>225</v>
      </c>
      <c r="K82" s="409">
        <v>0.375</v>
      </c>
      <c r="L82" s="410">
        <v>0</v>
      </c>
      <c r="M82" s="410">
        <v>0</v>
      </c>
      <c r="N82" s="411">
        <v>0</v>
      </c>
      <c r="O82" s="412">
        <v>0</v>
      </c>
      <c r="P82" s="412">
        <v>0</v>
      </c>
      <c r="Q82" s="413">
        <v>0.02</v>
      </c>
    </row>
    <row r="83" spans="1:17" ht="22.5" customHeight="1" x14ac:dyDescent="0.25">
      <c r="A83" s="405">
        <v>80</v>
      </c>
      <c r="B83" s="425" t="s">
        <v>295</v>
      </c>
      <c r="C83" s="407">
        <v>0.10100000000000001</v>
      </c>
      <c r="D83" s="406">
        <v>0</v>
      </c>
      <c r="E83" s="406">
        <v>0</v>
      </c>
      <c r="F83" s="406">
        <v>0</v>
      </c>
      <c r="G83" s="406">
        <v>0</v>
      </c>
      <c r="H83" s="408">
        <v>0</v>
      </c>
      <c r="I83" s="408">
        <v>0</v>
      </c>
      <c r="J83" s="408">
        <v>0</v>
      </c>
      <c r="K83" s="409">
        <v>0</v>
      </c>
      <c r="L83" s="410">
        <v>0</v>
      </c>
      <c r="M83" s="410">
        <v>0</v>
      </c>
      <c r="N83" s="411">
        <v>0</v>
      </c>
      <c r="O83" s="412">
        <v>0</v>
      </c>
      <c r="P83" s="412">
        <v>0</v>
      </c>
      <c r="Q83" s="413">
        <v>0.01</v>
      </c>
    </row>
    <row r="84" spans="1:17" ht="22.5" customHeight="1" x14ac:dyDescent="0.25">
      <c r="A84" s="405" t="s">
        <v>171</v>
      </c>
      <c r="B84" s="426" t="s">
        <v>3</v>
      </c>
      <c r="C84" s="415">
        <v>436.721</v>
      </c>
      <c r="D84" s="416">
        <v>1775</v>
      </c>
      <c r="E84" s="414">
        <v>784</v>
      </c>
      <c r="F84" s="414">
        <v>114</v>
      </c>
      <c r="G84" s="416">
        <v>2774</v>
      </c>
      <c r="H84" s="417">
        <v>56283</v>
      </c>
      <c r="I84" s="417">
        <v>15940</v>
      </c>
      <c r="J84" s="417">
        <v>124900</v>
      </c>
      <c r="K84" s="418">
        <v>0.63990000000000002</v>
      </c>
      <c r="L84" s="427">
        <v>0.50590000000000002</v>
      </c>
      <c r="M84" s="427">
        <v>0.115</v>
      </c>
      <c r="N84" s="428">
        <v>165.38</v>
      </c>
      <c r="O84" s="429">
        <v>2.06</v>
      </c>
      <c r="P84" s="429">
        <v>0.26</v>
      </c>
      <c r="Q84" s="430" t="s">
        <v>171</v>
      </c>
    </row>
  </sheetData>
  <sortState ref="B3:R82">
    <sortCondition descending="1" ref="Q3"/>
  </sortState>
  <mergeCells count="3">
    <mergeCell ref="A2:A3"/>
    <mergeCell ref="B2:B3"/>
    <mergeCell ref="F1:L1"/>
  </mergeCells>
  <pageMargins left="0.25" right="0.25" top="0.25" bottom="0.5" header="0.25" footer="0.25"/>
  <pageSetup orientation="portrait" cellComments="atEnd"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tabColor rgb="FF0070C0"/>
  </sheetPr>
  <dimension ref="A1:Q83"/>
  <sheetViews>
    <sheetView workbookViewId="0">
      <selection activeCell="F2" sqref="F2"/>
    </sheetView>
  </sheetViews>
  <sheetFormatPr defaultRowHeight="22.5" customHeight="1" x14ac:dyDescent="0.25"/>
  <cols>
    <col min="1" max="1" width="6" style="93" bestFit="1" customWidth="1"/>
    <col min="2" max="2" width="21.5703125" style="94" bestFit="1" customWidth="1"/>
    <col min="3" max="3" width="8.28515625" style="93" bestFit="1" customWidth="1"/>
    <col min="4" max="4" width="7" style="93" bestFit="1" customWidth="1"/>
    <col min="5" max="5" width="10.28515625" style="93" bestFit="1" customWidth="1"/>
    <col min="6" max="6" width="10.42578125" style="93" bestFit="1" customWidth="1"/>
    <col min="7" max="7" width="8.42578125" style="93" bestFit="1" customWidth="1"/>
    <col min="8" max="11" width="13.42578125" style="93" bestFit="1" customWidth="1"/>
    <col min="12" max="12" width="11.42578125" style="93" bestFit="1" customWidth="1"/>
    <col min="13" max="13" width="10.42578125" style="93" bestFit="1" customWidth="1"/>
    <col min="14" max="14" width="11.85546875" style="93" bestFit="1" customWidth="1"/>
    <col min="15" max="15" width="11.42578125" style="93" bestFit="1" customWidth="1"/>
    <col min="16" max="16" width="10.42578125" style="93" bestFit="1" customWidth="1"/>
    <col min="17" max="17" width="12.28515625" style="93" bestFit="1" customWidth="1"/>
    <col min="18" max="16384" width="9.140625" style="93"/>
  </cols>
  <sheetData>
    <row r="1" spans="1:17" ht="22.5" customHeight="1" x14ac:dyDescent="0.25">
      <c r="F1" s="646" t="s">
        <v>268</v>
      </c>
      <c r="G1" s="646"/>
      <c r="H1" s="646"/>
      <c r="I1" s="646"/>
      <c r="J1" s="646"/>
      <c r="K1" s="646"/>
      <c r="L1" s="646"/>
    </row>
    <row r="2" spans="1:17" ht="22.5" customHeight="1" x14ac:dyDescent="0.25">
      <c r="A2" s="643" t="s">
        <v>172</v>
      </c>
      <c r="B2" s="608" t="s">
        <v>7</v>
      </c>
      <c r="C2" s="445" t="s">
        <v>173</v>
      </c>
      <c r="D2" s="446" t="s">
        <v>3</v>
      </c>
      <c r="E2" s="446" t="s">
        <v>176</v>
      </c>
      <c r="F2" s="446" t="s">
        <v>166</v>
      </c>
      <c r="G2" s="446" t="s">
        <v>8</v>
      </c>
      <c r="H2" s="446" t="s">
        <v>176</v>
      </c>
      <c r="I2" s="446" t="s">
        <v>166</v>
      </c>
      <c r="J2" s="446" t="s">
        <v>3</v>
      </c>
      <c r="K2" s="446" t="s">
        <v>21</v>
      </c>
      <c r="L2" s="446" t="s">
        <v>164</v>
      </c>
      <c r="M2" s="446" t="s">
        <v>166</v>
      </c>
      <c r="N2" s="446" t="s">
        <v>164</v>
      </c>
      <c r="O2" s="446" t="s">
        <v>164</v>
      </c>
      <c r="P2" s="446" t="s">
        <v>166</v>
      </c>
      <c r="Q2" s="447" t="s">
        <v>169</v>
      </c>
    </row>
    <row r="3" spans="1:17" ht="22.5" customHeight="1" x14ac:dyDescent="0.25">
      <c r="A3" s="644"/>
      <c r="B3" s="645"/>
      <c r="C3" s="448" t="s">
        <v>174</v>
      </c>
      <c r="D3" s="449" t="s">
        <v>175</v>
      </c>
      <c r="E3" s="449" t="s">
        <v>175</v>
      </c>
      <c r="F3" s="449" t="s">
        <v>175</v>
      </c>
      <c r="G3" s="449" t="s">
        <v>12</v>
      </c>
      <c r="H3" s="449" t="s">
        <v>9</v>
      </c>
      <c r="I3" s="449" t="s">
        <v>9</v>
      </c>
      <c r="J3" s="449" t="s">
        <v>9</v>
      </c>
      <c r="K3" s="449" t="s">
        <v>13</v>
      </c>
      <c r="L3" s="449" t="s">
        <v>165</v>
      </c>
      <c r="M3" s="449" t="s">
        <v>165</v>
      </c>
      <c r="N3" s="449" t="s">
        <v>167</v>
      </c>
      <c r="O3" s="449" t="s">
        <v>168</v>
      </c>
      <c r="P3" s="449" t="s">
        <v>168</v>
      </c>
      <c r="Q3" s="450" t="s">
        <v>170</v>
      </c>
    </row>
    <row r="4" spans="1:17" ht="22.5" customHeight="1" x14ac:dyDescent="0.25">
      <c r="A4" s="431">
        <v>1</v>
      </c>
      <c r="B4" s="451" t="s">
        <v>277</v>
      </c>
      <c r="C4" s="433">
        <v>8.0250000000000004</v>
      </c>
      <c r="D4" s="432">
        <v>28</v>
      </c>
      <c r="E4" s="432">
        <v>12</v>
      </c>
      <c r="F4" s="432">
        <v>7</v>
      </c>
      <c r="G4" s="432">
        <v>38</v>
      </c>
      <c r="H4" s="434">
        <v>925</v>
      </c>
      <c r="I4" s="434">
        <v>1080</v>
      </c>
      <c r="J4" s="434">
        <v>2400</v>
      </c>
      <c r="K4" s="435">
        <v>0.73680000000000001</v>
      </c>
      <c r="L4" s="436">
        <v>0.67859999999999998</v>
      </c>
      <c r="M4" s="436">
        <v>0.4375</v>
      </c>
      <c r="N4" s="437">
        <v>249.84</v>
      </c>
      <c r="O4" s="438">
        <v>2.37</v>
      </c>
      <c r="P4" s="438">
        <v>0.87</v>
      </c>
      <c r="Q4" s="439">
        <v>0.87</v>
      </c>
    </row>
    <row r="5" spans="1:17" ht="22.5" customHeight="1" x14ac:dyDescent="0.25">
      <c r="A5" s="431">
        <v>2</v>
      </c>
      <c r="B5" s="451" t="s">
        <v>428</v>
      </c>
      <c r="C5" s="433">
        <v>2.3319999999999999</v>
      </c>
      <c r="D5" s="432">
        <v>4</v>
      </c>
      <c r="E5" s="432">
        <v>3</v>
      </c>
      <c r="F5" s="432">
        <v>1</v>
      </c>
      <c r="G5" s="432">
        <v>4</v>
      </c>
      <c r="H5" s="434">
        <v>350</v>
      </c>
      <c r="I5" s="434">
        <v>60</v>
      </c>
      <c r="J5" s="434">
        <v>410</v>
      </c>
      <c r="K5" s="435">
        <v>1</v>
      </c>
      <c r="L5" s="436">
        <v>1</v>
      </c>
      <c r="M5" s="436">
        <v>1</v>
      </c>
      <c r="N5" s="437">
        <v>175.81</v>
      </c>
      <c r="O5" s="438">
        <v>1.72</v>
      </c>
      <c r="P5" s="438">
        <v>0.43</v>
      </c>
      <c r="Q5" s="439">
        <v>0.83</v>
      </c>
    </row>
    <row r="6" spans="1:17" ht="22.5" customHeight="1" x14ac:dyDescent="0.25">
      <c r="A6" s="431">
        <v>3</v>
      </c>
      <c r="B6" s="451" t="s">
        <v>329</v>
      </c>
      <c r="C6" s="433">
        <v>8.3569999999999993</v>
      </c>
      <c r="D6" s="432">
        <v>38</v>
      </c>
      <c r="E6" s="432">
        <v>19</v>
      </c>
      <c r="F6" s="432">
        <v>6</v>
      </c>
      <c r="G6" s="432">
        <v>59</v>
      </c>
      <c r="H6" s="434">
        <v>920</v>
      </c>
      <c r="I6" s="434">
        <v>636</v>
      </c>
      <c r="J6" s="434">
        <v>2336</v>
      </c>
      <c r="K6" s="435">
        <v>0.64410000000000001</v>
      </c>
      <c r="L6" s="436">
        <v>0.65790000000000004</v>
      </c>
      <c r="M6" s="436">
        <v>0.31580000000000003</v>
      </c>
      <c r="N6" s="437">
        <v>186.19</v>
      </c>
      <c r="O6" s="438">
        <v>2.99</v>
      </c>
      <c r="P6" s="438">
        <v>0.72</v>
      </c>
      <c r="Q6" s="439">
        <v>0.8</v>
      </c>
    </row>
    <row r="7" spans="1:17" ht="22.5" customHeight="1" x14ac:dyDescent="0.25">
      <c r="A7" s="431">
        <v>4</v>
      </c>
      <c r="B7" s="451" t="s">
        <v>332</v>
      </c>
      <c r="C7" s="433">
        <v>2.121</v>
      </c>
      <c r="D7" s="432">
        <v>9</v>
      </c>
      <c r="E7" s="432">
        <v>4</v>
      </c>
      <c r="F7" s="432">
        <v>1</v>
      </c>
      <c r="G7" s="432">
        <v>12</v>
      </c>
      <c r="H7" s="434">
        <v>425</v>
      </c>
      <c r="I7" s="434">
        <v>200</v>
      </c>
      <c r="J7" s="434">
        <v>890</v>
      </c>
      <c r="K7" s="435">
        <v>0.75</v>
      </c>
      <c r="L7" s="436">
        <v>0.55559999999999998</v>
      </c>
      <c r="M7" s="436">
        <v>0.2</v>
      </c>
      <c r="N7" s="437">
        <v>294.67</v>
      </c>
      <c r="O7" s="438">
        <v>2.36</v>
      </c>
      <c r="P7" s="438">
        <v>0.47</v>
      </c>
      <c r="Q7" s="439">
        <v>0.79</v>
      </c>
    </row>
    <row r="8" spans="1:17" ht="22.5" customHeight="1" x14ac:dyDescent="0.25">
      <c r="A8" s="431">
        <v>5</v>
      </c>
      <c r="B8" s="451" t="s">
        <v>364</v>
      </c>
      <c r="C8" s="433">
        <v>7.3090000000000002</v>
      </c>
      <c r="D8" s="432">
        <v>27</v>
      </c>
      <c r="E8" s="432">
        <v>9</v>
      </c>
      <c r="F8" s="432">
        <v>6</v>
      </c>
      <c r="G8" s="432">
        <v>34</v>
      </c>
      <c r="H8" s="434">
        <v>525</v>
      </c>
      <c r="I8" s="434">
        <v>636</v>
      </c>
      <c r="J8" s="434">
        <v>1751</v>
      </c>
      <c r="K8" s="435">
        <v>0.79410000000000003</v>
      </c>
      <c r="L8" s="436">
        <v>0.55559999999999998</v>
      </c>
      <c r="M8" s="436">
        <v>0.33329999999999999</v>
      </c>
      <c r="N8" s="437">
        <v>158.85</v>
      </c>
      <c r="O8" s="438">
        <v>2.0499999999999998</v>
      </c>
      <c r="P8" s="438">
        <v>0.82</v>
      </c>
      <c r="Q8" s="439">
        <v>0.78</v>
      </c>
    </row>
    <row r="9" spans="1:17" ht="22.5" customHeight="1" x14ac:dyDescent="0.25">
      <c r="A9" s="431">
        <v>6</v>
      </c>
      <c r="B9" s="451" t="s">
        <v>279</v>
      </c>
      <c r="C9" s="433">
        <v>7.1630000000000003</v>
      </c>
      <c r="D9" s="432">
        <v>27</v>
      </c>
      <c r="E9" s="432">
        <v>18</v>
      </c>
      <c r="F9" s="432">
        <v>3</v>
      </c>
      <c r="G9" s="432">
        <v>45</v>
      </c>
      <c r="H9" s="434">
        <v>1060</v>
      </c>
      <c r="I9" s="434">
        <v>300</v>
      </c>
      <c r="J9" s="434">
        <v>1505</v>
      </c>
      <c r="K9" s="435">
        <v>0.6</v>
      </c>
      <c r="L9" s="436">
        <v>0.77780000000000005</v>
      </c>
      <c r="M9" s="436">
        <v>0.33329999999999999</v>
      </c>
      <c r="N9" s="437">
        <v>189.86</v>
      </c>
      <c r="O9" s="438">
        <v>2.93</v>
      </c>
      <c r="P9" s="438">
        <v>0.42</v>
      </c>
      <c r="Q9" s="439">
        <v>0.77</v>
      </c>
    </row>
    <row r="10" spans="1:17" ht="22.5" customHeight="1" x14ac:dyDescent="0.25">
      <c r="A10" s="431">
        <v>7</v>
      </c>
      <c r="B10" s="451" t="s">
        <v>324</v>
      </c>
      <c r="C10" s="433">
        <v>3.7570000000000001</v>
      </c>
      <c r="D10" s="432">
        <v>10</v>
      </c>
      <c r="E10" s="432">
        <v>4</v>
      </c>
      <c r="F10" s="432">
        <v>4</v>
      </c>
      <c r="G10" s="432">
        <v>16</v>
      </c>
      <c r="H10" s="434">
        <v>80</v>
      </c>
      <c r="I10" s="434">
        <v>420</v>
      </c>
      <c r="J10" s="434">
        <v>630</v>
      </c>
      <c r="K10" s="435">
        <v>0.625</v>
      </c>
      <c r="L10" s="436">
        <v>0.8</v>
      </c>
      <c r="M10" s="436">
        <v>0.66669999999999996</v>
      </c>
      <c r="N10" s="437">
        <v>133.08000000000001</v>
      </c>
      <c r="O10" s="438">
        <v>2.13</v>
      </c>
      <c r="P10" s="438">
        <v>1.06</v>
      </c>
      <c r="Q10" s="439">
        <v>0.75</v>
      </c>
    </row>
    <row r="11" spans="1:17" ht="22.5" customHeight="1" x14ac:dyDescent="0.25">
      <c r="A11" s="431">
        <v>8</v>
      </c>
      <c r="B11" s="451" t="s">
        <v>301</v>
      </c>
      <c r="C11" s="433">
        <v>3.7040000000000002</v>
      </c>
      <c r="D11" s="432">
        <v>10</v>
      </c>
      <c r="E11" s="432">
        <v>8</v>
      </c>
      <c r="F11" s="432">
        <v>1</v>
      </c>
      <c r="G11" s="432">
        <v>18</v>
      </c>
      <c r="H11" s="434">
        <v>600</v>
      </c>
      <c r="I11" s="434">
        <v>60</v>
      </c>
      <c r="J11" s="434">
        <v>685</v>
      </c>
      <c r="K11" s="435">
        <v>0.55559999999999998</v>
      </c>
      <c r="L11" s="436">
        <v>0.9</v>
      </c>
      <c r="M11" s="436">
        <v>0.5</v>
      </c>
      <c r="N11" s="437">
        <v>178.19</v>
      </c>
      <c r="O11" s="438">
        <v>2.4300000000000002</v>
      </c>
      <c r="P11" s="438">
        <v>0.27</v>
      </c>
      <c r="Q11" s="439">
        <v>0.75</v>
      </c>
    </row>
    <row r="12" spans="1:17" ht="22.5" customHeight="1" x14ac:dyDescent="0.25">
      <c r="A12" s="431">
        <v>9</v>
      </c>
      <c r="B12" s="451" t="s">
        <v>393</v>
      </c>
      <c r="C12" s="433">
        <v>4.1989999999999998</v>
      </c>
      <c r="D12" s="432">
        <v>15</v>
      </c>
      <c r="E12" s="432">
        <v>10</v>
      </c>
      <c r="F12" s="432">
        <v>1</v>
      </c>
      <c r="G12" s="432">
        <v>22</v>
      </c>
      <c r="H12" s="434">
        <v>450</v>
      </c>
      <c r="I12" s="434">
        <v>120</v>
      </c>
      <c r="J12" s="434">
        <v>830</v>
      </c>
      <c r="K12" s="435">
        <v>0.68179999999999996</v>
      </c>
      <c r="L12" s="436">
        <v>0.73329999999999995</v>
      </c>
      <c r="M12" s="436">
        <v>0.2</v>
      </c>
      <c r="N12" s="437">
        <v>135.75</v>
      </c>
      <c r="O12" s="438">
        <v>2.62</v>
      </c>
      <c r="P12" s="438">
        <v>0.24</v>
      </c>
      <c r="Q12" s="439">
        <v>0.74</v>
      </c>
    </row>
    <row r="13" spans="1:17" ht="22.5" customHeight="1" x14ac:dyDescent="0.25">
      <c r="A13" s="431">
        <v>10</v>
      </c>
      <c r="B13" s="451" t="s">
        <v>272</v>
      </c>
      <c r="C13" s="433">
        <v>6.3220000000000001</v>
      </c>
      <c r="D13" s="432">
        <v>31</v>
      </c>
      <c r="E13" s="432">
        <v>12</v>
      </c>
      <c r="F13" s="432">
        <v>4</v>
      </c>
      <c r="G13" s="432">
        <v>48</v>
      </c>
      <c r="H13" s="434">
        <v>840</v>
      </c>
      <c r="I13" s="434">
        <v>480</v>
      </c>
      <c r="J13" s="434">
        <v>2120</v>
      </c>
      <c r="K13" s="435">
        <v>0.64580000000000004</v>
      </c>
      <c r="L13" s="436">
        <v>0.5161</v>
      </c>
      <c r="M13" s="436">
        <v>0.21049999999999999</v>
      </c>
      <c r="N13" s="437">
        <v>208.79</v>
      </c>
      <c r="O13" s="438">
        <v>2.5299999999999998</v>
      </c>
      <c r="P13" s="438">
        <v>0.63</v>
      </c>
      <c r="Q13" s="439">
        <v>0.73</v>
      </c>
    </row>
    <row r="14" spans="1:17" ht="22.5" customHeight="1" x14ac:dyDescent="0.25">
      <c r="A14" s="431">
        <v>11</v>
      </c>
      <c r="B14" s="451" t="s">
        <v>383</v>
      </c>
      <c r="C14" s="433">
        <v>10.555</v>
      </c>
      <c r="D14" s="432">
        <v>35</v>
      </c>
      <c r="E14" s="432">
        <v>20</v>
      </c>
      <c r="F14" s="432">
        <v>2</v>
      </c>
      <c r="G14" s="432">
        <v>42</v>
      </c>
      <c r="H14" s="434">
        <v>1220</v>
      </c>
      <c r="I14" s="434">
        <v>240</v>
      </c>
      <c r="J14" s="434">
        <v>2380</v>
      </c>
      <c r="K14" s="435">
        <v>0.83330000000000004</v>
      </c>
      <c r="L14" s="436">
        <v>0.62860000000000005</v>
      </c>
      <c r="M14" s="436">
        <v>0.1333</v>
      </c>
      <c r="N14" s="437">
        <v>138.32</v>
      </c>
      <c r="O14" s="438">
        <v>2.08</v>
      </c>
      <c r="P14" s="438">
        <v>0.19</v>
      </c>
      <c r="Q14" s="439">
        <v>0.72</v>
      </c>
    </row>
    <row r="15" spans="1:17" ht="22.5" customHeight="1" x14ac:dyDescent="0.25">
      <c r="A15" s="431">
        <v>12</v>
      </c>
      <c r="B15" s="451" t="s">
        <v>290</v>
      </c>
      <c r="C15" s="433">
        <v>1.337</v>
      </c>
      <c r="D15" s="432">
        <v>6</v>
      </c>
      <c r="E15" s="432">
        <v>5</v>
      </c>
      <c r="F15" s="432">
        <v>0</v>
      </c>
      <c r="G15" s="432">
        <v>6</v>
      </c>
      <c r="H15" s="434">
        <v>265</v>
      </c>
      <c r="I15" s="434">
        <v>0</v>
      </c>
      <c r="J15" s="434">
        <v>290</v>
      </c>
      <c r="K15" s="435">
        <v>1</v>
      </c>
      <c r="L15" s="436">
        <v>0.83330000000000004</v>
      </c>
      <c r="M15" s="436">
        <v>0</v>
      </c>
      <c r="N15" s="437">
        <v>198.2</v>
      </c>
      <c r="O15" s="438">
        <v>3.74</v>
      </c>
      <c r="P15" s="438">
        <v>0</v>
      </c>
      <c r="Q15" s="439">
        <v>0.72</v>
      </c>
    </row>
    <row r="16" spans="1:17" ht="22.5" customHeight="1" x14ac:dyDescent="0.25">
      <c r="A16" s="431">
        <v>13</v>
      </c>
      <c r="B16" s="451" t="s">
        <v>295</v>
      </c>
      <c r="C16" s="433">
        <v>0.26</v>
      </c>
      <c r="D16" s="432">
        <v>1</v>
      </c>
      <c r="E16" s="432">
        <v>1</v>
      </c>
      <c r="F16" s="432">
        <v>0</v>
      </c>
      <c r="G16" s="432">
        <v>1</v>
      </c>
      <c r="H16" s="434">
        <v>50</v>
      </c>
      <c r="I16" s="434">
        <v>0</v>
      </c>
      <c r="J16" s="434">
        <v>50</v>
      </c>
      <c r="K16" s="435">
        <v>1</v>
      </c>
      <c r="L16" s="436">
        <v>1</v>
      </c>
      <c r="M16" s="436">
        <v>0</v>
      </c>
      <c r="N16" s="437">
        <v>192.31</v>
      </c>
      <c r="O16" s="438">
        <v>3.85</v>
      </c>
      <c r="P16" s="438">
        <v>0</v>
      </c>
      <c r="Q16" s="439">
        <v>0.72</v>
      </c>
    </row>
    <row r="17" spans="1:17" ht="22.5" customHeight="1" x14ac:dyDescent="0.25">
      <c r="A17" s="431">
        <v>14</v>
      </c>
      <c r="B17" s="451" t="s">
        <v>280</v>
      </c>
      <c r="C17" s="433">
        <v>6.8760000000000003</v>
      </c>
      <c r="D17" s="432">
        <v>28</v>
      </c>
      <c r="E17" s="432">
        <v>13</v>
      </c>
      <c r="F17" s="432">
        <v>2</v>
      </c>
      <c r="G17" s="432">
        <v>37</v>
      </c>
      <c r="H17" s="434">
        <v>725</v>
      </c>
      <c r="I17" s="434">
        <v>420</v>
      </c>
      <c r="J17" s="434">
        <v>2080</v>
      </c>
      <c r="K17" s="435">
        <v>0.75680000000000003</v>
      </c>
      <c r="L17" s="436">
        <v>0.53569999999999995</v>
      </c>
      <c r="M17" s="436">
        <v>0.1333</v>
      </c>
      <c r="N17" s="437">
        <v>166.52</v>
      </c>
      <c r="O17" s="438">
        <v>2.1800000000000002</v>
      </c>
      <c r="P17" s="438">
        <v>0.28999999999999998</v>
      </c>
      <c r="Q17" s="439">
        <v>0.71</v>
      </c>
    </row>
    <row r="18" spans="1:17" ht="22.5" customHeight="1" x14ac:dyDescent="0.25">
      <c r="A18" s="431">
        <v>15</v>
      </c>
      <c r="B18" s="451" t="s">
        <v>325</v>
      </c>
      <c r="C18" s="433">
        <v>7.0449999999999999</v>
      </c>
      <c r="D18" s="432">
        <v>22</v>
      </c>
      <c r="E18" s="432">
        <v>8</v>
      </c>
      <c r="F18" s="432">
        <v>4</v>
      </c>
      <c r="G18" s="432">
        <v>34</v>
      </c>
      <c r="H18" s="434">
        <v>323</v>
      </c>
      <c r="I18" s="434">
        <v>780</v>
      </c>
      <c r="J18" s="434">
        <v>1508</v>
      </c>
      <c r="K18" s="435">
        <v>0.64710000000000001</v>
      </c>
      <c r="L18" s="436">
        <v>0.54549999999999998</v>
      </c>
      <c r="M18" s="436">
        <v>0.28570000000000001</v>
      </c>
      <c r="N18" s="437">
        <v>156.56</v>
      </c>
      <c r="O18" s="438">
        <v>1.7</v>
      </c>
      <c r="P18" s="438">
        <v>0.56999999999999995</v>
      </c>
      <c r="Q18" s="439">
        <v>0.66</v>
      </c>
    </row>
    <row r="19" spans="1:17" ht="22.5" customHeight="1" x14ac:dyDescent="0.25">
      <c r="A19" s="431">
        <v>16</v>
      </c>
      <c r="B19" s="451" t="s">
        <v>389</v>
      </c>
      <c r="C19" s="433">
        <v>7.226</v>
      </c>
      <c r="D19" s="432">
        <v>18</v>
      </c>
      <c r="E19" s="432">
        <v>11</v>
      </c>
      <c r="F19" s="432">
        <v>3</v>
      </c>
      <c r="G19" s="432">
        <v>45</v>
      </c>
      <c r="H19" s="434">
        <v>885</v>
      </c>
      <c r="I19" s="434">
        <v>320</v>
      </c>
      <c r="J19" s="434">
        <v>1460</v>
      </c>
      <c r="K19" s="435">
        <v>0.4</v>
      </c>
      <c r="L19" s="436">
        <v>0.77780000000000005</v>
      </c>
      <c r="M19" s="436">
        <v>0.42859999999999998</v>
      </c>
      <c r="N19" s="437">
        <v>166.76</v>
      </c>
      <c r="O19" s="438">
        <v>1.94</v>
      </c>
      <c r="P19" s="438">
        <v>0.42</v>
      </c>
      <c r="Q19" s="439">
        <v>0.65</v>
      </c>
    </row>
    <row r="20" spans="1:17" ht="22.5" customHeight="1" x14ac:dyDescent="0.25">
      <c r="A20" s="431">
        <v>17</v>
      </c>
      <c r="B20" s="451" t="s">
        <v>337</v>
      </c>
      <c r="C20" s="433">
        <v>6.7039999999999997</v>
      </c>
      <c r="D20" s="432">
        <v>25</v>
      </c>
      <c r="E20" s="432">
        <v>14</v>
      </c>
      <c r="F20" s="432">
        <v>1</v>
      </c>
      <c r="G20" s="432">
        <v>35</v>
      </c>
      <c r="H20" s="434">
        <v>585</v>
      </c>
      <c r="I20" s="434">
        <v>120</v>
      </c>
      <c r="J20" s="434">
        <v>1330</v>
      </c>
      <c r="K20" s="435">
        <v>0.71430000000000005</v>
      </c>
      <c r="L20" s="436">
        <v>0.6</v>
      </c>
      <c r="M20" s="436">
        <v>9.0899999999999995E-2</v>
      </c>
      <c r="N20" s="437">
        <v>105.16</v>
      </c>
      <c r="O20" s="438">
        <v>2.2400000000000002</v>
      </c>
      <c r="P20" s="438">
        <v>0.15</v>
      </c>
      <c r="Q20" s="439">
        <v>0.64</v>
      </c>
    </row>
    <row r="21" spans="1:17" ht="22.5" customHeight="1" x14ac:dyDescent="0.25">
      <c r="A21" s="431">
        <v>18</v>
      </c>
      <c r="B21" s="451" t="s">
        <v>271</v>
      </c>
      <c r="C21" s="433">
        <v>7.234</v>
      </c>
      <c r="D21" s="432">
        <v>18</v>
      </c>
      <c r="E21" s="432">
        <v>12</v>
      </c>
      <c r="F21" s="432">
        <v>1</v>
      </c>
      <c r="G21" s="432">
        <v>31</v>
      </c>
      <c r="H21" s="434">
        <v>1400</v>
      </c>
      <c r="I21" s="434">
        <v>50</v>
      </c>
      <c r="J21" s="434">
        <v>1675</v>
      </c>
      <c r="K21" s="435">
        <v>0.5806</v>
      </c>
      <c r="L21" s="436">
        <v>0.72219999999999995</v>
      </c>
      <c r="M21" s="436">
        <v>0.16669999999999999</v>
      </c>
      <c r="N21" s="437">
        <v>200.44</v>
      </c>
      <c r="O21" s="438">
        <v>1.8</v>
      </c>
      <c r="P21" s="438">
        <v>0.14000000000000001</v>
      </c>
      <c r="Q21" s="439">
        <v>0.64</v>
      </c>
    </row>
    <row r="22" spans="1:17" ht="22.5" customHeight="1" x14ac:dyDescent="0.25">
      <c r="A22" s="431">
        <v>19</v>
      </c>
      <c r="B22" s="451" t="s">
        <v>422</v>
      </c>
      <c r="C22" s="433">
        <v>14.361000000000001</v>
      </c>
      <c r="D22" s="432">
        <v>43</v>
      </c>
      <c r="E22" s="432">
        <v>17</v>
      </c>
      <c r="F22" s="432">
        <v>7</v>
      </c>
      <c r="G22" s="432">
        <v>69</v>
      </c>
      <c r="H22" s="434">
        <v>1105</v>
      </c>
      <c r="I22" s="434">
        <v>1080</v>
      </c>
      <c r="J22" s="434">
        <v>3740</v>
      </c>
      <c r="K22" s="435">
        <v>0.62319999999999998</v>
      </c>
      <c r="L22" s="436">
        <v>0.55810000000000004</v>
      </c>
      <c r="M22" s="436">
        <v>0.26919999999999999</v>
      </c>
      <c r="N22" s="437">
        <v>152.15</v>
      </c>
      <c r="O22" s="438">
        <v>1.67</v>
      </c>
      <c r="P22" s="438">
        <v>0.49</v>
      </c>
      <c r="Q22" s="439">
        <v>0.62</v>
      </c>
    </row>
    <row r="23" spans="1:17" ht="22.5" customHeight="1" x14ac:dyDescent="0.25">
      <c r="A23" s="431">
        <v>20</v>
      </c>
      <c r="B23" s="451" t="s">
        <v>335</v>
      </c>
      <c r="C23" s="433">
        <v>11.32</v>
      </c>
      <c r="D23" s="432">
        <v>29</v>
      </c>
      <c r="E23" s="432">
        <v>20</v>
      </c>
      <c r="F23" s="432">
        <v>3</v>
      </c>
      <c r="G23" s="432">
        <v>65</v>
      </c>
      <c r="H23" s="434">
        <v>1050</v>
      </c>
      <c r="I23" s="434">
        <v>360</v>
      </c>
      <c r="J23" s="434">
        <v>1645</v>
      </c>
      <c r="K23" s="435">
        <v>0.44619999999999999</v>
      </c>
      <c r="L23" s="436">
        <v>0.79310000000000003</v>
      </c>
      <c r="M23" s="436">
        <v>0.33329999999999999</v>
      </c>
      <c r="N23" s="437">
        <v>124.56</v>
      </c>
      <c r="O23" s="438">
        <v>2.0299999999999998</v>
      </c>
      <c r="P23" s="438">
        <v>0.27</v>
      </c>
      <c r="Q23" s="439">
        <v>0.62</v>
      </c>
    </row>
    <row r="24" spans="1:17" ht="22.5" customHeight="1" x14ac:dyDescent="0.25">
      <c r="A24" s="431">
        <v>21</v>
      </c>
      <c r="B24" s="451" t="s">
        <v>411</v>
      </c>
      <c r="C24" s="433">
        <v>3.9510000000000001</v>
      </c>
      <c r="D24" s="432">
        <v>12</v>
      </c>
      <c r="E24" s="432">
        <v>6</v>
      </c>
      <c r="F24" s="432">
        <v>1</v>
      </c>
      <c r="G24" s="432">
        <v>19</v>
      </c>
      <c r="H24" s="434">
        <v>420</v>
      </c>
      <c r="I24" s="434">
        <v>120</v>
      </c>
      <c r="J24" s="434">
        <v>750</v>
      </c>
      <c r="K24" s="435">
        <v>0.63160000000000005</v>
      </c>
      <c r="L24" s="436">
        <v>0.58330000000000004</v>
      </c>
      <c r="M24" s="436">
        <v>0.16669999999999999</v>
      </c>
      <c r="N24" s="437">
        <v>136.66999999999999</v>
      </c>
      <c r="O24" s="438">
        <v>1.77</v>
      </c>
      <c r="P24" s="438">
        <v>0.25</v>
      </c>
      <c r="Q24" s="439">
        <v>0.61</v>
      </c>
    </row>
    <row r="25" spans="1:17" ht="22.5" customHeight="1" x14ac:dyDescent="0.25">
      <c r="A25" s="431">
        <v>22</v>
      </c>
      <c r="B25" s="451" t="s">
        <v>402</v>
      </c>
      <c r="C25" s="433">
        <v>7.4059999999999997</v>
      </c>
      <c r="D25" s="432">
        <v>23</v>
      </c>
      <c r="E25" s="432">
        <v>9</v>
      </c>
      <c r="F25" s="432">
        <v>4</v>
      </c>
      <c r="G25" s="432">
        <v>37</v>
      </c>
      <c r="H25" s="434">
        <v>475</v>
      </c>
      <c r="I25" s="434">
        <v>420</v>
      </c>
      <c r="J25" s="434">
        <v>1465</v>
      </c>
      <c r="K25" s="435">
        <v>0.62160000000000004</v>
      </c>
      <c r="L25" s="436">
        <v>0.56520000000000004</v>
      </c>
      <c r="M25" s="436">
        <v>0.28570000000000001</v>
      </c>
      <c r="N25" s="437">
        <v>120.85</v>
      </c>
      <c r="O25" s="438">
        <v>1.76</v>
      </c>
      <c r="P25" s="438">
        <v>0.54</v>
      </c>
      <c r="Q25" s="439">
        <v>0.61</v>
      </c>
    </row>
    <row r="26" spans="1:17" ht="22.5" customHeight="1" x14ac:dyDescent="0.25">
      <c r="A26" s="431">
        <v>23</v>
      </c>
      <c r="B26" s="451" t="s">
        <v>352</v>
      </c>
      <c r="C26" s="433">
        <v>7.9610000000000003</v>
      </c>
      <c r="D26" s="432">
        <v>31</v>
      </c>
      <c r="E26" s="432">
        <v>18</v>
      </c>
      <c r="F26" s="432">
        <v>0</v>
      </c>
      <c r="G26" s="432">
        <v>37</v>
      </c>
      <c r="H26" s="434">
        <v>1275</v>
      </c>
      <c r="I26" s="434">
        <v>0</v>
      </c>
      <c r="J26" s="434">
        <v>2005</v>
      </c>
      <c r="K26" s="435">
        <v>0.83779999999999999</v>
      </c>
      <c r="L26" s="436">
        <v>0.5806</v>
      </c>
      <c r="M26" s="436">
        <v>0</v>
      </c>
      <c r="N26" s="437">
        <v>160.16</v>
      </c>
      <c r="O26" s="438">
        <v>2.2599999999999998</v>
      </c>
      <c r="P26" s="438">
        <v>0</v>
      </c>
      <c r="Q26" s="439">
        <v>0.6</v>
      </c>
    </row>
    <row r="27" spans="1:17" ht="22.5" customHeight="1" x14ac:dyDescent="0.25">
      <c r="A27" s="431">
        <v>24</v>
      </c>
      <c r="B27" s="451" t="s">
        <v>274</v>
      </c>
      <c r="C27" s="433">
        <v>0.378</v>
      </c>
      <c r="D27" s="432">
        <v>1</v>
      </c>
      <c r="E27" s="432">
        <v>1</v>
      </c>
      <c r="F27" s="432">
        <v>0</v>
      </c>
      <c r="G27" s="432">
        <v>1</v>
      </c>
      <c r="H27" s="434">
        <v>25</v>
      </c>
      <c r="I27" s="434">
        <v>0</v>
      </c>
      <c r="J27" s="434">
        <v>25</v>
      </c>
      <c r="K27" s="435">
        <v>1</v>
      </c>
      <c r="L27" s="436">
        <v>1</v>
      </c>
      <c r="M27" s="436">
        <v>0</v>
      </c>
      <c r="N27" s="437">
        <v>66.14</v>
      </c>
      <c r="O27" s="438">
        <v>2.65</v>
      </c>
      <c r="P27" s="438">
        <v>0</v>
      </c>
      <c r="Q27" s="439">
        <v>0.6</v>
      </c>
    </row>
    <row r="28" spans="1:17" ht="22.5" customHeight="1" x14ac:dyDescent="0.25">
      <c r="A28" s="431">
        <v>25</v>
      </c>
      <c r="B28" s="451" t="s">
        <v>308</v>
      </c>
      <c r="C28" s="433">
        <v>7.601</v>
      </c>
      <c r="D28" s="432">
        <v>32</v>
      </c>
      <c r="E28" s="432">
        <v>14</v>
      </c>
      <c r="F28" s="432">
        <v>1</v>
      </c>
      <c r="G28" s="432">
        <v>44</v>
      </c>
      <c r="H28" s="434">
        <v>1295</v>
      </c>
      <c r="I28" s="434">
        <v>120</v>
      </c>
      <c r="J28" s="434">
        <v>2720</v>
      </c>
      <c r="K28" s="435">
        <v>0.72729999999999995</v>
      </c>
      <c r="L28" s="436">
        <v>0.46879999999999999</v>
      </c>
      <c r="M28" s="436">
        <v>5.5599999999999997E-2</v>
      </c>
      <c r="N28" s="437">
        <v>186.16</v>
      </c>
      <c r="O28" s="438">
        <v>1.97</v>
      </c>
      <c r="P28" s="438">
        <v>0.13</v>
      </c>
      <c r="Q28" s="439">
        <v>0.6</v>
      </c>
    </row>
    <row r="29" spans="1:17" ht="22.5" customHeight="1" x14ac:dyDescent="0.25">
      <c r="A29" s="431">
        <v>26</v>
      </c>
      <c r="B29" s="451" t="s">
        <v>297</v>
      </c>
      <c r="C29" s="433">
        <v>6.23</v>
      </c>
      <c r="D29" s="432">
        <v>22</v>
      </c>
      <c r="E29" s="432">
        <v>7</v>
      </c>
      <c r="F29" s="432">
        <v>4</v>
      </c>
      <c r="G29" s="432">
        <v>34</v>
      </c>
      <c r="H29" s="434">
        <v>320</v>
      </c>
      <c r="I29" s="434">
        <v>396</v>
      </c>
      <c r="J29" s="434">
        <v>1341</v>
      </c>
      <c r="K29" s="435">
        <v>0.64710000000000001</v>
      </c>
      <c r="L29" s="436">
        <v>0.5</v>
      </c>
      <c r="M29" s="436">
        <v>0.26669999999999999</v>
      </c>
      <c r="N29" s="437">
        <v>114.93</v>
      </c>
      <c r="O29" s="438">
        <v>1.77</v>
      </c>
      <c r="P29" s="438">
        <v>0.64</v>
      </c>
      <c r="Q29" s="439">
        <v>0.59</v>
      </c>
    </row>
    <row r="30" spans="1:17" ht="22.5" customHeight="1" x14ac:dyDescent="0.25">
      <c r="A30" s="431">
        <v>27</v>
      </c>
      <c r="B30" s="451" t="s">
        <v>326</v>
      </c>
      <c r="C30" s="433">
        <v>4.4889999999999999</v>
      </c>
      <c r="D30" s="432">
        <v>15</v>
      </c>
      <c r="E30" s="432">
        <v>5</v>
      </c>
      <c r="F30" s="432">
        <v>2</v>
      </c>
      <c r="G30" s="432">
        <v>20</v>
      </c>
      <c r="H30" s="434">
        <v>420</v>
      </c>
      <c r="I30" s="434">
        <v>180</v>
      </c>
      <c r="J30" s="434">
        <v>1085</v>
      </c>
      <c r="K30" s="435">
        <v>0.75</v>
      </c>
      <c r="L30" s="436">
        <v>0.4667</v>
      </c>
      <c r="M30" s="436">
        <v>0.2</v>
      </c>
      <c r="N30" s="437">
        <v>133.66</v>
      </c>
      <c r="O30" s="438">
        <v>1.56</v>
      </c>
      <c r="P30" s="438">
        <v>0.45</v>
      </c>
      <c r="Q30" s="439">
        <v>0.59</v>
      </c>
    </row>
    <row r="31" spans="1:17" ht="22.5" customHeight="1" x14ac:dyDescent="0.25">
      <c r="A31" s="431">
        <v>28</v>
      </c>
      <c r="B31" s="451" t="s">
        <v>356</v>
      </c>
      <c r="C31" s="433">
        <v>9.1240000000000006</v>
      </c>
      <c r="D31" s="432">
        <v>30</v>
      </c>
      <c r="E31" s="432">
        <v>22</v>
      </c>
      <c r="F31" s="432">
        <v>0</v>
      </c>
      <c r="G31" s="432">
        <v>45</v>
      </c>
      <c r="H31" s="434">
        <v>1425</v>
      </c>
      <c r="I31" s="434">
        <v>0</v>
      </c>
      <c r="J31" s="434">
        <v>2195</v>
      </c>
      <c r="K31" s="435">
        <v>0.66669999999999996</v>
      </c>
      <c r="L31" s="436">
        <v>0.73329999999999995</v>
      </c>
      <c r="M31" s="436">
        <v>0</v>
      </c>
      <c r="N31" s="437">
        <v>156.18</v>
      </c>
      <c r="O31" s="438">
        <v>2.41</v>
      </c>
      <c r="P31" s="438">
        <v>0</v>
      </c>
      <c r="Q31" s="439">
        <v>0.57999999999999996</v>
      </c>
    </row>
    <row r="32" spans="1:17" ht="22.5" customHeight="1" x14ac:dyDescent="0.25">
      <c r="A32" s="431">
        <v>29</v>
      </c>
      <c r="B32" s="451" t="s">
        <v>300</v>
      </c>
      <c r="C32" s="433">
        <v>2.1840000000000002</v>
      </c>
      <c r="D32" s="432">
        <v>5</v>
      </c>
      <c r="E32" s="432">
        <v>2</v>
      </c>
      <c r="F32" s="432">
        <v>1</v>
      </c>
      <c r="G32" s="432">
        <v>8</v>
      </c>
      <c r="H32" s="434">
        <v>100</v>
      </c>
      <c r="I32" s="434">
        <v>120</v>
      </c>
      <c r="J32" s="434">
        <v>270</v>
      </c>
      <c r="K32" s="435">
        <v>0.625</v>
      </c>
      <c r="L32" s="436">
        <v>0.6</v>
      </c>
      <c r="M32" s="436">
        <v>0.33329999999999999</v>
      </c>
      <c r="N32" s="437">
        <v>100.73</v>
      </c>
      <c r="O32" s="438">
        <v>1.37</v>
      </c>
      <c r="P32" s="438">
        <v>0.46</v>
      </c>
      <c r="Q32" s="439">
        <v>0.56000000000000005</v>
      </c>
    </row>
    <row r="33" spans="1:17" ht="22.5" customHeight="1" x14ac:dyDescent="0.25">
      <c r="A33" s="431">
        <v>30</v>
      </c>
      <c r="B33" s="451" t="s">
        <v>321</v>
      </c>
      <c r="C33" s="433">
        <v>3.9740000000000002</v>
      </c>
      <c r="D33" s="432">
        <v>12</v>
      </c>
      <c r="E33" s="432">
        <v>7</v>
      </c>
      <c r="F33" s="432">
        <v>0</v>
      </c>
      <c r="G33" s="432">
        <v>15</v>
      </c>
      <c r="H33" s="434">
        <v>700</v>
      </c>
      <c r="I33" s="434">
        <v>0</v>
      </c>
      <c r="J33" s="434">
        <v>910</v>
      </c>
      <c r="K33" s="435">
        <v>0.8</v>
      </c>
      <c r="L33" s="436">
        <v>0.58330000000000004</v>
      </c>
      <c r="M33" s="436">
        <v>0</v>
      </c>
      <c r="N33" s="437">
        <v>176.14</v>
      </c>
      <c r="O33" s="438">
        <v>1.76</v>
      </c>
      <c r="P33" s="438">
        <v>0</v>
      </c>
      <c r="Q33" s="439">
        <v>0.56000000000000005</v>
      </c>
    </row>
    <row r="34" spans="1:17" ht="22.5" customHeight="1" x14ac:dyDescent="0.25">
      <c r="A34" s="431">
        <v>31</v>
      </c>
      <c r="B34" s="451" t="s">
        <v>432</v>
      </c>
      <c r="C34" s="433">
        <v>6.9119999999999999</v>
      </c>
      <c r="D34" s="432">
        <v>25</v>
      </c>
      <c r="E34" s="432">
        <v>15</v>
      </c>
      <c r="F34" s="432">
        <v>0</v>
      </c>
      <c r="G34" s="432">
        <v>38</v>
      </c>
      <c r="H34" s="434">
        <v>1350</v>
      </c>
      <c r="I34" s="434">
        <v>0</v>
      </c>
      <c r="J34" s="434">
        <v>1955</v>
      </c>
      <c r="K34" s="435">
        <v>0.65790000000000004</v>
      </c>
      <c r="L34" s="436">
        <v>0.6</v>
      </c>
      <c r="M34" s="436">
        <v>0</v>
      </c>
      <c r="N34" s="437">
        <v>195.31</v>
      </c>
      <c r="O34" s="438">
        <v>2.17</v>
      </c>
      <c r="P34" s="438">
        <v>0</v>
      </c>
      <c r="Q34" s="439">
        <v>0.56000000000000005</v>
      </c>
    </row>
    <row r="35" spans="1:17" ht="22.5" customHeight="1" x14ac:dyDescent="0.25">
      <c r="A35" s="431">
        <v>32</v>
      </c>
      <c r="B35" s="451" t="s">
        <v>426</v>
      </c>
      <c r="C35" s="433">
        <v>7.6909999999999998</v>
      </c>
      <c r="D35" s="432">
        <v>19</v>
      </c>
      <c r="E35" s="432">
        <v>12</v>
      </c>
      <c r="F35" s="432">
        <v>1</v>
      </c>
      <c r="G35" s="432">
        <v>35</v>
      </c>
      <c r="H35" s="434">
        <v>1140</v>
      </c>
      <c r="I35" s="434">
        <v>120</v>
      </c>
      <c r="J35" s="434">
        <v>1860</v>
      </c>
      <c r="K35" s="435">
        <v>0.54290000000000005</v>
      </c>
      <c r="L35" s="436">
        <v>0.68420000000000003</v>
      </c>
      <c r="M35" s="436">
        <v>0.1429</v>
      </c>
      <c r="N35" s="437">
        <v>163.83000000000001</v>
      </c>
      <c r="O35" s="438">
        <v>1.69</v>
      </c>
      <c r="P35" s="438">
        <v>0.13</v>
      </c>
      <c r="Q35" s="439">
        <v>0.56000000000000005</v>
      </c>
    </row>
    <row r="36" spans="1:17" ht="22.5" customHeight="1" x14ac:dyDescent="0.25">
      <c r="A36" s="431">
        <v>33</v>
      </c>
      <c r="B36" s="451" t="s">
        <v>355</v>
      </c>
      <c r="C36" s="433">
        <v>1.222</v>
      </c>
      <c r="D36" s="432">
        <v>2</v>
      </c>
      <c r="E36" s="432">
        <v>1</v>
      </c>
      <c r="F36" s="432">
        <v>1</v>
      </c>
      <c r="G36" s="432">
        <v>4</v>
      </c>
      <c r="H36" s="434">
        <v>5</v>
      </c>
      <c r="I36" s="434">
        <v>25</v>
      </c>
      <c r="J36" s="434">
        <v>30</v>
      </c>
      <c r="K36" s="435">
        <v>0.5</v>
      </c>
      <c r="L36" s="436">
        <v>1</v>
      </c>
      <c r="M36" s="436">
        <v>1</v>
      </c>
      <c r="N36" s="437">
        <v>24.55</v>
      </c>
      <c r="O36" s="438">
        <v>1.64</v>
      </c>
      <c r="P36" s="438">
        <v>0.82</v>
      </c>
      <c r="Q36" s="439">
        <v>0.55000000000000004</v>
      </c>
    </row>
    <row r="37" spans="1:17" ht="22.5" customHeight="1" x14ac:dyDescent="0.25">
      <c r="A37" s="431">
        <v>34</v>
      </c>
      <c r="B37" s="451" t="s">
        <v>399</v>
      </c>
      <c r="C37" s="433">
        <v>7.8170000000000002</v>
      </c>
      <c r="D37" s="432">
        <v>29</v>
      </c>
      <c r="E37" s="432">
        <v>13</v>
      </c>
      <c r="F37" s="432">
        <v>2</v>
      </c>
      <c r="G37" s="432">
        <v>48</v>
      </c>
      <c r="H37" s="434">
        <v>745</v>
      </c>
      <c r="I37" s="434">
        <v>180</v>
      </c>
      <c r="J37" s="434">
        <v>2100</v>
      </c>
      <c r="K37" s="435">
        <v>0.60419999999999996</v>
      </c>
      <c r="L37" s="436">
        <v>0.51719999999999999</v>
      </c>
      <c r="M37" s="436">
        <v>0.125</v>
      </c>
      <c r="N37" s="437">
        <v>118.33</v>
      </c>
      <c r="O37" s="438">
        <v>1.92</v>
      </c>
      <c r="P37" s="438">
        <v>0.26</v>
      </c>
      <c r="Q37" s="439">
        <v>0.54</v>
      </c>
    </row>
    <row r="38" spans="1:17" ht="22.5" customHeight="1" x14ac:dyDescent="0.25">
      <c r="A38" s="431">
        <v>35</v>
      </c>
      <c r="B38" s="451" t="s">
        <v>342</v>
      </c>
      <c r="C38" s="433">
        <v>9.6739999999999995</v>
      </c>
      <c r="D38" s="432">
        <v>43</v>
      </c>
      <c r="E38" s="432">
        <v>21</v>
      </c>
      <c r="F38" s="432">
        <v>0</v>
      </c>
      <c r="G38" s="432">
        <v>61</v>
      </c>
      <c r="H38" s="434">
        <v>6670</v>
      </c>
      <c r="I38" s="434">
        <v>0</v>
      </c>
      <c r="J38" s="434">
        <v>8125</v>
      </c>
      <c r="K38" s="435">
        <v>0.70489999999999997</v>
      </c>
      <c r="L38" s="436">
        <v>0.4884</v>
      </c>
      <c r="M38" s="436">
        <v>0</v>
      </c>
      <c r="N38" s="437">
        <v>689.48</v>
      </c>
      <c r="O38" s="438">
        <v>2.17</v>
      </c>
      <c r="P38" s="438">
        <v>0</v>
      </c>
      <c r="Q38" s="439">
        <v>0.53</v>
      </c>
    </row>
    <row r="39" spans="1:17" ht="22.5" customHeight="1" x14ac:dyDescent="0.25">
      <c r="A39" s="431">
        <v>36</v>
      </c>
      <c r="B39" s="451" t="s">
        <v>336</v>
      </c>
      <c r="C39" s="433">
        <v>4.2439999999999998</v>
      </c>
      <c r="D39" s="432">
        <v>16</v>
      </c>
      <c r="E39" s="432">
        <v>7</v>
      </c>
      <c r="F39" s="432">
        <v>1</v>
      </c>
      <c r="G39" s="432">
        <v>30</v>
      </c>
      <c r="H39" s="434">
        <v>700</v>
      </c>
      <c r="I39" s="434">
        <v>120</v>
      </c>
      <c r="J39" s="434">
        <v>1205</v>
      </c>
      <c r="K39" s="435">
        <v>0.5333</v>
      </c>
      <c r="L39" s="436">
        <v>0.5</v>
      </c>
      <c r="M39" s="436">
        <v>0.1111</v>
      </c>
      <c r="N39" s="437">
        <v>193.21</v>
      </c>
      <c r="O39" s="438">
        <v>1.89</v>
      </c>
      <c r="P39" s="438">
        <v>0.24</v>
      </c>
      <c r="Q39" s="439">
        <v>0.53</v>
      </c>
    </row>
    <row r="40" spans="1:17" ht="22.5" customHeight="1" x14ac:dyDescent="0.25">
      <c r="A40" s="431">
        <v>37</v>
      </c>
      <c r="B40" s="451" t="s">
        <v>403</v>
      </c>
      <c r="C40" s="433">
        <v>5.1980000000000004</v>
      </c>
      <c r="D40" s="432">
        <v>18</v>
      </c>
      <c r="E40" s="432">
        <v>6</v>
      </c>
      <c r="F40" s="432">
        <v>1</v>
      </c>
      <c r="G40" s="432">
        <v>26</v>
      </c>
      <c r="H40" s="434">
        <v>975</v>
      </c>
      <c r="I40" s="434">
        <v>120</v>
      </c>
      <c r="J40" s="434">
        <v>1800</v>
      </c>
      <c r="K40" s="435">
        <v>0.69230000000000003</v>
      </c>
      <c r="L40" s="436">
        <v>0.38890000000000002</v>
      </c>
      <c r="M40" s="436">
        <v>8.3299999999999999E-2</v>
      </c>
      <c r="N40" s="437">
        <v>210.66</v>
      </c>
      <c r="O40" s="438">
        <v>1.35</v>
      </c>
      <c r="P40" s="438">
        <v>0.19</v>
      </c>
      <c r="Q40" s="439">
        <v>0.52</v>
      </c>
    </row>
    <row r="41" spans="1:17" ht="22.5" customHeight="1" x14ac:dyDescent="0.25">
      <c r="A41" s="431">
        <v>38</v>
      </c>
      <c r="B41" s="451" t="s">
        <v>430</v>
      </c>
      <c r="C41" s="433">
        <v>3.8860000000000001</v>
      </c>
      <c r="D41" s="432">
        <v>13</v>
      </c>
      <c r="E41" s="432">
        <v>7</v>
      </c>
      <c r="F41" s="432">
        <v>0</v>
      </c>
      <c r="G41" s="432">
        <v>18</v>
      </c>
      <c r="H41" s="434">
        <v>540</v>
      </c>
      <c r="I41" s="434">
        <v>0</v>
      </c>
      <c r="J41" s="434">
        <v>1090</v>
      </c>
      <c r="K41" s="435">
        <v>0.72219999999999995</v>
      </c>
      <c r="L41" s="436">
        <v>0.53849999999999998</v>
      </c>
      <c r="M41" s="436">
        <v>0</v>
      </c>
      <c r="N41" s="437">
        <v>138.96</v>
      </c>
      <c r="O41" s="438">
        <v>1.8</v>
      </c>
      <c r="P41" s="438">
        <v>0</v>
      </c>
      <c r="Q41" s="439">
        <v>0.5</v>
      </c>
    </row>
    <row r="42" spans="1:17" ht="22.5" customHeight="1" x14ac:dyDescent="0.25">
      <c r="A42" s="431">
        <v>39</v>
      </c>
      <c r="B42" s="451" t="s">
        <v>400</v>
      </c>
      <c r="C42" s="433">
        <v>8.1509999999999998</v>
      </c>
      <c r="D42" s="432">
        <v>25</v>
      </c>
      <c r="E42" s="432">
        <v>11</v>
      </c>
      <c r="F42" s="432">
        <v>2</v>
      </c>
      <c r="G42" s="432">
        <v>40</v>
      </c>
      <c r="H42" s="434">
        <v>565</v>
      </c>
      <c r="I42" s="434">
        <v>240</v>
      </c>
      <c r="J42" s="434">
        <v>1545</v>
      </c>
      <c r="K42" s="435">
        <v>0.625</v>
      </c>
      <c r="L42" s="436">
        <v>0.52</v>
      </c>
      <c r="M42" s="436">
        <v>0.1429</v>
      </c>
      <c r="N42" s="437">
        <v>98.76</v>
      </c>
      <c r="O42" s="438">
        <v>1.59</v>
      </c>
      <c r="P42" s="438">
        <v>0.25</v>
      </c>
      <c r="Q42" s="439">
        <v>0.49</v>
      </c>
    </row>
    <row r="43" spans="1:17" ht="22.5" customHeight="1" x14ac:dyDescent="0.25">
      <c r="A43" s="431">
        <v>40</v>
      </c>
      <c r="B43" s="451" t="s">
        <v>417</v>
      </c>
      <c r="C43" s="433">
        <v>11.202</v>
      </c>
      <c r="D43" s="432">
        <v>40</v>
      </c>
      <c r="E43" s="432">
        <v>15</v>
      </c>
      <c r="F43" s="432">
        <v>2</v>
      </c>
      <c r="G43" s="432">
        <v>54</v>
      </c>
      <c r="H43" s="434">
        <v>855</v>
      </c>
      <c r="I43" s="434">
        <v>240</v>
      </c>
      <c r="J43" s="434">
        <v>2825</v>
      </c>
      <c r="K43" s="435">
        <v>0.74070000000000003</v>
      </c>
      <c r="L43" s="436">
        <v>0.42499999999999999</v>
      </c>
      <c r="M43" s="436">
        <v>0.08</v>
      </c>
      <c r="N43" s="437">
        <v>97.75</v>
      </c>
      <c r="O43" s="438">
        <v>1.52</v>
      </c>
      <c r="P43" s="438">
        <v>0.18</v>
      </c>
      <c r="Q43" s="439">
        <v>0.48</v>
      </c>
    </row>
    <row r="44" spans="1:17" ht="22.5" customHeight="1" x14ac:dyDescent="0.25">
      <c r="A44" s="431">
        <v>41</v>
      </c>
      <c r="B44" s="451" t="s">
        <v>269</v>
      </c>
      <c r="C44" s="433">
        <v>5.1719999999999997</v>
      </c>
      <c r="D44" s="432">
        <v>16</v>
      </c>
      <c r="E44" s="432">
        <v>2</v>
      </c>
      <c r="F44" s="432">
        <v>4</v>
      </c>
      <c r="G44" s="432">
        <v>26</v>
      </c>
      <c r="H44" s="434">
        <v>200</v>
      </c>
      <c r="I44" s="434">
        <v>540</v>
      </c>
      <c r="J44" s="434">
        <v>1260</v>
      </c>
      <c r="K44" s="435">
        <v>0.61539999999999995</v>
      </c>
      <c r="L44" s="436">
        <v>0.375</v>
      </c>
      <c r="M44" s="436">
        <v>0.28570000000000001</v>
      </c>
      <c r="N44" s="437">
        <v>143.08000000000001</v>
      </c>
      <c r="O44" s="438">
        <v>1.1599999999999999</v>
      </c>
      <c r="P44" s="438">
        <v>0.77</v>
      </c>
      <c r="Q44" s="439">
        <v>0.48</v>
      </c>
    </row>
    <row r="45" spans="1:17" ht="22.5" customHeight="1" x14ac:dyDescent="0.25">
      <c r="A45" s="431">
        <v>42</v>
      </c>
      <c r="B45" s="451" t="s">
        <v>318</v>
      </c>
      <c r="C45" s="433">
        <v>6.8630000000000004</v>
      </c>
      <c r="D45" s="432">
        <v>14</v>
      </c>
      <c r="E45" s="432">
        <v>8</v>
      </c>
      <c r="F45" s="432">
        <v>2</v>
      </c>
      <c r="G45" s="432">
        <v>34</v>
      </c>
      <c r="H45" s="434">
        <v>180</v>
      </c>
      <c r="I45" s="434">
        <v>240</v>
      </c>
      <c r="J45" s="434">
        <v>600</v>
      </c>
      <c r="K45" s="435">
        <v>0.4118</v>
      </c>
      <c r="L45" s="436">
        <v>0.71430000000000005</v>
      </c>
      <c r="M45" s="436">
        <v>0.33329999999999999</v>
      </c>
      <c r="N45" s="437">
        <v>61.2</v>
      </c>
      <c r="O45" s="438">
        <v>1.46</v>
      </c>
      <c r="P45" s="438">
        <v>0.28999999999999998</v>
      </c>
      <c r="Q45" s="439">
        <v>0.47</v>
      </c>
    </row>
    <row r="46" spans="1:17" ht="22.5" customHeight="1" x14ac:dyDescent="0.25">
      <c r="A46" s="431">
        <v>43</v>
      </c>
      <c r="B46" s="451" t="s">
        <v>302</v>
      </c>
      <c r="C46" s="433">
        <v>8.0109999999999992</v>
      </c>
      <c r="D46" s="432">
        <v>28</v>
      </c>
      <c r="E46" s="432">
        <v>11</v>
      </c>
      <c r="F46" s="432">
        <v>1</v>
      </c>
      <c r="G46" s="432">
        <v>41</v>
      </c>
      <c r="H46" s="434">
        <v>910</v>
      </c>
      <c r="I46" s="434">
        <v>120</v>
      </c>
      <c r="J46" s="434">
        <v>2050</v>
      </c>
      <c r="K46" s="435">
        <v>0.68289999999999995</v>
      </c>
      <c r="L46" s="436">
        <v>0.42859999999999998</v>
      </c>
      <c r="M46" s="436">
        <v>5.8799999999999998E-2</v>
      </c>
      <c r="N46" s="437">
        <v>128.57</v>
      </c>
      <c r="O46" s="438">
        <v>1.5</v>
      </c>
      <c r="P46" s="438">
        <v>0.12</v>
      </c>
      <c r="Q46" s="439">
        <v>0.46</v>
      </c>
    </row>
    <row r="47" spans="1:17" ht="22.5" customHeight="1" x14ac:dyDescent="0.25">
      <c r="A47" s="431">
        <v>44</v>
      </c>
      <c r="B47" s="451" t="s">
        <v>291</v>
      </c>
      <c r="C47" s="433">
        <v>1.5840000000000001</v>
      </c>
      <c r="D47" s="432">
        <v>5</v>
      </c>
      <c r="E47" s="432">
        <v>1</v>
      </c>
      <c r="F47" s="432">
        <v>1</v>
      </c>
      <c r="G47" s="432">
        <v>8</v>
      </c>
      <c r="H47" s="434">
        <v>25</v>
      </c>
      <c r="I47" s="434">
        <v>120</v>
      </c>
      <c r="J47" s="434">
        <v>245</v>
      </c>
      <c r="K47" s="435">
        <v>0.625</v>
      </c>
      <c r="L47" s="436">
        <v>0.4</v>
      </c>
      <c r="M47" s="436">
        <v>0.25</v>
      </c>
      <c r="N47" s="437">
        <v>91.54</v>
      </c>
      <c r="O47" s="438">
        <v>1.26</v>
      </c>
      <c r="P47" s="438">
        <v>0.63</v>
      </c>
      <c r="Q47" s="439">
        <v>0.45</v>
      </c>
    </row>
    <row r="48" spans="1:17" ht="22.5" customHeight="1" x14ac:dyDescent="0.25">
      <c r="A48" s="431">
        <v>45</v>
      </c>
      <c r="B48" s="451" t="s">
        <v>385</v>
      </c>
      <c r="C48" s="433">
        <v>4.4649999999999999</v>
      </c>
      <c r="D48" s="432">
        <v>8</v>
      </c>
      <c r="E48" s="432">
        <v>2</v>
      </c>
      <c r="F48" s="432">
        <v>1</v>
      </c>
      <c r="G48" s="432">
        <v>10</v>
      </c>
      <c r="H48" s="434">
        <v>150</v>
      </c>
      <c r="I48" s="434">
        <v>300</v>
      </c>
      <c r="J48" s="434">
        <v>630</v>
      </c>
      <c r="K48" s="435">
        <v>0.8</v>
      </c>
      <c r="L48" s="436">
        <v>0.375</v>
      </c>
      <c r="M48" s="436">
        <v>0.16669999999999999</v>
      </c>
      <c r="N48" s="437">
        <v>100.78</v>
      </c>
      <c r="O48" s="438">
        <v>0.67</v>
      </c>
      <c r="P48" s="438">
        <v>0.22</v>
      </c>
      <c r="Q48" s="439">
        <v>0.45</v>
      </c>
    </row>
    <row r="49" spans="1:17" ht="22.5" customHeight="1" x14ac:dyDescent="0.25">
      <c r="A49" s="431">
        <v>46</v>
      </c>
      <c r="B49" s="451" t="s">
        <v>362</v>
      </c>
      <c r="C49" s="433">
        <v>6.8920000000000003</v>
      </c>
      <c r="D49" s="432">
        <v>33</v>
      </c>
      <c r="E49" s="432">
        <v>16</v>
      </c>
      <c r="F49" s="432">
        <v>0</v>
      </c>
      <c r="G49" s="432">
        <v>52</v>
      </c>
      <c r="H49" s="434">
        <v>1060</v>
      </c>
      <c r="I49" s="434">
        <v>0</v>
      </c>
      <c r="J49" s="434">
        <v>1920</v>
      </c>
      <c r="K49" s="435">
        <v>0.63460000000000005</v>
      </c>
      <c r="L49" s="436">
        <v>0.48480000000000001</v>
      </c>
      <c r="M49" s="436">
        <v>0</v>
      </c>
      <c r="N49" s="437">
        <v>153.80000000000001</v>
      </c>
      <c r="O49" s="438">
        <v>2.3199999999999998</v>
      </c>
      <c r="P49" s="438">
        <v>0</v>
      </c>
      <c r="Q49" s="439">
        <v>0.45</v>
      </c>
    </row>
    <row r="50" spans="1:17" ht="22.5" customHeight="1" x14ac:dyDescent="0.25">
      <c r="A50" s="431">
        <v>47</v>
      </c>
      <c r="B50" s="451" t="s">
        <v>379</v>
      </c>
      <c r="C50" s="433">
        <v>3.7130000000000001</v>
      </c>
      <c r="D50" s="432">
        <v>11</v>
      </c>
      <c r="E50" s="432">
        <v>6</v>
      </c>
      <c r="F50" s="432">
        <v>0</v>
      </c>
      <c r="G50" s="432">
        <v>14</v>
      </c>
      <c r="H50" s="434">
        <v>350</v>
      </c>
      <c r="I50" s="434">
        <v>0</v>
      </c>
      <c r="J50" s="434">
        <v>680</v>
      </c>
      <c r="K50" s="435">
        <v>0.78569999999999995</v>
      </c>
      <c r="L50" s="436">
        <v>0.54549999999999998</v>
      </c>
      <c r="M50" s="436">
        <v>0</v>
      </c>
      <c r="N50" s="437">
        <v>94.26</v>
      </c>
      <c r="O50" s="438">
        <v>1.62</v>
      </c>
      <c r="P50" s="438">
        <v>0</v>
      </c>
      <c r="Q50" s="439">
        <v>0.44</v>
      </c>
    </row>
    <row r="51" spans="1:17" ht="22.5" customHeight="1" x14ac:dyDescent="0.25">
      <c r="A51" s="431">
        <v>48</v>
      </c>
      <c r="B51" s="451" t="s">
        <v>354</v>
      </c>
      <c r="C51" s="433">
        <v>4.0999999999999996</v>
      </c>
      <c r="D51" s="432">
        <v>10</v>
      </c>
      <c r="E51" s="432">
        <v>7</v>
      </c>
      <c r="F51" s="432">
        <v>0</v>
      </c>
      <c r="G51" s="432">
        <v>14</v>
      </c>
      <c r="H51" s="434">
        <v>200</v>
      </c>
      <c r="I51" s="434">
        <v>0</v>
      </c>
      <c r="J51" s="434">
        <v>375</v>
      </c>
      <c r="K51" s="435">
        <v>0.71430000000000005</v>
      </c>
      <c r="L51" s="436">
        <v>0.7</v>
      </c>
      <c r="M51" s="436">
        <v>0</v>
      </c>
      <c r="N51" s="437">
        <v>48.78</v>
      </c>
      <c r="O51" s="438">
        <v>1.71</v>
      </c>
      <c r="P51" s="438">
        <v>0</v>
      </c>
      <c r="Q51" s="439">
        <v>0.44</v>
      </c>
    </row>
    <row r="52" spans="1:17" ht="22.5" customHeight="1" x14ac:dyDescent="0.25">
      <c r="A52" s="431">
        <v>49</v>
      </c>
      <c r="B52" s="451" t="s">
        <v>414</v>
      </c>
      <c r="C52" s="433">
        <v>6.7030000000000003</v>
      </c>
      <c r="D52" s="432">
        <v>21</v>
      </c>
      <c r="E52" s="432">
        <v>10</v>
      </c>
      <c r="F52" s="432">
        <v>1</v>
      </c>
      <c r="G52" s="432">
        <v>38</v>
      </c>
      <c r="H52" s="434">
        <v>615</v>
      </c>
      <c r="I52" s="434">
        <v>120</v>
      </c>
      <c r="J52" s="434">
        <v>1370</v>
      </c>
      <c r="K52" s="435">
        <v>0.55259999999999998</v>
      </c>
      <c r="L52" s="436">
        <v>0.52380000000000004</v>
      </c>
      <c r="M52" s="436">
        <v>9.0899999999999995E-2</v>
      </c>
      <c r="N52" s="437">
        <v>109.65</v>
      </c>
      <c r="O52" s="438">
        <v>1.64</v>
      </c>
      <c r="P52" s="438">
        <v>0.15</v>
      </c>
      <c r="Q52" s="439">
        <v>0.44</v>
      </c>
    </row>
    <row r="53" spans="1:17" ht="22.5" customHeight="1" x14ac:dyDescent="0.25">
      <c r="A53" s="431">
        <v>50</v>
      </c>
      <c r="B53" s="451" t="s">
        <v>298</v>
      </c>
      <c r="C53" s="433">
        <v>6.8710000000000004</v>
      </c>
      <c r="D53" s="432">
        <v>16</v>
      </c>
      <c r="E53" s="432">
        <v>9</v>
      </c>
      <c r="F53" s="432">
        <v>1</v>
      </c>
      <c r="G53" s="432">
        <v>31</v>
      </c>
      <c r="H53" s="434">
        <v>495</v>
      </c>
      <c r="I53" s="434">
        <v>120</v>
      </c>
      <c r="J53" s="434">
        <v>870</v>
      </c>
      <c r="K53" s="435">
        <v>0.5161</v>
      </c>
      <c r="L53" s="436">
        <v>0.625</v>
      </c>
      <c r="M53" s="436">
        <v>0.1429</v>
      </c>
      <c r="N53" s="437">
        <v>89.51</v>
      </c>
      <c r="O53" s="438">
        <v>1.46</v>
      </c>
      <c r="P53" s="438">
        <v>0.15</v>
      </c>
      <c r="Q53" s="439">
        <v>0.44</v>
      </c>
    </row>
    <row r="54" spans="1:17" ht="22.5" customHeight="1" x14ac:dyDescent="0.25">
      <c r="A54" s="431">
        <v>51</v>
      </c>
      <c r="B54" s="451" t="s">
        <v>360</v>
      </c>
      <c r="C54" s="433">
        <v>5.0819999999999999</v>
      </c>
      <c r="D54" s="432">
        <v>7</v>
      </c>
      <c r="E54" s="432">
        <v>3</v>
      </c>
      <c r="F54" s="432">
        <v>1</v>
      </c>
      <c r="G54" s="432">
        <v>23</v>
      </c>
      <c r="H54" s="434">
        <v>670</v>
      </c>
      <c r="I54" s="434">
        <v>120</v>
      </c>
      <c r="J54" s="434">
        <v>880</v>
      </c>
      <c r="K54" s="435">
        <v>0.30430000000000001</v>
      </c>
      <c r="L54" s="436">
        <v>0.57140000000000002</v>
      </c>
      <c r="M54" s="436">
        <v>0.25</v>
      </c>
      <c r="N54" s="437">
        <v>155.44999999999999</v>
      </c>
      <c r="O54" s="438">
        <v>0.79</v>
      </c>
      <c r="P54" s="438">
        <v>0.2</v>
      </c>
      <c r="Q54" s="439">
        <v>0.43</v>
      </c>
    </row>
    <row r="55" spans="1:17" ht="22.5" customHeight="1" x14ac:dyDescent="0.25">
      <c r="A55" s="431">
        <v>52</v>
      </c>
      <c r="B55" s="451" t="s">
        <v>283</v>
      </c>
      <c r="C55" s="433">
        <v>7.33</v>
      </c>
      <c r="D55" s="432">
        <v>19</v>
      </c>
      <c r="E55" s="432">
        <v>6</v>
      </c>
      <c r="F55" s="432">
        <v>2</v>
      </c>
      <c r="G55" s="432">
        <v>31</v>
      </c>
      <c r="H55" s="434">
        <v>730</v>
      </c>
      <c r="I55" s="434">
        <v>240</v>
      </c>
      <c r="J55" s="434">
        <v>1780</v>
      </c>
      <c r="K55" s="435">
        <v>0.6129</v>
      </c>
      <c r="L55" s="436">
        <v>0.42109999999999997</v>
      </c>
      <c r="M55" s="436">
        <v>0.15379999999999999</v>
      </c>
      <c r="N55" s="437">
        <v>132.33000000000001</v>
      </c>
      <c r="O55" s="438">
        <v>1.0900000000000001</v>
      </c>
      <c r="P55" s="438">
        <v>0.27</v>
      </c>
      <c r="Q55" s="439">
        <v>0.42</v>
      </c>
    </row>
    <row r="56" spans="1:17" ht="22.5" customHeight="1" x14ac:dyDescent="0.25">
      <c r="A56" s="431">
        <v>53</v>
      </c>
      <c r="B56" s="451" t="s">
        <v>276</v>
      </c>
      <c r="C56" s="433">
        <v>7.1550000000000002</v>
      </c>
      <c r="D56" s="432">
        <v>24</v>
      </c>
      <c r="E56" s="432">
        <v>10</v>
      </c>
      <c r="F56" s="432">
        <v>1</v>
      </c>
      <c r="G56" s="432">
        <v>38</v>
      </c>
      <c r="H56" s="434">
        <v>455</v>
      </c>
      <c r="I56" s="434">
        <v>120</v>
      </c>
      <c r="J56" s="434">
        <v>1170</v>
      </c>
      <c r="K56" s="435">
        <v>0.63160000000000005</v>
      </c>
      <c r="L56" s="436">
        <v>0.45829999999999999</v>
      </c>
      <c r="M56" s="436">
        <v>7.1400000000000005E-2</v>
      </c>
      <c r="N56" s="437">
        <v>80.36</v>
      </c>
      <c r="O56" s="438">
        <v>1.54</v>
      </c>
      <c r="P56" s="438">
        <v>0.14000000000000001</v>
      </c>
      <c r="Q56" s="439">
        <v>0.4</v>
      </c>
    </row>
    <row r="57" spans="1:17" ht="22.5" customHeight="1" x14ac:dyDescent="0.25">
      <c r="A57" s="431">
        <v>54</v>
      </c>
      <c r="B57" s="451" t="s">
        <v>317</v>
      </c>
      <c r="C57" s="433">
        <v>7.4379999999999997</v>
      </c>
      <c r="D57" s="432">
        <v>19</v>
      </c>
      <c r="E57" s="432">
        <v>9</v>
      </c>
      <c r="F57" s="432">
        <v>1</v>
      </c>
      <c r="G57" s="432">
        <v>32</v>
      </c>
      <c r="H57" s="434">
        <v>475</v>
      </c>
      <c r="I57" s="434">
        <v>75</v>
      </c>
      <c r="J57" s="434">
        <v>890</v>
      </c>
      <c r="K57" s="435">
        <v>0.59379999999999999</v>
      </c>
      <c r="L57" s="436">
        <v>0.52629999999999999</v>
      </c>
      <c r="M57" s="436">
        <v>0.1</v>
      </c>
      <c r="N57" s="437">
        <v>73.94</v>
      </c>
      <c r="O57" s="438">
        <v>1.34</v>
      </c>
      <c r="P57" s="438">
        <v>0.13</v>
      </c>
      <c r="Q57" s="439">
        <v>0.39</v>
      </c>
    </row>
    <row r="58" spans="1:17" ht="22.5" customHeight="1" x14ac:dyDescent="0.25">
      <c r="A58" s="431">
        <v>55</v>
      </c>
      <c r="B58" s="451" t="s">
        <v>412</v>
      </c>
      <c r="C58" s="433">
        <v>0.72399999999999998</v>
      </c>
      <c r="D58" s="432">
        <v>2</v>
      </c>
      <c r="E58" s="432">
        <v>1</v>
      </c>
      <c r="F58" s="432">
        <v>0</v>
      </c>
      <c r="G58" s="432">
        <v>2</v>
      </c>
      <c r="H58" s="434">
        <v>50</v>
      </c>
      <c r="I58" s="434">
        <v>0</v>
      </c>
      <c r="J58" s="434">
        <v>90</v>
      </c>
      <c r="K58" s="435">
        <v>1</v>
      </c>
      <c r="L58" s="436">
        <v>0.5</v>
      </c>
      <c r="M58" s="436">
        <v>0</v>
      </c>
      <c r="N58" s="437">
        <v>69.06</v>
      </c>
      <c r="O58" s="438">
        <v>1.38</v>
      </c>
      <c r="P58" s="438">
        <v>0</v>
      </c>
      <c r="Q58" s="439">
        <v>0.37</v>
      </c>
    </row>
    <row r="59" spans="1:17" ht="22.5" customHeight="1" x14ac:dyDescent="0.25">
      <c r="A59" s="431">
        <v>56</v>
      </c>
      <c r="B59" s="451" t="s">
        <v>371</v>
      </c>
      <c r="C59" s="433">
        <v>8.3670000000000009</v>
      </c>
      <c r="D59" s="432">
        <v>41</v>
      </c>
      <c r="E59" s="432">
        <v>15</v>
      </c>
      <c r="F59" s="432">
        <v>0</v>
      </c>
      <c r="G59" s="432">
        <v>57</v>
      </c>
      <c r="H59" s="434">
        <v>755</v>
      </c>
      <c r="I59" s="434">
        <v>0</v>
      </c>
      <c r="J59" s="434">
        <v>2450</v>
      </c>
      <c r="K59" s="435">
        <v>0.71930000000000005</v>
      </c>
      <c r="L59" s="436">
        <v>0.3659</v>
      </c>
      <c r="M59" s="436">
        <v>0</v>
      </c>
      <c r="N59" s="437">
        <v>90.24</v>
      </c>
      <c r="O59" s="438">
        <v>1.79</v>
      </c>
      <c r="P59" s="438">
        <v>0</v>
      </c>
      <c r="Q59" s="439">
        <v>0.37</v>
      </c>
    </row>
    <row r="60" spans="1:17" ht="22.5" customHeight="1" x14ac:dyDescent="0.25">
      <c r="A60" s="431">
        <v>57</v>
      </c>
      <c r="B60" s="451" t="s">
        <v>341</v>
      </c>
      <c r="C60" s="433">
        <v>4.3840000000000003</v>
      </c>
      <c r="D60" s="432">
        <v>9</v>
      </c>
      <c r="E60" s="432">
        <v>3</v>
      </c>
      <c r="F60" s="432">
        <v>1</v>
      </c>
      <c r="G60" s="432">
        <v>15</v>
      </c>
      <c r="H60" s="434">
        <v>260</v>
      </c>
      <c r="I60" s="434">
        <v>120</v>
      </c>
      <c r="J60" s="434">
        <v>930</v>
      </c>
      <c r="K60" s="435">
        <v>0.6</v>
      </c>
      <c r="L60" s="436">
        <v>0.44440000000000002</v>
      </c>
      <c r="M60" s="436">
        <v>0.16669999999999999</v>
      </c>
      <c r="N60" s="437">
        <v>86.68</v>
      </c>
      <c r="O60" s="438">
        <v>0.91</v>
      </c>
      <c r="P60" s="438">
        <v>0.23</v>
      </c>
      <c r="Q60" s="439">
        <v>0.36</v>
      </c>
    </row>
    <row r="61" spans="1:17" ht="22.5" customHeight="1" x14ac:dyDescent="0.25">
      <c r="A61" s="431">
        <v>58</v>
      </c>
      <c r="B61" s="451" t="s">
        <v>374</v>
      </c>
      <c r="C61" s="433">
        <v>11.531000000000001</v>
      </c>
      <c r="D61" s="432">
        <v>24</v>
      </c>
      <c r="E61" s="432">
        <v>11</v>
      </c>
      <c r="F61" s="432">
        <v>1</v>
      </c>
      <c r="G61" s="432">
        <v>38</v>
      </c>
      <c r="H61" s="434">
        <v>585</v>
      </c>
      <c r="I61" s="434">
        <v>120</v>
      </c>
      <c r="J61" s="434">
        <v>1305</v>
      </c>
      <c r="K61" s="435">
        <v>0.63160000000000005</v>
      </c>
      <c r="L61" s="436">
        <v>0.5</v>
      </c>
      <c r="M61" s="436">
        <v>7.6899999999999996E-2</v>
      </c>
      <c r="N61" s="437">
        <v>61.14</v>
      </c>
      <c r="O61" s="438">
        <v>1.04</v>
      </c>
      <c r="P61" s="438">
        <v>0.09</v>
      </c>
      <c r="Q61" s="439">
        <v>0.34</v>
      </c>
    </row>
    <row r="62" spans="1:17" ht="22.5" customHeight="1" x14ac:dyDescent="0.25">
      <c r="A62" s="431">
        <v>59</v>
      </c>
      <c r="B62" s="451" t="s">
        <v>373</v>
      </c>
      <c r="C62" s="433">
        <v>8.7249999999999996</v>
      </c>
      <c r="D62" s="432">
        <v>40</v>
      </c>
      <c r="E62" s="432">
        <v>14</v>
      </c>
      <c r="F62" s="432">
        <v>0</v>
      </c>
      <c r="G62" s="432">
        <v>60</v>
      </c>
      <c r="H62" s="434">
        <v>1035</v>
      </c>
      <c r="I62" s="434">
        <v>0</v>
      </c>
      <c r="J62" s="434">
        <v>2595</v>
      </c>
      <c r="K62" s="435">
        <v>0.66669999999999996</v>
      </c>
      <c r="L62" s="436">
        <v>0.35</v>
      </c>
      <c r="M62" s="436">
        <v>0</v>
      </c>
      <c r="N62" s="437">
        <v>118.62</v>
      </c>
      <c r="O62" s="438">
        <v>1.6</v>
      </c>
      <c r="P62" s="438">
        <v>0</v>
      </c>
      <c r="Q62" s="439">
        <v>0.32</v>
      </c>
    </row>
    <row r="63" spans="1:17" ht="22.5" customHeight="1" x14ac:dyDescent="0.25">
      <c r="A63" s="431">
        <v>60</v>
      </c>
      <c r="B63" s="451" t="s">
        <v>435</v>
      </c>
      <c r="C63" s="433">
        <v>3.5329999999999999</v>
      </c>
      <c r="D63" s="432">
        <v>8</v>
      </c>
      <c r="E63" s="432">
        <v>6</v>
      </c>
      <c r="F63" s="432">
        <v>0</v>
      </c>
      <c r="G63" s="432">
        <v>16</v>
      </c>
      <c r="H63" s="434">
        <v>160</v>
      </c>
      <c r="I63" s="434">
        <v>0</v>
      </c>
      <c r="J63" s="434">
        <v>205</v>
      </c>
      <c r="K63" s="435">
        <v>0.5</v>
      </c>
      <c r="L63" s="436">
        <v>0.75</v>
      </c>
      <c r="M63" s="436">
        <v>0</v>
      </c>
      <c r="N63" s="437">
        <v>45.29</v>
      </c>
      <c r="O63" s="438">
        <v>1.7</v>
      </c>
      <c r="P63" s="438">
        <v>0</v>
      </c>
      <c r="Q63" s="439">
        <v>0.32</v>
      </c>
    </row>
    <row r="64" spans="1:17" ht="22.5" customHeight="1" x14ac:dyDescent="0.25">
      <c r="A64" s="431">
        <v>61</v>
      </c>
      <c r="B64" s="451" t="s">
        <v>311</v>
      </c>
      <c r="C64" s="433">
        <v>6.8979999999999997</v>
      </c>
      <c r="D64" s="432">
        <v>10</v>
      </c>
      <c r="E64" s="432">
        <v>4</v>
      </c>
      <c r="F64" s="432">
        <v>1</v>
      </c>
      <c r="G64" s="432">
        <v>20</v>
      </c>
      <c r="H64" s="434">
        <v>525</v>
      </c>
      <c r="I64" s="434">
        <v>120</v>
      </c>
      <c r="J64" s="434">
        <v>900</v>
      </c>
      <c r="K64" s="435">
        <v>0.5</v>
      </c>
      <c r="L64" s="436">
        <v>0.5</v>
      </c>
      <c r="M64" s="436">
        <v>0.16669999999999999</v>
      </c>
      <c r="N64" s="437">
        <v>93.51</v>
      </c>
      <c r="O64" s="438">
        <v>0.72</v>
      </c>
      <c r="P64" s="438">
        <v>0.14000000000000001</v>
      </c>
      <c r="Q64" s="439">
        <v>0.31</v>
      </c>
    </row>
    <row r="65" spans="1:17" ht="22.5" customHeight="1" x14ac:dyDescent="0.25">
      <c r="A65" s="431">
        <v>62</v>
      </c>
      <c r="B65" s="451" t="s">
        <v>323</v>
      </c>
      <c r="C65" s="433">
        <v>2.2799999999999998</v>
      </c>
      <c r="D65" s="432">
        <v>4</v>
      </c>
      <c r="E65" s="432">
        <v>3</v>
      </c>
      <c r="F65" s="432">
        <v>0</v>
      </c>
      <c r="G65" s="432">
        <v>7</v>
      </c>
      <c r="H65" s="434">
        <v>105</v>
      </c>
      <c r="I65" s="434">
        <v>0</v>
      </c>
      <c r="J65" s="434">
        <v>130</v>
      </c>
      <c r="K65" s="435">
        <v>0.57140000000000002</v>
      </c>
      <c r="L65" s="436">
        <v>0.75</v>
      </c>
      <c r="M65" s="436">
        <v>0</v>
      </c>
      <c r="N65" s="437">
        <v>46.05</v>
      </c>
      <c r="O65" s="438">
        <v>1.32</v>
      </c>
      <c r="P65" s="438">
        <v>0</v>
      </c>
      <c r="Q65" s="439">
        <v>0.31</v>
      </c>
    </row>
    <row r="66" spans="1:17" ht="22.5" customHeight="1" x14ac:dyDescent="0.25">
      <c r="A66" s="431">
        <v>63</v>
      </c>
      <c r="B66" s="451" t="s">
        <v>365</v>
      </c>
      <c r="C66" s="433">
        <v>2.3410000000000002</v>
      </c>
      <c r="D66" s="432">
        <v>7</v>
      </c>
      <c r="E66" s="432">
        <v>1</v>
      </c>
      <c r="F66" s="432">
        <v>1</v>
      </c>
      <c r="G66" s="432">
        <v>13</v>
      </c>
      <c r="H66" s="434">
        <v>20</v>
      </c>
      <c r="I66" s="434">
        <v>120</v>
      </c>
      <c r="J66" s="434">
        <v>340</v>
      </c>
      <c r="K66" s="435">
        <v>0.53849999999999998</v>
      </c>
      <c r="L66" s="436">
        <v>0.28570000000000001</v>
      </c>
      <c r="M66" s="436">
        <v>0.16669999999999999</v>
      </c>
      <c r="N66" s="437">
        <v>59.8</v>
      </c>
      <c r="O66" s="438">
        <v>0.85</v>
      </c>
      <c r="P66" s="438">
        <v>0.43</v>
      </c>
      <c r="Q66" s="439">
        <v>0.28999999999999998</v>
      </c>
    </row>
    <row r="67" spans="1:17" ht="22.5" customHeight="1" x14ac:dyDescent="0.25">
      <c r="A67" s="431">
        <v>64</v>
      </c>
      <c r="B67" s="451" t="s">
        <v>392</v>
      </c>
      <c r="C67" s="433">
        <v>2.431</v>
      </c>
      <c r="D67" s="432">
        <v>6</v>
      </c>
      <c r="E67" s="432">
        <v>4</v>
      </c>
      <c r="F67" s="432">
        <v>0</v>
      </c>
      <c r="G67" s="432">
        <v>15</v>
      </c>
      <c r="H67" s="434">
        <v>145</v>
      </c>
      <c r="I67" s="434">
        <v>0</v>
      </c>
      <c r="J67" s="434">
        <v>270</v>
      </c>
      <c r="K67" s="435">
        <v>0.4</v>
      </c>
      <c r="L67" s="436">
        <v>0.66669999999999996</v>
      </c>
      <c r="M67" s="436">
        <v>0</v>
      </c>
      <c r="N67" s="437">
        <v>59.65</v>
      </c>
      <c r="O67" s="438">
        <v>1.65</v>
      </c>
      <c r="P67" s="438">
        <v>0</v>
      </c>
      <c r="Q67" s="439">
        <v>0.28999999999999998</v>
      </c>
    </row>
    <row r="68" spans="1:17" ht="22.5" customHeight="1" x14ac:dyDescent="0.25">
      <c r="A68" s="431">
        <v>65</v>
      </c>
      <c r="B68" s="451" t="s">
        <v>398</v>
      </c>
      <c r="C68" s="433">
        <v>3.2090000000000001</v>
      </c>
      <c r="D68" s="432">
        <v>10</v>
      </c>
      <c r="E68" s="432">
        <v>5</v>
      </c>
      <c r="F68" s="432">
        <v>0</v>
      </c>
      <c r="G68" s="432">
        <v>19</v>
      </c>
      <c r="H68" s="434">
        <v>370</v>
      </c>
      <c r="I68" s="434">
        <v>0</v>
      </c>
      <c r="J68" s="434">
        <v>715</v>
      </c>
      <c r="K68" s="435">
        <v>0.52629999999999999</v>
      </c>
      <c r="L68" s="436">
        <v>0.5</v>
      </c>
      <c r="M68" s="436">
        <v>0</v>
      </c>
      <c r="N68" s="437">
        <v>115.3</v>
      </c>
      <c r="O68" s="438">
        <v>1.56</v>
      </c>
      <c r="P68" s="438">
        <v>0</v>
      </c>
      <c r="Q68" s="439">
        <v>0.28000000000000003</v>
      </c>
    </row>
    <row r="69" spans="1:17" ht="22.5" customHeight="1" x14ac:dyDescent="0.25">
      <c r="A69" s="431">
        <v>66</v>
      </c>
      <c r="B69" s="451" t="s">
        <v>351</v>
      </c>
      <c r="C69" s="433">
        <v>4.5129999999999999</v>
      </c>
      <c r="D69" s="432">
        <v>11</v>
      </c>
      <c r="E69" s="432">
        <v>4</v>
      </c>
      <c r="F69" s="432">
        <v>0</v>
      </c>
      <c r="G69" s="432">
        <v>14</v>
      </c>
      <c r="H69" s="434">
        <v>295</v>
      </c>
      <c r="I69" s="434">
        <v>0</v>
      </c>
      <c r="J69" s="434">
        <v>650</v>
      </c>
      <c r="K69" s="435">
        <v>0.78569999999999995</v>
      </c>
      <c r="L69" s="436">
        <v>0.36359999999999998</v>
      </c>
      <c r="M69" s="436">
        <v>0</v>
      </c>
      <c r="N69" s="437">
        <v>65.37</v>
      </c>
      <c r="O69" s="438">
        <v>0.89</v>
      </c>
      <c r="P69" s="438">
        <v>0</v>
      </c>
      <c r="Q69" s="439">
        <v>0.26</v>
      </c>
    </row>
    <row r="70" spans="1:17" ht="22.5" customHeight="1" x14ac:dyDescent="0.25">
      <c r="A70" s="431">
        <v>67</v>
      </c>
      <c r="B70" s="451" t="s">
        <v>375</v>
      </c>
      <c r="C70" s="433">
        <v>10.961</v>
      </c>
      <c r="D70" s="432">
        <v>18</v>
      </c>
      <c r="E70" s="432">
        <v>9</v>
      </c>
      <c r="F70" s="432">
        <v>0</v>
      </c>
      <c r="G70" s="432">
        <v>28</v>
      </c>
      <c r="H70" s="434">
        <v>900</v>
      </c>
      <c r="I70" s="434">
        <v>0</v>
      </c>
      <c r="J70" s="434">
        <v>1250</v>
      </c>
      <c r="K70" s="435">
        <v>0.64290000000000003</v>
      </c>
      <c r="L70" s="436">
        <v>0.5</v>
      </c>
      <c r="M70" s="436">
        <v>0</v>
      </c>
      <c r="N70" s="437">
        <v>82.11</v>
      </c>
      <c r="O70" s="438">
        <v>0.82</v>
      </c>
      <c r="P70" s="438">
        <v>0</v>
      </c>
      <c r="Q70" s="439">
        <v>0.26</v>
      </c>
    </row>
    <row r="71" spans="1:17" ht="22.5" customHeight="1" x14ac:dyDescent="0.25">
      <c r="A71" s="431">
        <v>68</v>
      </c>
      <c r="B71" s="451" t="s">
        <v>287</v>
      </c>
      <c r="C71" s="433">
        <v>6.673</v>
      </c>
      <c r="D71" s="432">
        <v>16</v>
      </c>
      <c r="E71" s="432">
        <v>7</v>
      </c>
      <c r="F71" s="432">
        <v>0</v>
      </c>
      <c r="G71" s="432">
        <v>25</v>
      </c>
      <c r="H71" s="434">
        <v>535</v>
      </c>
      <c r="I71" s="434">
        <v>0</v>
      </c>
      <c r="J71" s="434">
        <v>830</v>
      </c>
      <c r="K71" s="435">
        <v>0.64</v>
      </c>
      <c r="L71" s="436">
        <v>0.4375</v>
      </c>
      <c r="M71" s="436">
        <v>0</v>
      </c>
      <c r="N71" s="437">
        <v>80.17</v>
      </c>
      <c r="O71" s="438">
        <v>1.05</v>
      </c>
      <c r="P71" s="438">
        <v>0</v>
      </c>
      <c r="Q71" s="439">
        <v>0.25</v>
      </c>
    </row>
    <row r="72" spans="1:17" ht="22.5" customHeight="1" x14ac:dyDescent="0.25">
      <c r="A72" s="431">
        <v>69</v>
      </c>
      <c r="B72" s="451" t="s">
        <v>333</v>
      </c>
      <c r="C72" s="433">
        <v>7.1239999999999997</v>
      </c>
      <c r="D72" s="432">
        <v>15</v>
      </c>
      <c r="E72" s="432">
        <v>8</v>
      </c>
      <c r="F72" s="432">
        <v>0</v>
      </c>
      <c r="G72" s="432">
        <v>27</v>
      </c>
      <c r="H72" s="434">
        <v>560</v>
      </c>
      <c r="I72" s="434">
        <v>0</v>
      </c>
      <c r="J72" s="434">
        <v>1255</v>
      </c>
      <c r="K72" s="435">
        <v>0.55559999999999998</v>
      </c>
      <c r="L72" s="436">
        <v>0.5333</v>
      </c>
      <c r="M72" s="436">
        <v>0</v>
      </c>
      <c r="N72" s="437">
        <v>78.61</v>
      </c>
      <c r="O72" s="438">
        <v>1.1200000000000001</v>
      </c>
      <c r="P72" s="438">
        <v>0</v>
      </c>
      <c r="Q72" s="439">
        <v>0.25</v>
      </c>
    </row>
    <row r="73" spans="1:17" ht="22.5" customHeight="1" x14ac:dyDescent="0.25">
      <c r="A73" s="431">
        <v>70</v>
      </c>
      <c r="B73" s="451" t="s">
        <v>305</v>
      </c>
      <c r="C73" s="433">
        <v>6.45</v>
      </c>
      <c r="D73" s="432">
        <v>20</v>
      </c>
      <c r="E73" s="432">
        <v>7</v>
      </c>
      <c r="F73" s="432">
        <v>0</v>
      </c>
      <c r="G73" s="432">
        <v>30</v>
      </c>
      <c r="H73" s="434">
        <v>560</v>
      </c>
      <c r="I73" s="434">
        <v>0</v>
      </c>
      <c r="J73" s="434">
        <v>1410</v>
      </c>
      <c r="K73" s="435">
        <v>0.66669999999999996</v>
      </c>
      <c r="L73" s="436">
        <v>0.35</v>
      </c>
      <c r="M73" s="436">
        <v>0</v>
      </c>
      <c r="N73" s="437">
        <v>86.82</v>
      </c>
      <c r="O73" s="438">
        <v>1.0900000000000001</v>
      </c>
      <c r="P73" s="438">
        <v>0</v>
      </c>
      <c r="Q73" s="439">
        <v>0.24</v>
      </c>
    </row>
    <row r="74" spans="1:17" ht="22.5" customHeight="1" x14ac:dyDescent="0.25">
      <c r="A74" s="431">
        <v>71</v>
      </c>
      <c r="B74" s="451" t="s">
        <v>397</v>
      </c>
      <c r="C74" s="433">
        <v>2.9129999999999998</v>
      </c>
      <c r="D74" s="432">
        <v>2</v>
      </c>
      <c r="E74" s="432">
        <v>1</v>
      </c>
      <c r="F74" s="432">
        <v>0</v>
      </c>
      <c r="G74" s="432">
        <v>3</v>
      </c>
      <c r="H74" s="434">
        <v>50</v>
      </c>
      <c r="I74" s="434">
        <v>0</v>
      </c>
      <c r="J74" s="434">
        <v>90</v>
      </c>
      <c r="K74" s="435">
        <v>0.66669999999999996</v>
      </c>
      <c r="L74" s="436">
        <v>0.5</v>
      </c>
      <c r="M74" s="436">
        <v>0</v>
      </c>
      <c r="N74" s="437">
        <v>17.16</v>
      </c>
      <c r="O74" s="438">
        <v>0.34</v>
      </c>
      <c r="P74" s="438">
        <v>0</v>
      </c>
      <c r="Q74" s="439">
        <v>0.22</v>
      </c>
    </row>
    <row r="75" spans="1:17" ht="22.5" customHeight="1" x14ac:dyDescent="0.25">
      <c r="A75" s="431">
        <v>72</v>
      </c>
      <c r="B75" s="451" t="s">
        <v>286</v>
      </c>
      <c r="C75" s="433">
        <v>5.2389999999999999</v>
      </c>
      <c r="D75" s="432">
        <v>16</v>
      </c>
      <c r="E75" s="432">
        <v>6</v>
      </c>
      <c r="F75" s="432">
        <v>0</v>
      </c>
      <c r="G75" s="432">
        <v>32</v>
      </c>
      <c r="H75" s="434">
        <v>375</v>
      </c>
      <c r="I75" s="434">
        <v>0</v>
      </c>
      <c r="J75" s="434">
        <v>1100</v>
      </c>
      <c r="K75" s="435">
        <v>0.5</v>
      </c>
      <c r="L75" s="436">
        <v>0.375</v>
      </c>
      <c r="M75" s="436">
        <v>0</v>
      </c>
      <c r="N75" s="437">
        <v>71.58</v>
      </c>
      <c r="O75" s="438">
        <v>1.1499999999999999</v>
      </c>
      <c r="P75" s="438">
        <v>0</v>
      </c>
      <c r="Q75" s="439">
        <v>0.14000000000000001</v>
      </c>
    </row>
    <row r="76" spans="1:17" ht="22.5" customHeight="1" x14ac:dyDescent="0.25">
      <c r="A76" s="431">
        <v>73</v>
      </c>
      <c r="B76" s="451" t="s">
        <v>366</v>
      </c>
      <c r="C76" s="433">
        <v>4.3250000000000002</v>
      </c>
      <c r="D76" s="432">
        <v>14</v>
      </c>
      <c r="E76" s="432">
        <v>5</v>
      </c>
      <c r="F76" s="432">
        <v>0</v>
      </c>
      <c r="G76" s="432">
        <v>27</v>
      </c>
      <c r="H76" s="434">
        <v>170</v>
      </c>
      <c r="I76" s="434">
        <v>0</v>
      </c>
      <c r="J76" s="434">
        <v>790</v>
      </c>
      <c r="K76" s="435">
        <v>0.51849999999999996</v>
      </c>
      <c r="L76" s="436">
        <v>0.35709999999999997</v>
      </c>
      <c r="M76" s="436">
        <v>0</v>
      </c>
      <c r="N76" s="437">
        <v>39.31</v>
      </c>
      <c r="O76" s="438">
        <v>1.1599999999999999</v>
      </c>
      <c r="P76" s="438">
        <v>0</v>
      </c>
      <c r="Q76" s="439">
        <v>0.13</v>
      </c>
    </row>
    <row r="77" spans="1:17" ht="22.5" customHeight="1" x14ac:dyDescent="0.25">
      <c r="A77" s="431">
        <v>74</v>
      </c>
      <c r="B77" s="451" t="s">
        <v>423</v>
      </c>
      <c r="C77" s="433">
        <v>4.9569999999999999</v>
      </c>
      <c r="D77" s="432">
        <v>12</v>
      </c>
      <c r="E77" s="432">
        <v>3</v>
      </c>
      <c r="F77" s="432">
        <v>0</v>
      </c>
      <c r="G77" s="432">
        <v>21</v>
      </c>
      <c r="H77" s="434">
        <v>380</v>
      </c>
      <c r="I77" s="434">
        <v>0</v>
      </c>
      <c r="J77" s="434">
        <v>715</v>
      </c>
      <c r="K77" s="435">
        <v>0.57140000000000002</v>
      </c>
      <c r="L77" s="436">
        <v>0.25</v>
      </c>
      <c r="M77" s="436">
        <v>0</v>
      </c>
      <c r="N77" s="437">
        <v>76.66</v>
      </c>
      <c r="O77" s="438">
        <v>0.61</v>
      </c>
      <c r="P77" s="438">
        <v>0</v>
      </c>
      <c r="Q77" s="439">
        <v>0.13</v>
      </c>
    </row>
    <row r="78" spans="1:17" ht="22.5" customHeight="1" x14ac:dyDescent="0.25">
      <c r="A78" s="431">
        <v>75</v>
      </c>
      <c r="B78" s="451" t="s">
        <v>367</v>
      </c>
      <c r="C78" s="433">
        <v>8.8539999999999992</v>
      </c>
      <c r="D78" s="432">
        <v>18</v>
      </c>
      <c r="E78" s="432">
        <v>4</v>
      </c>
      <c r="F78" s="432">
        <v>0</v>
      </c>
      <c r="G78" s="432">
        <v>31</v>
      </c>
      <c r="H78" s="434">
        <v>380</v>
      </c>
      <c r="I78" s="434">
        <v>0</v>
      </c>
      <c r="J78" s="434">
        <v>1360</v>
      </c>
      <c r="K78" s="435">
        <v>0.5806</v>
      </c>
      <c r="L78" s="436">
        <v>0.22220000000000001</v>
      </c>
      <c r="M78" s="436">
        <v>0</v>
      </c>
      <c r="N78" s="437">
        <v>42.92</v>
      </c>
      <c r="O78" s="438">
        <v>0.45</v>
      </c>
      <c r="P78" s="438">
        <v>0</v>
      </c>
      <c r="Q78" s="439">
        <v>0.11</v>
      </c>
    </row>
    <row r="79" spans="1:17" ht="22.5" customHeight="1" x14ac:dyDescent="0.25">
      <c r="A79" s="431">
        <v>76</v>
      </c>
      <c r="B79" s="451" t="s">
        <v>328</v>
      </c>
      <c r="C79" s="433">
        <v>2.327</v>
      </c>
      <c r="D79" s="432">
        <v>3</v>
      </c>
      <c r="E79" s="432">
        <v>1</v>
      </c>
      <c r="F79" s="432">
        <v>0</v>
      </c>
      <c r="G79" s="432">
        <v>6</v>
      </c>
      <c r="H79" s="434">
        <v>25</v>
      </c>
      <c r="I79" s="434">
        <v>0</v>
      </c>
      <c r="J79" s="434">
        <v>135</v>
      </c>
      <c r="K79" s="435">
        <v>0.5</v>
      </c>
      <c r="L79" s="436">
        <v>0.33329999999999999</v>
      </c>
      <c r="M79" s="436">
        <v>0</v>
      </c>
      <c r="N79" s="437">
        <v>10.74</v>
      </c>
      <c r="O79" s="438">
        <v>0.43</v>
      </c>
      <c r="P79" s="438">
        <v>0</v>
      </c>
      <c r="Q79" s="439">
        <v>0.06</v>
      </c>
    </row>
    <row r="80" spans="1:17" ht="22.5" customHeight="1" x14ac:dyDescent="0.25">
      <c r="A80" s="431">
        <v>77</v>
      </c>
      <c r="B80" s="451" t="s">
        <v>314</v>
      </c>
      <c r="C80" s="433">
        <v>0.51200000000000001</v>
      </c>
      <c r="D80" s="432">
        <v>1</v>
      </c>
      <c r="E80" s="432">
        <v>0</v>
      </c>
      <c r="F80" s="432">
        <v>0</v>
      </c>
      <c r="G80" s="432">
        <v>2</v>
      </c>
      <c r="H80" s="434">
        <v>0</v>
      </c>
      <c r="I80" s="434">
        <v>0</v>
      </c>
      <c r="J80" s="434">
        <v>10</v>
      </c>
      <c r="K80" s="435">
        <v>0.5</v>
      </c>
      <c r="L80" s="436">
        <v>0</v>
      </c>
      <c r="M80" s="436">
        <v>0</v>
      </c>
      <c r="N80" s="437">
        <v>0</v>
      </c>
      <c r="O80" s="438">
        <v>0</v>
      </c>
      <c r="P80" s="438">
        <v>0</v>
      </c>
      <c r="Q80" s="439">
        <v>0.03</v>
      </c>
    </row>
    <row r="81" spans="1:17" ht="22.5" customHeight="1" x14ac:dyDescent="0.25">
      <c r="A81" s="431">
        <v>78</v>
      </c>
      <c r="B81" s="451" t="s">
        <v>357</v>
      </c>
      <c r="C81" s="433">
        <v>1.226</v>
      </c>
      <c r="D81" s="432">
        <v>3</v>
      </c>
      <c r="E81" s="432">
        <v>0</v>
      </c>
      <c r="F81" s="432">
        <v>0</v>
      </c>
      <c r="G81" s="432">
        <v>6</v>
      </c>
      <c r="H81" s="434">
        <v>0</v>
      </c>
      <c r="I81" s="434">
        <v>0</v>
      </c>
      <c r="J81" s="434">
        <v>175</v>
      </c>
      <c r="K81" s="435">
        <v>0.5</v>
      </c>
      <c r="L81" s="436">
        <v>0</v>
      </c>
      <c r="M81" s="436">
        <v>0</v>
      </c>
      <c r="N81" s="437">
        <v>0</v>
      </c>
      <c r="O81" s="438">
        <v>0</v>
      </c>
      <c r="P81" s="438">
        <v>0</v>
      </c>
      <c r="Q81" s="439">
        <v>0.03</v>
      </c>
    </row>
    <row r="82" spans="1:17" ht="22.5" customHeight="1" x14ac:dyDescent="0.25">
      <c r="A82" s="431">
        <v>79</v>
      </c>
      <c r="B82" s="451" t="s">
        <v>282</v>
      </c>
      <c r="C82" s="433">
        <v>5.5E-2</v>
      </c>
      <c r="D82" s="432">
        <v>0</v>
      </c>
      <c r="E82" s="432">
        <v>0</v>
      </c>
      <c r="F82" s="432">
        <v>0</v>
      </c>
      <c r="G82" s="432">
        <v>0</v>
      </c>
      <c r="H82" s="434">
        <v>0</v>
      </c>
      <c r="I82" s="434">
        <v>0</v>
      </c>
      <c r="J82" s="434">
        <v>0</v>
      </c>
      <c r="K82" s="435">
        <v>0</v>
      </c>
      <c r="L82" s="436">
        <v>0</v>
      </c>
      <c r="M82" s="436">
        <v>0</v>
      </c>
      <c r="N82" s="437">
        <v>0</v>
      </c>
      <c r="O82" s="438">
        <v>0</v>
      </c>
      <c r="P82" s="438">
        <v>0</v>
      </c>
      <c r="Q82" s="439">
        <v>0.01</v>
      </c>
    </row>
    <row r="83" spans="1:17" ht="22.5" customHeight="1" x14ac:dyDescent="0.25">
      <c r="A83" s="431" t="s">
        <v>171</v>
      </c>
      <c r="B83" s="452" t="s">
        <v>3</v>
      </c>
      <c r="C83" s="441">
        <v>447.43599999999998</v>
      </c>
      <c r="D83" s="442">
        <v>1378</v>
      </c>
      <c r="E83" s="440">
        <v>641</v>
      </c>
      <c r="F83" s="440">
        <v>100</v>
      </c>
      <c r="G83" s="442">
        <v>2181</v>
      </c>
      <c r="H83" s="443">
        <v>48538</v>
      </c>
      <c r="I83" s="443">
        <v>12358</v>
      </c>
      <c r="J83" s="443">
        <v>99436</v>
      </c>
      <c r="K83" s="444">
        <v>0.63180000000000003</v>
      </c>
      <c r="L83" s="453">
        <v>0.53769999999999996</v>
      </c>
      <c r="M83" s="453">
        <v>0.13569999999999999</v>
      </c>
      <c r="N83" s="454">
        <v>136.1</v>
      </c>
      <c r="O83" s="455">
        <v>1.66</v>
      </c>
      <c r="P83" s="455">
        <v>0.22</v>
      </c>
      <c r="Q83" s="456" t="s">
        <v>171</v>
      </c>
    </row>
  </sheetData>
  <sortState ref="B3:R81">
    <sortCondition descending="1" ref="Q3"/>
  </sortState>
  <mergeCells count="3">
    <mergeCell ref="A2:A3"/>
    <mergeCell ref="B2:B3"/>
    <mergeCell ref="F1:L1"/>
  </mergeCells>
  <pageMargins left="0.25" right="0.25" top="0.25" bottom="0.5" header="0.25" footer="0.25"/>
  <pageSetup orientation="portrait" cellComments="atEnd"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tabColor rgb="FF0070C0"/>
  </sheetPr>
  <dimension ref="A1:Q82"/>
  <sheetViews>
    <sheetView workbookViewId="0">
      <selection activeCell="F1" sqref="F1:L1"/>
    </sheetView>
  </sheetViews>
  <sheetFormatPr defaultRowHeight="22.5" customHeight="1" x14ac:dyDescent="0.25"/>
  <cols>
    <col min="1" max="1" width="6" style="93" bestFit="1" customWidth="1"/>
    <col min="2" max="2" width="21.5703125" style="94" bestFit="1" customWidth="1"/>
    <col min="3" max="3" width="8.28515625" style="93" bestFit="1" customWidth="1"/>
    <col min="4" max="4" width="6" style="93" bestFit="1" customWidth="1"/>
    <col min="5" max="5" width="10.28515625" style="93" bestFit="1" customWidth="1"/>
    <col min="6" max="6" width="10.42578125" style="93" bestFit="1" customWidth="1"/>
    <col min="7" max="7" width="8.42578125" style="93" bestFit="1" customWidth="1"/>
    <col min="8" max="8" width="13.42578125" style="93" bestFit="1" customWidth="1"/>
    <col min="9" max="9" width="12" style="93" bestFit="1" customWidth="1"/>
    <col min="10" max="11" width="13.42578125" style="93" bestFit="1" customWidth="1"/>
    <col min="12" max="12" width="11.42578125" style="93" bestFit="1" customWidth="1"/>
    <col min="13" max="13" width="10.42578125" style="93" bestFit="1" customWidth="1"/>
    <col min="14" max="14" width="11.85546875" style="93" bestFit="1" customWidth="1"/>
    <col min="15" max="15" width="11.42578125" style="93" bestFit="1" customWidth="1"/>
    <col min="16" max="16" width="10.42578125" style="93" bestFit="1" customWidth="1"/>
    <col min="17" max="17" width="12.28515625" style="93" bestFit="1" customWidth="1"/>
    <col min="18" max="16384" width="9.140625" style="93"/>
  </cols>
  <sheetData>
    <row r="1" spans="1:17" ht="22.5" customHeight="1" x14ac:dyDescent="0.25">
      <c r="F1" s="650"/>
      <c r="G1" s="650"/>
      <c r="H1" s="650"/>
      <c r="I1" s="650"/>
      <c r="J1" s="650"/>
      <c r="K1" s="650"/>
      <c r="L1" s="650"/>
    </row>
    <row r="2" spans="1:17" ht="22.5" customHeight="1" x14ac:dyDescent="0.25">
      <c r="A2" s="647" t="s">
        <v>172</v>
      </c>
      <c r="B2" s="608" t="s">
        <v>7</v>
      </c>
      <c r="C2" s="471" t="s">
        <v>173</v>
      </c>
      <c r="D2" s="472" t="s">
        <v>3</v>
      </c>
      <c r="E2" s="472" t="s">
        <v>176</v>
      </c>
      <c r="F2" s="472" t="s">
        <v>166</v>
      </c>
      <c r="G2" s="472" t="s">
        <v>8</v>
      </c>
      <c r="H2" s="472" t="s">
        <v>176</v>
      </c>
      <c r="I2" s="472" t="s">
        <v>166</v>
      </c>
      <c r="J2" s="472" t="s">
        <v>3</v>
      </c>
      <c r="K2" s="472" t="s">
        <v>21</v>
      </c>
      <c r="L2" s="472" t="s">
        <v>164</v>
      </c>
      <c r="M2" s="472" t="s">
        <v>166</v>
      </c>
      <c r="N2" s="472" t="s">
        <v>164</v>
      </c>
      <c r="O2" s="472" t="s">
        <v>164</v>
      </c>
      <c r="P2" s="472" t="s">
        <v>166</v>
      </c>
      <c r="Q2" s="473" t="s">
        <v>169</v>
      </c>
    </row>
    <row r="3" spans="1:17" ht="22.5" customHeight="1" x14ac:dyDescent="0.25">
      <c r="A3" s="648"/>
      <c r="B3" s="649"/>
      <c r="C3" s="474" t="s">
        <v>174</v>
      </c>
      <c r="D3" s="475" t="s">
        <v>175</v>
      </c>
      <c r="E3" s="475" t="s">
        <v>175</v>
      </c>
      <c r="F3" s="475" t="s">
        <v>175</v>
      </c>
      <c r="G3" s="475" t="s">
        <v>12</v>
      </c>
      <c r="H3" s="475" t="s">
        <v>9</v>
      </c>
      <c r="I3" s="475" t="s">
        <v>9</v>
      </c>
      <c r="J3" s="475" t="s">
        <v>9</v>
      </c>
      <c r="K3" s="475" t="s">
        <v>13</v>
      </c>
      <c r="L3" s="475" t="s">
        <v>165</v>
      </c>
      <c r="M3" s="475" t="s">
        <v>165</v>
      </c>
      <c r="N3" s="475" t="s">
        <v>167</v>
      </c>
      <c r="O3" s="475" t="s">
        <v>168</v>
      </c>
      <c r="P3" s="475" t="s">
        <v>168</v>
      </c>
      <c r="Q3" s="476" t="s">
        <v>170</v>
      </c>
    </row>
    <row r="4" spans="1:17" ht="22.5" customHeight="1" x14ac:dyDescent="0.25">
      <c r="A4" s="457">
        <v>1</v>
      </c>
      <c r="B4" s="477" t="s">
        <v>389</v>
      </c>
      <c r="C4" s="459">
        <v>5.0570000000000004</v>
      </c>
      <c r="D4" s="458">
        <v>12</v>
      </c>
      <c r="E4" s="458">
        <v>6</v>
      </c>
      <c r="F4" s="458">
        <v>2</v>
      </c>
      <c r="G4" s="458">
        <v>18</v>
      </c>
      <c r="H4" s="460">
        <v>680</v>
      </c>
      <c r="I4" s="460">
        <v>130</v>
      </c>
      <c r="J4" s="460">
        <v>925</v>
      </c>
      <c r="K4" s="461">
        <v>0.66669999999999996</v>
      </c>
      <c r="L4" s="462">
        <v>0.66669999999999996</v>
      </c>
      <c r="M4" s="462">
        <v>0.33329999999999999</v>
      </c>
      <c r="N4" s="463">
        <v>160.16999999999999</v>
      </c>
      <c r="O4" s="464">
        <v>1.58</v>
      </c>
      <c r="P4" s="464">
        <v>0.4</v>
      </c>
      <c r="Q4" s="465">
        <v>0.81</v>
      </c>
    </row>
    <row r="5" spans="1:17" ht="22.5" customHeight="1" x14ac:dyDescent="0.25">
      <c r="A5" s="457">
        <v>2</v>
      </c>
      <c r="B5" s="477" t="s">
        <v>360</v>
      </c>
      <c r="C5" s="459">
        <v>2.5499999999999998</v>
      </c>
      <c r="D5" s="458">
        <v>9</v>
      </c>
      <c r="E5" s="458">
        <v>4</v>
      </c>
      <c r="F5" s="458">
        <v>1</v>
      </c>
      <c r="G5" s="458">
        <v>15</v>
      </c>
      <c r="H5" s="460">
        <v>80</v>
      </c>
      <c r="I5" s="460">
        <v>300</v>
      </c>
      <c r="J5" s="460">
        <v>525</v>
      </c>
      <c r="K5" s="461">
        <v>0.6</v>
      </c>
      <c r="L5" s="462">
        <v>0.55559999999999998</v>
      </c>
      <c r="M5" s="462">
        <v>0.2</v>
      </c>
      <c r="N5" s="463">
        <v>149.02000000000001</v>
      </c>
      <c r="O5" s="464">
        <v>1.96</v>
      </c>
      <c r="P5" s="464">
        <v>0.39</v>
      </c>
      <c r="Q5" s="465">
        <v>0.8</v>
      </c>
    </row>
    <row r="6" spans="1:17" ht="22.5" customHeight="1" x14ac:dyDescent="0.25">
      <c r="A6" s="457">
        <v>3</v>
      </c>
      <c r="B6" s="477" t="s">
        <v>426</v>
      </c>
      <c r="C6" s="459">
        <v>4.5190000000000001</v>
      </c>
      <c r="D6" s="458">
        <v>9</v>
      </c>
      <c r="E6" s="458">
        <v>6</v>
      </c>
      <c r="F6" s="458">
        <v>1</v>
      </c>
      <c r="G6" s="458">
        <v>21</v>
      </c>
      <c r="H6" s="460">
        <v>1220</v>
      </c>
      <c r="I6" s="460">
        <v>120</v>
      </c>
      <c r="J6" s="460">
        <v>1590</v>
      </c>
      <c r="K6" s="461">
        <v>0.42859999999999998</v>
      </c>
      <c r="L6" s="462">
        <v>0.77780000000000005</v>
      </c>
      <c r="M6" s="462">
        <v>0.33329999999999999</v>
      </c>
      <c r="N6" s="463">
        <v>296.52999999999997</v>
      </c>
      <c r="O6" s="464">
        <v>1.55</v>
      </c>
      <c r="P6" s="464">
        <v>0.22</v>
      </c>
      <c r="Q6" s="465">
        <v>0.79</v>
      </c>
    </row>
    <row r="7" spans="1:17" ht="22.5" customHeight="1" x14ac:dyDescent="0.25">
      <c r="A7" s="457">
        <v>4</v>
      </c>
      <c r="B7" s="477" t="s">
        <v>393</v>
      </c>
      <c r="C7" s="459">
        <v>6.8959999999999999</v>
      </c>
      <c r="D7" s="458">
        <v>16</v>
      </c>
      <c r="E7" s="458">
        <v>12</v>
      </c>
      <c r="F7" s="458">
        <v>1</v>
      </c>
      <c r="G7" s="458">
        <v>38</v>
      </c>
      <c r="H7" s="460">
        <v>655</v>
      </c>
      <c r="I7" s="460">
        <v>120</v>
      </c>
      <c r="J7" s="460">
        <v>865</v>
      </c>
      <c r="K7" s="461">
        <v>0.42109999999999997</v>
      </c>
      <c r="L7" s="462">
        <v>0.8125</v>
      </c>
      <c r="M7" s="462">
        <v>0.25</v>
      </c>
      <c r="N7" s="463">
        <v>112.38</v>
      </c>
      <c r="O7" s="464">
        <v>1.89</v>
      </c>
      <c r="P7" s="464">
        <v>0.15</v>
      </c>
      <c r="Q7" s="465">
        <v>0.78</v>
      </c>
    </row>
    <row r="8" spans="1:17" ht="22.5" customHeight="1" x14ac:dyDescent="0.25">
      <c r="A8" s="457">
        <v>5</v>
      </c>
      <c r="B8" s="477" t="s">
        <v>291</v>
      </c>
      <c r="C8" s="459">
        <v>2.3839999999999999</v>
      </c>
      <c r="D8" s="458">
        <v>4</v>
      </c>
      <c r="E8" s="458">
        <v>2</v>
      </c>
      <c r="F8" s="458">
        <v>2</v>
      </c>
      <c r="G8" s="458">
        <v>19</v>
      </c>
      <c r="H8" s="460">
        <v>15</v>
      </c>
      <c r="I8" s="460">
        <v>240</v>
      </c>
      <c r="J8" s="460">
        <v>255</v>
      </c>
      <c r="K8" s="461">
        <v>0.21049999999999999</v>
      </c>
      <c r="L8" s="462">
        <v>1</v>
      </c>
      <c r="M8" s="462">
        <v>1</v>
      </c>
      <c r="N8" s="463">
        <v>106.96</v>
      </c>
      <c r="O8" s="464">
        <v>1.68</v>
      </c>
      <c r="P8" s="464">
        <v>0.84</v>
      </c>
      <c r="Q8" s="465">
        <v>0.77</v>
      </c>
    </row>
    <row r="9" spans="1:17" ht="22.5" customHeight="1" x14ac:dyDescent="0.25">
      <c r="A9" s="457">
        <v>6</v>
      </c>
      <c r="B9" s="477" t="s">
        <v>277</v>
      </c>
      <c r="C9" s="459">
        <v>6.5519999999999996</v>
      </c>
      <c r="D9" s="458">
        <v>17</v>
      </c>
      <c r="E9" s="458">
        <v>11</v>
      </c>
      <c r="F9" s="458">
        <v>1</v>
      </c>
      <c r="G9" s="458">
        <v>35</v>
      </c>
      <c r="H9" s="460">
        <v>630</v>
      </c>
      <c r="I9" s="460">
        <v>60</v>
      </c>
      <c r="J9" s="460">
        <v>870</v>
      </c>
      <c r="K9" s="461">
        <v>0.48570000000000002</v>
      </c>
      <c r="L9" s="462">
        <v>0.70589999999999997</v>
      </c>
      <c r="M9" s="462">
        <v>0.16669999999999999</v>
      </c>
      <c r="N9" s="463">
        <v>105.31</v>
      </c>
      <c r="O9" s="464">
        <v>1.83</v>
      </c>
      <c r="P9" s="464">
        <v>0.15</v>
      </c>
      <c r="Q9" s="465">
        <v>0.76</v>
      </c>
    </row>
    <row r="10" spans="1:17" ht="22.5" customHeight="1" x14ac:dyDescent="0.25">
      <c r="A10" s="457">
        <v>7</v>
      </c>
      <c r="B10" s="477" t="s">
        <v>298</v>
      </c>
      <c r="C10" s="459">
        <v>4.0780000000000003</v>
      </c>
      <c r="D10" s="458">
        <v>7</v>
      </c>
      <c r="E10" s="458">
        <v>5</v>
      </c>
      <c r="F10" s="458">
        <v>1</v>
      </c>
      <c r="G10" s="458">
        <v>19</v>
      </c>
      <c r="H10" s="460">
        <v>360</v>
      </c>
      <c r="I10" s="460">
        <v>60</v>
      </c>
      <c r="J10" s="460">
        <v>520</v>
      </c>
      <c r="K10" s="461">
        <v>0.36840000000000001</v>
      </c>
      <c r="L10" s="462">
        <v>0.85709999999999997</v>
      </c>
      <c r="M10" s="462">
        <v>0.5</v>
      </c>
      <c r="N10" s="463">
        <v>102.99</v>
      </c>
      <c r="O10" s="464">
        <v>1.47</v>
      </c>
      <c r="P10" s="464">
        <v>0.25</v>
      </c>
      <c r="Q10" s="465">
        <v>0.76</v>
      </c>
    </row>
    <row r="11" spans="1:17" ht="22.5" customHeight="1" x14ac:dyDescent="0.25">
      <c r="A11" s="457">
        <v>8</v>
      </c>
      <c r="B11" s="477" t="s">
        <v>269</v>
      </c>
      <c r="C11" s="459">
        <v>4.0880000000000001</v>
      </c>
      <c r="D11" s="458">
        <v>9</v>
      </c>
      <c r="E11" s="458">
        <v>3</v>
      </c>
      <c r="F11" s="458">
        <v>2</v>
      </c>
      <c r="G11" s="458">
        <v>13</v>
      </c>
      <c r="H11" s="460">
        <v>170</v>
      </c>
      <c r="I11" s="460">
        <v>320</v>
      </c>
      <c r="J11" s="460">
        <v>860</v>
      </c>
      <c r="K11" s="461">
        <v>0.69230000000000003</v>
      </c>
      <c r="L11" s="462">
        <v>0.55559999999999998</v>
      </c>
      <c r="M11" s="462">
        <v>0.33329999999999999</v>
      </c>
      <c r="N11" s="463">
        <v>119.86</v>
      </c>
      <c r="O11" s="464">
        <v>1.22</v>
      </c>
      <c r="P11" s="464">
        <v>0.49</v>
      </c>
      <c r="Q11" s="465">
        <v>0.75</v>
      </c>
    </row>
    <row r="12" spans="1:17" ht="22.5" customHeight="1" x14ac:dyDescent="0.25">
      <c r="A12" s="457">
        <v>9</v>
      </c>
      <c r="B12" s="477" t="s">
        <v>417</v>
      </c>
      <c r="C12" s="459">
        <v>7.6950000000000003</v>
      </c>
      <c r="D12" s="458">
        <v>15</v>
      </c>
      <c r="E12" s="458">
        <v>10</v>
      </c>
      <c r="F12" s="458">
        <v>3</v>
      </c>
      <c r="G12" s="458">
        <v>54</v>
      </c>
      <c r="H12" s="460">
        <v>225</v>
      </c>
      <c r="I12" s="460">
        <v>360</v>
      </c>
      <c r="J12" s="460">
        <v>615</v>
      </c>
      <c r="K12" s="461">
        <v>0.27779999999999999</v>
      </c>
      <c r="L12" s="462">
        <v>0.86670000000000003</v>
      </c>
      <c r="M12" s="462">
        <v>0.6</v>
      </c>
      <c r="N12" s="463">
        <v>76.02</v>
      </c>
      <c r="O12" s="464">
        <v>1.69</v>
      </c>
      <c r="P12" s="464">
        <v>0.39</v>
      </c>
      <c r="Q12" s="465">
        <v>0.74</v>
      </c>
    </row>
    <row r="13" spans="1:17" ht="22.5" customHeight="1" x14ac:dyDescent="0.25">
      <c r="A13" s="457">
        <v>10</v>
      </c>
      <c r="B13" s="477" t="s">
        <v>280</v>
      </c>
      <c r="C13" s="459">
        <v>4.048</v>
      </c>
      <c r="D13" s="458">
        <v>11</v>
      </c>
      <c r="E13" s="458">
        <v>5</v>
      </c>
      <c r="F13" s="458">
        <v>1</v>
      </c>
      <c r="G13" s="458">
        <v>21</v>
      </c>
      <c r="H13" s="460">
        <v>340</v>
      </c>
      <c r="I13" s="460">
        <v>60</v>
      </c>
      <c r="J13" s="460">
        <v>675</v>
      </c>
      <c r="K13" s="461">
        <v>0.52380000000000004</v>
      </c>
      <c r="L13" s="462">
        <v>0.54549999999999998</v>
      </c>
      <c r="M13" s="462">
        <v>0.16669999999999999</v>
      </c>
      <c r="N13" s="463">
        <v>98.81</v>
      </c>
      <c r="O13" s="464">
        <v>1.48</v>
      </c>
      <c r="P13" s="464">
        <v>0.25</v>
      </c>
      <c r="Q13" s="465">
        <v>0.72</v>
      </c>
    </row>
    <row r="14" spans="1:17" ht="22.5" customHeight="1" x14ac:dyDescent="0.25">
      <c r="A14" s="457">
        <v>11</v>
      </c>
      <c r="B14" s="477" t="s">
        <v>351</v>
      </c>
      <c r="C14" s="459">
        <v>1.6459999999999999</v>
      </c>
      <c r="D14" s="458">
        <v>3</v>
      </c>
      <c r="E14" s="458">
        <v>1</v>
      </c>
      <c r="F14" s="458">
        <v>1</v>
      </c>
      <c r="G14" s="458">
        <v>6</v>
      </c>
      <c r="H14" s="460">
        <v>20</v>
      </c>
      <c r="I14" s="460">
        <v>120</v>
      </c>
      <c r="J14" s="460">
        <v>190</v>
      </c>
      <c r="K14" s="461">
        <v>0.5</v>
      </c>
      <c r="L14" s="462">
        <v>0.66669999999999996</v>
      </c>
      <c r="M14" s="462">
        <v>0.5</v>
      </c>
      <c r="N14" s="463">
        <v>85.05</v>
      </c>
      <c r="O14" s="464">
        <v>1.22</v>
      </c>
      <c r="P14" s="464">
        <v>0.61</v>
      </c>
      <c r="Q14" s="465">
        <v>0.72</v>
      </c>
    </row>
    <row r="15" spans="1:17" ht="22.5" customHeight="1" x14ac:dyDescent="0.25">
      <c r="A15" s="457">
        <v>12</v>
      </c>
      <c r="B15" s="477" t="s">
        <v>311</v>
      </c>
      <c r="C15" s="459">
        <v>5.7990000000000004</v>
      </c>
      <c r="D15" s="458">
        <v>10</v>
      </c>
      <c r="E15" s="458">
        <v>5</v>
      </c>
      <c r="F15" s="458">
        <v>2</v>
      </c>
      <c r="G15" s="458">
        <v>20</v>
      </c>
      <c r="H15" s="460">
        <v>255</v>
      </c>
      <c r="I15" s="460">
        <v>180</v>
      </c>
      <c r="J15" s="460">
        <v>520</v>
      </c>
      <c r="K15" s="461">
        <v>0.5</v>
      </c>
      <c r="L15" s="462">
        <v>0.7</v>
      </c>
      <c r="M15" s="462">
        <v>0.4</v>
      </c>
      <c r="N15" s="463">
        <v>75.010000000000005</v>
      </c>
      <c r="O15" s="464">
        <v>1.21</v>
      </c>
      <c r="P15" s="464">
        <v>0.34</v>
      </c>
      <c r="Q15" s="465">
        <v>0.7</v>
      </c>
    </row>
    <row r="16" spans="1:17" ht="22.5" customHeight="1" x14ac:dyDescent="0.25">
      <c r="A16" s="457">
        <v>13</v>
      </c>
      <c r="B16" s="477" t="s">
        <v>383</v>
      </c>
      <c r="C16" s="459">
        <v>4.9059999999999997</v>
      </c>
      <c r="D16" s="458">
        <v>8</v>
      </c>
      <c r="E16" s="458">
        <v>5</v>
      </c>
      <c r="F16" s="458">
        <v>1</v>
      </c>
      <c r="G16" s="458">
        <v>26</v>
      </c>
      <c r="H16" s="460">
        <v>300</v>
      </c>
      <c r="I16" s="460">
        <v>120</v>
      </c>
      <c r="J16" s="460">
        <v>620</v>
      </c>
      <c r="K16" s="461">
        <v>0.30769999999999997</v>
      </c>
      <c r="L16" s="462">
        <v>0.75</v>
      </c>
      <c r="M16" s="462">
        <v>0.33329999999999999</v>
      </c>
      <c r="N16" s="463">
        <v>85.61</v>
      </c>
      <c r="O16" s="464">
        <v>1.22</v>
      </c>
      <c r="P16" s="464">
        <v>0.2</v>
      </c>
      <c r="Q16" s="465">
        <v>0.67</v>
      </c>
    </row>
    <row r="17" spans="1:17" ht="22.5" customHeight="1" x14ac:dyDescent="0.25">
      <c r="A17" s="457">
        <v>14</v>
      </c>
      <c r="B17" s="477" t="s">
        <v>355</v>
      </c>
      <c r="C17" s="459">
        <v>0.29299999999999998</v>
      </c>
      <c r="D17" s="458">
        <v>1</v>
      </c>
      <c r="E17" s="458">
        <v>1</v>
      </c>
      <c r="F17" s="458">
        <v>0</v>
      </c>
      <c r="G17" s="458">
        <v>1</v>
      </c>
      <c r="H17" s="460">
        <v>20</v>
      </c>
      <c r="I17" s="460">
        <v>0</v>
      </c>
      <c r="J17" s="460">
        <v>20</v>
      </c>
      <c r="K17" s="461">
        <v>1</v>
      </c>
      <c r="L17" s="462">
        <v>1</v>
      </c>
      <c r="M17" s="462">
        <v>0</v>
      </c>
      <c r="N17" s="463">
        <v>68.260000000000005</v>
      </c>
      <c r="O17" s="464">
        <v>3.41</v>
      </c>
      <c r="P17" s="464">
        <v>0</v>
      </c>
      <c r="Q17" s="465">
        <v>0.65</v>
      </c>
    </row>
    <row r="18" spans="1:17" ht="22.5" customHeight="1" x14ac:dyDescent="0.25">
      <c r="A18" s="457">
        <v>15</v>
      </c>
      <c r="B18" s="477" t="s">
        <v>283</v>
      </c>
      <c r="C18" s="459">
        <v>4.5789999999999997</v>
      </c>
      <c r="D18" s="458">
        <v>5</v>
      </c>
      <c r="E18" s="458">
        <v>0</v>
      </c>
      <c r="F18" s="458">
        <v>2</v>
      </c>
      <c r="G18" s="458">
        <v>7</v>
      </c>
      <c r="H18" s="460">
        <v>0</v>
      </c>
      <c r="I18" s="460">
        <v>420</v>
      </c>
      <c r="J18" s="460">
        <v>520</v>
      </c>
      <c r="K18" s="461">
        <v>0.71430000000000005</v>
      </c>
      <c r="L18" s="462">
        <v>0.4</v>
      </c>
      <c r="M18" s="462">
        <v>0.4</v>
      </c>
      <c r="N18" s="463">
        <v>91.72</v>
      </c>
      <c r="O18" s="464">
        <v>0.44</v>
      </c>
      <c r="P18" s="464">
        <v>0.44</v>
      </c>
      <c r="Q18" s="465">
        <v>0.6</v>
      </c>
    </row>
    <row r="19" spans="1:17" ht="22.5" customHeight="1" x14ac:dyDescent="0.25">
      <c r="A19" s="457">
        <v>16</v>
      </c>
      <c r="B19" s="477" t="s">
        <v>272</v>
      </c>
      <c r="C19" s="459">
        <v>7.5129999999999999</v>
      </c>
      <c r="D19" s="458">
        <v>16</v>
      </c>
      <c r="E19" s="458">
        <v>4</v>
      </c>
      <c r="F19" s="458">
        <v>3</v>
      </c>
      <c r="G19" s="458">
        <v>42</v>
      </c>
      <c r="H19" s="460">
        <v>275</v>
      </c>
      <c r="I19" s="460">
        <v>300</v>
      </c>
      <c r="J19" s="460">
        <v>1065</v>
      </c>
      <c r="K19" s="461">
        <v>0.38100000000000001</v>
      </c>
      <c r="L19" s="462">
        <v>0.4375</v>
      </c>
      <c r="M19" s="462">
        <v>0.25</v>
      </c>
      <c r="N19" s="463">
        <v>76.53</v>
      </c>
      <c r="O19" s="464">
        <v>0.93</v>
      </c>
      <c r="P19" s="464">
        <v>0.4</v>
      </c>
      <c r="Q19" s="465">
        <v>0.57999999999999996</v>
      </c>
    </row>
    <row r="20" spans="1:17" ht="22.5" customHeight="1" x14ac:dyDescent="0.25">
      <c r="A20" s="457">
        <v>17</v>
      </c>
      <c r="B20" s="477" t="s">
        <v>335</v>
      </c>
      <c r="C20" s="459">
        <v>6.6680000000000001</v>
      </c>
      <c r="D20" s="458">
        <v>10</v>
      </c>
      <c r="E20" s="458">
        <v>6</v>
      </c>
      <c r="F20" s="458">
        <v>1</v>
      </c>
      <c r="G20" s="458">
        <v>41</v>
      </c>
      <c r="H20" s="460">
        <v>197</v>
      </c>
      <c r="I20" s="460">
        <v>300</v>
      </c>
      <c r="J20" s="460">
        <v>722</v>
      </c>
      <c r="K20" s="461">
        <v>0.24390000000000001</v>
      </c>
      <c r="L20" s="462">
        <v>0.7</v>
      </c>
      <c r="M20" s="462">
        <v>0.25</v>
      </c>
      <c r="N20" s="463">
        <v>74.540000000000006</v>
      </c>
      <c r="O20" s="464">
        <v>1.05</v>
      </c>
      <c r="P20" s="464">
        <v>0.15</v>
      </c>
      <c r="Q20" s="465">
        <v>0.57999999999999996</v>
      </c>
    </row>
    <row r="21" spans="1:17" ht="22.5" customHeight="1" x14ac:dyDescent="0.25">
      <c r="A21" s="457">
        <v>18</v>
      </c>
      <c r="B21" s="477" t="s">
        <v>332</v>
      </c>
      <c r="C21" s="459">
        <v>5.8120000000000003</v>
      </c>
      <c r="D21" s="458">
        <v>10</v>
      </c>
      <c r="E21" s="458">
        <v>3</v>
      </c>
      <c r="F21" s="458">
        <v>1</v>
      </c>
      <c r="G21" s="458">
        <v>17</v>
      </c>
      <c r="H21" s="460">
        <v>290</v>
      </c>
      <c r="I21" s="460">
        <v>240</v>
      </c>
      <c r="J21" s="460">
        <v>945</v>
      </c>
      <c r="K21" s="461">
        <v>0.58819999999999995</v>
      </c>
      <c r="L21" s="462">
        <v>0.4</v>
      </c>
      <c r="M21" s="462">
        <v>0.1429</v>
      </c>
      <c r="N21" s="463">
        <v>91.19</v>
      </c>
      <c r="O21" s="464">
        <v>0.69</v>
      </c>
      <c r="P21" s="464">
        <v>0.17</v>
      </c>
      <c r="Q21" s="465">
        <v>0.56999999999999995</v>
      </c>
    </row>
    <row r="22" spans="1:17" ht="22.5" customHeight="1" x14ac:dyDescent="0.25">
      <c r="A22" s="457">
        <v>19</v>
      </c>
      <c r="B22" s="477" t="s">
        <v>435</v>
      </c>
      <c r="C22" s="459">
        <v>3.6840000000000002</v>
      </c>
      <c r="D22" s="458">
        <v>8</v>
      </c>
      <c r="E22" s="458">
        <v>6</v>
      </c>
      <c r="F22" s="458">
        <v>0</v>
      </c>
      <c r="G22" s="458">
        <v>25</v>
      </c>
      <c r="H22" s="460">
        <v>700</v>
      </c>
      <c r="I22" s="460">
        <v>0</v>
      </c>
      <c r="J22" s="460">
        <v>830</v>
      </c>
      <c r="K22" s="461">
        <v>0.32</v>
      </c>
      <c r="L22" s="462">
        <v>0.75</v>
      </c>
      <c r="M22" s="462">
        <v>0</v>
      </c>
      <c r="N22" s="463">
        <v>190.01</v>
      </c>
      <c r="O22" s="464">
        <v>1.63</v>
      </c>
      <c r="P22" s="464">
        <v>0</v>
      </c>
      <c r="Q22" s="465">
        <v>0.55000000000000004</v>
      </c>
    </row>
    <row r="23" spans="1:17" ht="22.5" customHeight="1" x14ac:dyDescent="0.25">
      <c r="A23" s="457">
        <v>20</v>
      </c>
      <c r="B23" s="477" t="s">
        <v>432</v>
      </c>
      <c r="C23" s="459">
        <v>4.399</v>
      </c>
      <c r="D23" s="458">
        <v>13</v>
      </c>
      <c r="E23" s="458">
        <v>7</v>
      </c>
      <c r="F23" s="458">
        <v>0</v>
      </c>
      <c r="G23" s="458">
        <v>24</v>
      </c>
      <c r="H23" s="460">
        <v>550</v>
      </c>
      <c r="I23" s="460">
        <v>0</v>
      </c>
      <c r="J23" s="460">
        <v>715</v>
      </c>
      <c r="K23" s="461">
        <v>0.54169999999999996</v>
      </c>
      <c r="L23" s="462">
        <v>0.53849999999999998</v>
      </c>
      <c r="M23" s="462">
        <v>0</v>
      </c>
      <c r="N23" s="463">
        <v>125.03</v>
      </c>
      <c r="O23" s="464">
        <v>1.59</v>
      </c>
      <c r="P23" s="464">
        <v>0</v>
      </c>
      <c r="Q23" s="465">
        <v>0.55000000000000004</v>
      </c>
    </row>
    <row r="24" spans="1:17" ht="22.5" customHeight="1" x14ac:dyDescent="0.25">
      <c r="A24" s="457">
        <v>21</v>
      </c>
      <c r="B24" s="477" t="s">
        <v>274</v>
      </c>
      <c r="C24" s="459">
        <v>0.314</v>
      </c>
      <c r="D24" s="458">
        <v>1</v>
      </c>
      <c r="E24" s="458">
        <v>1</v>
      </c>
      <c r="F24" s="458">
        <v>0</v>
      </c>
      <c r="G24" s="458">
        <v>3</v>
      </c>
      <c r="H24" s="460">
        <v>20</v>
      </c>
      <c r="I24" s="460">
        <v>0</v>
      </c>
      <c r="J24" s="460">
        <v>20</v>
      </c>
      <c r="K24" s="461">
        <v>0.33329999999999999</v>
      </c>
      <c r="L24" s="462">
        <v>1</v>
      </c>
      <c r="M24" s="462">
        <v>0</v>
      </c>
      <c r="N24" s="463">
        <v>63.69</v>
      </c>
      <c r="O24" s="464">
        <v>3.18</v>
      </c>
      <c r="P24" s="464">
        <v>0</v>
      </c>
      <c r="Q24" s="465">
        <v>0.54</v>
      </c>
    </row>
    <row r="25" spans="1:17" ht="22.5" customHeight="1" x14ac:dyDescent="0.25">
      <c r="A25" s="457">
        <v>22</v>
      </c>
      <c r="B25" s="477" t="s">
        <v>430</v>
      </c>
      <c r="C25" s="459">
        <v>2.4279999999999999</v>
      </c>
      <c r="D25" s="458">
        <v>8</v>
      </c>
      <c r="E25" s="458">
        <v>4</v>
      </c>
      <c r="F25" s="458">
        <v>0</v>
      </c>
      <c r="G25" s="458">
        <v>10</v>
      </c>
      <c r="H25" s="460">
        <v>240</v>
      </c>
      <c r="I25" s="460">
        <v>0</v>
      </c>
      <c r="J25" s="460">
        <v>485</v>
      </c>
      <c r="K25" s="461">
        <v>0.8</v>
      </c>
      <c r="L25" s="462">
        <v>0.5</v>
      </c>
      <c r="M25" s="462">
        <v>0</v>
      </c>
      <c r="N25" s="463">
        <v>98.85</v>
      </c>
      <c r="O25" s="464">
        <v>1.65</v>
      </c>
      <c r="P25" s="464">
        <v>0</v>
      </c>
      <c r="Q25" s="465">
        <v>0.54</v>
      </c>
    </row>
    <row r="26" spans="1:17" ht="22.5" customHeight="1" x14ac:dyDescent="0.25">
      <c r="A26" s="457">
        <v>23</v>
      </c>
      <c r="B26" s="477" t="s">
        <v>342</v>
      </c>
      <c r="C26" s="459">
        <v>7.5780000000000003</v>
      </c>
      <c r="D26" s="458">
        <v>20</v>
      </c>
      <c r="E26" s="458">
        <v>11</v>
      </c>
      <c r="F26" s="458">
        <v>0</v>
      </c>
      <c r="G26" s="458">
        <v>44</v>
      </c>
      <c r="H26" s="460">
        <v>1000</v>
      </c>
      <c r="I26" s="460">
        <v>0</v>
      </c>
      <c r="J26" s="460">
        <v>1510</v>
      </c>
      <c r="K26" s="461">
        <v>0.45450000000000002</v>
      </c>
      <c r="L26" s="462">
        <v>0.55000000000000004</v>
      </c>
      <c r="M26" s="462">
        <v>0</v>
      </c>
      <c r="N26" s="463">
        <v>131.96</v>
      </c>
      <c r="O26" s="464">
        <v>1.45</v>
      </c>
      <c r="P26" s="464">
        <v>0</v>
      </c>
      <c r="Q26" s="465">
        <v>0.52</v>
      </c>
    </row>
    <row r="27" spans="1:17" ht="22.5" customHeight="1" x14ac:dyDescent="0.25">
      <c r="A27" s="457">
        <v>24</v>
      </c>
      <c r="B27" s="477" t="s">
        <v>354</v>
      </c>
      <c r="C27" s="459">
        <v>5.266</v>
      </c>
      <c r="D27" s="458">
        <v>7</v>
      </c>
      <c r="E27" s="458">
        <v>6</v>
      </c>
      <c r="F27" s="458">
        <v>0</v>
      </c>
      <c r="G27" s="458">
        <v>12</v>
      </c>
      <c r="H27" s="460">
        <v>405</v>
      </c>
      <c r="I27" s="460">
        <v>0</v>
      </c>
      <c r="J27" s="460">
        <v>455</v>
      </c>
      <c r="K27" s="461">
        <v>0.58330000000000004</v>
      </c>
      <c r="L27" s="462">
        <v>0.85709999999999997</v>
      </c>
      <c r="M27" s="462">
        <v>0</v>
      </c>
      <c r="N27" s="463">
        <v>76.91</v>
      </c>
      <c r="O27" s="464">
        <v>1.1399999999999999</v>
      </c>
      <c r="P27" s="464">
        <v>0</v>
      </c>
      <c r="Q27" s="465">
        <v>0.52</v>
      </c>
    </row>
    <row r="28" spans="1:17" ht="22.5" customHeight="1" x14ac:dyDescent="0.25">
      <c r="A28" s="457">
        <v>25</v>
      </c>
      <c r="B28" s="477" t="s">
        <v>403</v>
      </c>
      <c r="C28" s="459">
        <v>4.9939999999999998</v>
      </c>
      <c r="D28" s="458">
        <v>17</v>
      </c>
      <c r="E28" s="458">
        <v>9</v>
      </c>
      <c r="F28" s="458">
        <v>0</v>
      </c>
      <c r="G28" s="458">
        <v>29</v>
      </c>
      <c r="H28" s="460">
        <v>346</v>
      </c>
      <c r="I28" s="460">
        <v>0</v>
      </c>
      <c r="J28" s="460">
        <v>1021</v>
      </c>
      <c r="K28" s="461">
        <v>0.58620000000000005</v>
      </c>
      <c r="L28" s="462">
        <v>0.52939999999999998</v>
      </c>
      <c r="M28" s="462">
        <v>0</v>
      </c>
      <c r="N28" s="463">
        <v>69.28</v>
      </c>
      <c r="O28" s="464">
        <v>1.8</v>
      </c>
      <c r="P28" s="464">
        <v>0</v>
      </c>
      <c r="Q28" s="465">
        <v>0.52</v>
      </c>
    </row>
    <row r="29" spans="1:17" ht="22.5" customHeight="1" x14ac:dyDescent="0.25">
      <c r="A29" s="457">
        <v>26</v>
      </c>
      <c r="B29" s="477" t="s">
        <v>282</v>
      </c>
      <c r="C29" s="459">
        <v>2.1339999999999999</v>
      </c>
      <c r="D29" s="458">
        <v>8</v>
      </c>
      <c r="E29" s="458">
        <v>7</v>
      </c>
      <c r="F29" s="458">
        <v>0</v>
      </c>
      <c r="G29" s="458">
        <v>18</v>
      </c>
      <c r="H29" s="460">
        <v>28</v>
      </c>
      <c r="I29" s="460">
        <v>0</v>
      </c>
      <c r="J29" s="460">
        <v>78</v>
      </c>
      <c r="K29" s="461">
        <v>0.44440000000000002</v>
      </c>
      <c r="L29" s="462">
        <v>0.875</v>
      </c>
      <c r="M29" s="462">
        <v>0</v>
      </c>
      <c r="N29" s="463">
        <v>13.12</v>
      </c>
      <c r="O29" s="464">
        <v>3.28</v>
      </c>
      <c r="P29" s="464">
        <v>0</v>
      </c>
      <c r="Q29" s="465">
        <v>0.52</v>
      </c>
    </row>
    <row r="30" spans="1:17" ht="22.5" customHeight="1" x14ac:dyDescent="0.25">
      <c r="A30" s="457">
        <v>27</v>
      </c>
      <c r="B30" s="477" t="s">
        <v>374</v>
      </c>
      <c r="C30" s="459">
        <v>4.3710000000000004</v>
      </c>
      <c r="D30" s="458">
        <v>10</v>
      </c>
      <c r="E30" s="458">
        <v>6</v>
      </c>
      <c r="F30" s="458">
        <v>0</v>
      </c>
      <c r="G30" s="458">
        <v>28</v>
      </c>
      <c r="H30" s="460">
        <v>585</v>
      </c>
      <c r="I30" s="460">
        <v>0</v>
      </c>
      <c r="J30" s="460">
        <v>770</v>
      </c>
      <c r="K30" s="461">
        <v>0.35709999999999997</v>
      </c>
      <c r="L30" s="462">
        <v>0.6</v>
      </c>
      <c r="M30" s="462">
        <v>0</v>
      </c>
      <c r="N30" s="463">
        <v>133.84</v>
      </c>
      <c r="O30" s="464">
        <v>1.37</v>
      </c>
      <c r="P30" s="464">
        <v>0</v>
      </c>
      <c r="Q30" s="465">
        <v>0.51</v>
      </c>
    </row>
    <row r="31" spans="1:17" ht="22.5" customHeight="1" x14ac:dyDescent="0.25">
      <c r="A31" s="457">
        <v>28</v>
      </c>
      <c r="B31" s="477" t="s">
        <v>297</v>
      </c>
      <c r="C31" s="459">
        <v>4.319</v>
      </c>
      <c r="D31" s="458">
        <v>11</v>
      </c>
      <c r="E31" s="458">
        <v>5</v>
      </c>
      <c r="F31" s="458">
        <v>0</v>
      </c>
      <c r="G31" s="458">
        <v>17</v>
      </c>
      <c r="H31" s="460">
        <v>455</v>
      </c>
      <c r="I31" s="460">
        <v>0</v>
      </c>
      <c r="J31" s="460">
        <v>890</v>
      </c>
      <c r="K31" s="461">
        <v>0.64710000000000001</v>
      </c>
      <c r="L31" s="462">
        <v>0.45450000000000002</v>
      </c>
      <c r="M31" s="462">
        <v>0</v>
      </c>
      <c r="N31" s="463">
        <v>105.35</v>
      </c>
      <c r="O31" s="464">
        <v>1.1599999999999999</v>
      </c>
      <c r="P31" s="464">
        <v>0</v>
      </c>
      <c r="Q31" s="465">
        <v>0.48</v>
      </c>
    </row>
    <row r="32" spans="1:17" ht="22.5" customHeight="1" x14ac:dyDescent="0.25">
      <c r="A32" s="457">
        <v>29</v>
      </c>
      <c r="B32" s="477" t="s">
        <v>412</v>
      </c>
      <c r="C32" s="459">
        <v>1.742</v>
      </c>
      <c r="D32" s="458">
        <v>4</v>
      </c>
      <c r="E32" s="458">
        <v>2</v>
      </c>
      <c r="F32" s="458">
        <v>0</v>
      </c>
      <c r="G32" s="458">
        <v>6</v>
      </c>
      <c r="H32" s="460">
        <v>170</v>
      </c>
      <c r="I32" s="460">
        <v>0</v>
      </c>
      <c r="J32" s="460">
        <v>280</v>
      </c>
      <c r="K32" s="461">
        <v>0.66669999999999996</v>
      </c>
      <c r="L32" s="462">
        <v>0.5</v>
      </c>
      <c r="M32" s="462">
        <v>0</v>
      </c>
      <c r="N32" s="463">
        <v>97.59</v>
      </c>
      <c r="O32" s="464">
        <v>1.1499999999999999</v>
      </c>
      <c r="P32" s="464">
        <v>0</v>
      </c>
      <c r="Q32" s="465">
        <v>0.47</v>
      </c>
    </row>
    <row r="33" spans="1:17" ht="22.5" customHeight="1" x14ac:dyDescent="0.25">
      <c r="A33" s="457">
        <v>30</v>
      </c>
      <c r="B33" s="477" t="s">
        <v>317</v>
      </c>
      <c r="C33" s="459">
        <v>4.5540000000000003</v>
      </c>
      <c r="D33" s="458">
        <v>8</v>
      </c>
      <c r="E33" s="458">
        <v>8</v>
      </c>
      <c r="F33" s="458">
        <v>0</v>
      </c>
      <c r="G33" s="458">
        <v>33</v>
      </c>
      <c r="H33" s="460">
        <v>130</v>
      </c>
      <c r="I33" s="460">
        <v>0</v>
      </c>
      <c r="J33" s="460">
        <v>130</v>
      </c>
      <c r="K33" s="461">
        <v>0.2424</v>
      </c>
      <c r="L33" s="462">
        <v>1</v>
      </c>
      <c r="M33" s="462">
        <v>0</v>
      </c>
      <c r="N33" s="463">
        <v>28.55</v>
      </c>
      <c r="O33" s="464">
        <v>1.76</v>
      </c>
      <c r="P33" s="464">
        <v>0</v>
      </c>
      <c r="Q33" s="465">
        <v>0.47</v>
      </c>
    </row>
    <row r="34" spans="1:17" ht="22.5" customHeight="1" x14ac:dyDescent="0.25">
      <c r="A34" s="457">
        <v>31</v>
      </c>
      <c r="B34" s="477" t="s">
        <v>411</v>
      </c>
      <c r="C34" s="459">
        <v>1.5069999999999999</v>
      </c>
      <c r="D34" s="458">
        <v>2</v>
      </c>
      <c r="E34" s="458">
        <v>2</v>
      </c>
      <c r="F34" s="458">
        <v>0</v>
      </c>
      <c r="G34" s="458">
        <v>9</v>
      </c>
      <c r="H34" s="460">
        <v>75</v>
      </c>
      <c r="I34" s="460">
        <v>0</v>
      </c>
      <c r="J34" s="460">
        <v>75</v>
      </c>
      <c r="K34" s="461">
        <v>0.22220000000000001</v>
      </c>
      <c r="L34" s="462">
        <v>1</v>
      </c>
      <c r="M34" s="462">
        <v>0</v>
      </c>
      <c r="N34" s="463">
        <v>49.77</v>
      </c>
      <c r="O34" s="464">
        <v>1.33</v>
      </c>
      <c r="P34" s="464">
        <v>0</v>
      </c>
      <c r="Q34" s="465">
        <v>0.45</v>
      </c>
    </row>
    <row r="35" spans="1:17" ht="22.5" customHeight="1" x14ac:dyDescent="0.25">
      <c r="A35" s="457">
        <v>32</v>
      </c>
      <c r="B35" s="477" t="s">
        <v>325</v>
      </c>
      <c r="C35" s="459">
        <v>4.2640000000000002</v>
      </c>
      <c r="D35" s="458">
        <v>9</v>
      </c>
      <c r="E35" s="458">
        <v>5</v>
      </c>
      <c r="F35" s="458">
        <v>0</v>
      </c>
      <c r="G35" s="458">
        <v>26</v>
      </c>
      <c r="H35" s="460">
        <v>505</v>
      </c>
      <c r="I35" s="460">
        <v>0</v>
      </c>
      <c r="J35" s="460">
        <v>625</v>
      </c>
      <c r="K35" s="461">
        <v>0.34620000000000001</v>
      </c>
      <c r="L35" s="462">
        <v>0.55559999999999998</v>
      </c>
      <c r="M35" s="462">
        <v>0</v>
      </c>
      <c r="N35" s="463">
        <v>118.43</v>
      </c>
      <c r="O35" s="464">
        <v>1.17</v>
      </c>
      <c r="P35" s="464">
        <v>0</v>
      </c>
      <c r="Q35" s="465">
        <v>0.45</v>
      </c>
    </row>
    <row r="36" spans="1:17" ht="22.5" customHeight="1" x14ac:dyDescent="0.25">
      <c r="A36" s="457">
        <v>33</v>
      </c>
      <c r="B36" s="477" t="s">
        <v>290</v>
      </c>
      <c r="C36" s="459">
        <v>2.694</v>
      </c>
      <c r="D36" s="458">
        <v>6</v>
      </c>
      <c r="E36" s="458">
        <v>6</v>
      </c>
      <c r="F36" s="458">
        <v>0</v>
      </c>
      <c r="G36" s="458">
        <v>34</v>
      </c>
      <c r="H36" s="460">
        <v>70</v>
      </c>
      <c r="I36" s="460">
        <v>0</v>
      </c>
      <c r="J36" s="460">
        <v>70</v>
      </c>
      <c r="K36" s="461">
        <v>0.17649999999999999</v>
      </c>
      <c r="L36" s="462">
        <v>1</v>
      </c>
      <c r="M36" s="462">
        <v>0</v>
      </c>
      <c r="N36" s="463">
        <v>25.98</v>
      </c>
      <c r="O36" s="464">
        <v>2.23</v>
      </c>
      <c r="P36" s="464">
        <v>0</v>
      </c>
      <c r="Q36" s="465">
        <v>0.45</v>
      </c>
    </row>
    <row r="37" spans="1:17" ht="22.5" customHeight="1" x14ac:dyDescent="0.25">
      <c r="A37" s="457">
        <v>34</v>
      </c>
      <c r="B37" s="477" t="s">
        <v>324</v>
      </c>
      <c r="C37" s="459">
        <v>1.4379999999999999</v>
      </c>
      <c r="D37" s="458">
        <v>4</v>
      </c>
      <c r="E37" s="458">
        <v>2</v>
      </c>
      <c r="F37" s="458">
        <v>0</v>
      </c>
      <c r="G37" s="458">
        <v>5</v>
      </c>
      <c r="H37" s="460">
        <v>40</v>
      </c>
      <c r="I37" s="460">
        <v>0</v>
      </c>
      <c r="J37" s="460">
        <v>260</v>
      </c>
      <c r="K37" s="461">
        <v>0.8</v>
      </c>
      <c r="L37" s="462">
        <v>0.5</v>
      </c>
      <c r="M37" s="462">
        <v>0</v>
      </c>
      <c r="N37" s="463">
        <v>27.82</v>
      </c>
      <c r="O37" s="464">
        <v>1.39</v>
      </c>
      <c r="P37" s="464">
        <v>0</v>
      </c>
      <c r="Q37" s="465">
        <v>0.45</v>
      </c>
    </row>
    <row r="38" spans="1:17" ht="22.5" customHeight="1" x14ac:dyDescent="0.25">
      <c r="A38" s="457">
        <v>35</v>
      </c>
      <c r="B38" s="477" t="s">
        <v>365</v>
      </c>
      <c r="C38" s="459">
        <v>2.8260000000000001</v>
      </c>
      <c r="D38" s="458">
        <v>7</v>
      </c>
      <c r="E38" s="458">
        <v>7</v>
      </c>
      <c r="F38" s="458">
        <v>0</v>
      </c>
      <c r="G38" s="458">
        <v>40</v>
      </c>
      <c r="H38" s="460">
        <v>55</v>
      </c>
      <c r="I38" s="460">
        <v>0</v>
      </c>
      <c r="J38" s="460">
        <v>55</v>
      </c>
      <c r="K38" s="461">
        <v>0.17499999999999999</v>
      </c>
      <c r="L38" s="462">
        <v>1</v>
      </c>
      <c r="M38" s="462">
        <v>0</v>
      </c>
      <c r="N38" s="463">
        <v>19.46</v>
      </c>
      <c r="O38" s="464">
        <v>2.48</v>
      </c>
      <c r="P38" s="464">
        <v>0</v>
      </c>
      <c r="Q38" s="465">
        <v>0.44</v>
      </c>
    </row>
    <row r="39" spans="1:17" ht="22.5" customHeight="1" x14ac:dyDescent="0.25">
      <c r="A39" s="457">
        <v>36</v>
      </c>
      <c r="B39" s="477" t="s">
        <v>371</v>
      </c>
      <c r="C39" s="459">
        <v>5.601</v>
      </c>
      <c r="D39" s="458">
        <v>7</v>
      </c>
      <c r="E39" s="458">
        <v>6</v>
      </c>
      <c r="F39" s="458">
        <v>0</v>
      </c>
      <c r="G39" s="458">
        <v>54</v>
      </c>
      <c r="H39" s="460">
        <v>940</v>
      </c>
      <c r="I39" s="460">
        <v>0</v>
      </c>
      <c r="J39" s="460">
        <v>990</v>
      </c>
      <c r="K39" s="461">
        <v>0.12959999999999999</v>
      </c>
      <c r="L39" s="462">
        <v>0.85709999999999997</v>
      </c>
      <c r="M39" s="462">
        <v>0</v>
      </c>
      <c r="N39" s="463">
        <v>167.83</v>
      </c>
      <c r="O39" s="464">
        <v>1.07</v>
      </c>
      <c r="P39" s="464">
        <v>0</v>
      </c>
      <c r="Q39" s="465">
        <v>0.43</v>
      </c>
    </row>
    <row r="40" spans="1:17" ht="22.5" customHeight="1" x14ac:dyDescent="0.25">
      <c r="A40" s="457">
        <v>37</v>
      </c>
      <c r="B40" s="477" t="s">
        <v>422</v>
      </c>
      <c r="C40" s="459">
        <v>8.5990000000000002</v>
      </c>
      <c r="D40" s="458">
        <v>16</v>
      </c>
      <c r="E40" s="458">
        <v>8</v>
      </c>
      <c r="F40" s="458">
        <v>0</v>
      </c>
      <c r="G40" s="458">
        <v>37</v>
      </c>
      <c r="H40" s="460">
        <v>1115</v>
      </c>
      <c r="I40" s="460">
        <v>0</v>
      </c>
      <c r="J40" s="460">
        <v>1355</v>
      </c>
      <c r="K40" s="461">
        <v>0.43240000000000001</v>
      </c>
      <c r="L40" s="462">
        <v>0.5</v>
      </c>
      <c r="M40" s="462">
        <v>0</v>
      </c>
      <c r="N40" s="463">
        <v>129.66999999999999</v>
      </c>
      <c r="O40" s="464">
        <v>0.93</v>
      </c>
      <c r="P40" s="464">
        <v>0</v>
      </c>
      <c r="Q40" s="465">
        <v>0.43</v>
      </c>
    </row>
    <row r="41" spans="1:17" ht="22.5" customHeight="1" x14ac:dyDescent="0.25">
      <c r="A41" s="457">
        <v>38</v>
      </c>
      <c r="B41" s="477" t="s">
        <v>308</v>
      </c>
      <c r="C41" s="459">
        <v>3.7570000000000001</v>
      </c>
      <c r="D41" s="458">
        <v>7</v>
      </c>
      <c r="E41" s="458">
        <v>5</v>
      </c>
      <c r="F41" s="458">
        <v>0</v>
      </c>
      <c r="G41" s="458">
        <v>28</v>
      </c>
      <c r="H41" s="460">
        <v>255</v>
      </c>
      <c r="I41" s="460">
        <v>0</v>
      </c>
      <c r="J41" s="460">
        <v>310</v>
      </c>
      <c r="K41" s="461">
        <v>0.25</v>
      </c>
      <c r="L41" s="462">
        <v>0.71430000000000005</v>
      </c>
      <c r="M41" s="462">
        <v>0</v>
      </c>
      <c r="N41" s="463">
        <v>67.87</v>
      </c>
      <c r="O41" s="464">
        <v>1.33</v>
      </c>
      <c r="P41" s="464">
        <v>0</v>
      </c>
      <c r="Q41" s="465">
        <v>0.43</v>
      </c>
    </row>
    <row r="42" spans="1:17" ht="22.5" customHeight="1" x14ac:dyDescent="0.25">
      <c r="A42" s="457">
        <v>39</v>
      </c>
      <c r="B42" s="477" t="s">
        <v>364</v>
      </c>
      <c r="C42" s="459">
        <v>6.1150000000000002</v>
      </c>
      <c r="D42" s="458">
        <v>13</v>
      </c>
      <c r="E42" s="458">
        <v>1</v>
      </c>
      <c r="F42" s="458">
        <v>1</v>
      </c>
      <c r="G42" s="458">
        <v>25</v>
      </c>
      <c r="H42" s="460">
        <v>20</v>
      </c>
      <c r="I42" s="460">
        <v>120</v>
      </c>
      <c r="J42" s="460">
        <v>515</v>
      </c>
      <c r="K42" s="461">
        <v>0.52</v>
      </c>
      <c r="L42" s="462">
        <v>0.15379999999999999</v>
      </c>
      <c r="M42" s="462">
        <v>8.3299999999999999E-2</v>
      </c>
      <c r="N42" s="463">
        <v>22.89</v>
      </c>
      <c r="O42" s="464">
        <v>0.33</v>
      </c>
      <c r="P42" s="464">
        <v>0.16</v>
      </c>
      <c r="Q42" s="465">
        <v>0.42</v>
      </c>
    </row>
    <row r="43" spans="1:17" ht="22.5" customHeight="1" x14ac:dyDescent="0.25">
      <c r="A43" s="457">
        <v>40</v>
      </c>
      <c r="B43" s="477" t="s">
        <v>300</v>
      </c>
      <c r="C43" s="459">
        <v>5.0140000000000002</v>
      </c>
      <c r="D43" s="458">
        <v>6</v>
      </c>
      <c r="E43" s="458">
        <v>6</v>
      </c>
      <c r="F43" s="458">
        <v>0</v>
      </c>
      <c r="G43" s="458">
        <v>24</v>
      </c>
      <c r="H43" s="460">
        <v>165</v>
      </c>
      <c r="I43" s="460">
        <v>0</v>
      </c>
      <c r="J43" s="460">
        <v>165</v>
      </c>
      <c r="K43" s="461">
        <v>0.25</v>
      </c>
      <c r="L43" s="462">
        <v>1</v>
      </c>
      <c r="M43" s="462">
        <v>0</v>
      </c>
      <c r="N43" s="463">
        <v>32.909999999999997</v>
      </c>
      <c r="O43" s="464">
        <v>1.2</v>
      </c>
      <c r="P43" s="464">
        <v>0</v>
      </c>
      <c r="Q43" s="465">
        <v>0.42</v>
      </c>
    </row>
    <row r="44" spans="1:17" ht="22.5" customHeight="1" x14ac:dyDescent="0.25">
      <c r="A44" s="457">
        <v>41</v>
      </c>
      <c r="B44" s="477" t="s">
        <v>414</v>
      </c>
      <c r="C44" s="459">
        <v>5.71</v>
      </c>
      <c r="D44" s="458">
        <v>8</v>
      </c>
      <c r="E44" s="458">
        <v>7</v>
      </c>
      <c r="F44" s="458">
        <v>0</v>
      </c>
      <c r="G44" s="458">
        <v>49</v>
      </c>
      <c r="H44" s="460">
        <v>425</v>
      </c>
      <c r="I44" s="460">
        <v>0</v>
      </c>
      <c r="J44" s="460">
        <v>430</v>
      </c>
      <c r="K44" s="461">
        <v>0.1633</v>
      </c>
      <c r="L44" s="462">
        <v>0.875</v>
      </c>
      <c r="M44" s="462">
        <v>0</v>
      </c>
      <c r="N44" s="463">
        <v>74.430000000000007</v>
      </c>
      <c r="O44" s="464">
        <v>1.23</v>
      </c>
      <c r="P44" s="464">
        <v>0</v>
      </c>
      <c r="Q44" s="465">
        <v>0.42</v>
      </c>
    </row>
    <row r="45" spans="1:17" ht="22.5" customHeight="1" x14ac:dyDescent="0.25">
      <c r="A45" s="457">
        <v>42</v>
      </c>
      <c r="B45" s="477" t="s">
        <v>326</v>
      </c>
      <c r="C45" s="459">
        <v>4.33</v>
      </c>
      <c r="D45" s="458">
        <v>4</v>
      </c>
      <c r="E45" s="458">
        <v>3</v>
      </c>
      <c r="F45" s="458">
        <v>0</v>
      </c>
      <c r="G45" s="458">
        <v>7</v>
      </c>
      <c r="H45" s="460">
        <v>200</v>
      </c>
      <c r="I45" s="460">
        <v>0</v>
      </c>
      <c r="J45" s="460">
        <v>205</v>
      </c>
      <c r="K45" s="461">
        <v>0.57140000000000002</v>
      </c>
      <c r="L45" s="462">
        <v>0.75</v>
      </c>
      <c r="M45" s="462">
        <v>0</v>
      </c>
      <c r="N45" s="463">
        <v>46.19</v>
      </c>
      <c r="O45" s="464">
        <v>0.69</v>
      </c>
      <c r="P45" s="464">
        <v>0</v>
      </c>
      <c r="Q45" s="465">
        <v>0.42</v>
      </c>
    </row>
    <row r="46" spans="1:17" ht="22.5" customHeight="1" x14ac:dyDescent="0.25">
      <c r="A46" s="457">
        <v>43</v>
      </c>
      <c r="B46" s="477" t="s">
        <v>336</v>
      </c>
      <c r="C46" s="459">
        <v>4.0679999999999996</v>
      </c>
      <c r="D46" s="458">
        <v>10</v>
      </c>
      <c r="E46" s="458">
        <v>5</v>
      </c>
      <c r="F46" s="458">
        <v>0</v>
      </c>
      <c r="G46" s="458">
        <v>24</v>
      </c>
      <c r="H46" s="460">
        <v>330</v>
      </c>
      <c r="I46" s="460">
        <v>0</v>
      </c>
      <c r="J46" s="460">
        <v>710</v>
      </c>
      <c r="K46" s="461">
        <v>0.41670000000000001</v>
      </c>
      <c r="L46" s="462">
        <v>0.5</v>
      </c>
      <c r="M46" s="462">
        <v>0</v>
      </c>
      <c r="N46" s="463">
        <v>81.12</v>
      </c>
      <c r="O46" s="464">
        <v>1.23</v>
      </c>
      <c r="P46" s="464">
        <v>0</v>
      </c>
      <c r="Q46" s="465">
        <v>0.42</v>
      </c>
    </row>
    <row r="47" spans="1:17" ht="22.5" customHeight="1" x14ac:dyDescent="0.25">
      <c r="A47" s="457">
        <v>44</v>
      </c>
      <c r="B47" s="477" t="s">
        <v>375</v>
      </c>
      <c r="C47" s="459">
        <v>8.3580000000000005</v>
      </c>
      <c r="D47" s="458">
        <v>13</v>
      </c>
      <c r="E47" s="458">
        <v>8</v>
      </c>
      <c r="F47" s="458">
        <v>0</v>
      </c>
      <c r="G47" s="458">
        <v>27</v>
      </c>
      <c r="H47" s="460">
        <v>330</v>
      </c>
      <c r="I47" s="460">
        <v>0</v>
      </c>
      <c r="J47" s="460">
        <v>620</v>
      </c>
      <c r="K47" s="461">
        <v>0.48149999999999998</v>
      </c>
      <c r="L47" s="462">
        <v>0.61539999999999995</v>
      </c>
      <c r="M47" s="462">
        <v>0</v>
      </c>
      <c r="N47" s="463">
        <v>39.479999999999997</v>
      </c>
      <c r="O47" s="464">
        <v>0.96</v>
      </c>
      <c r="P47" s="464">
        <v>0</v>
      </c>
      <c r="Q47" s="465">
        <v>0.41</v>
      </c>
    </row>
    <row r="48" spans="1:17" ht="22.5" customHeight="1" x14ac:dyDescent="0.25">
      <c r="A48" s="457">
        <v>45</v>
      </c>
      <c r="B48" s="477" t="s">
        <v>321</v>
      </c>
      <c r="C48" s="459">
        <v>6.008</v>
      </c>
      <c r="D48" s="458">
        <v>6</v>
      </c>
      <c r="E48" s="458">
        <v>1</v>
      </c>
      <c r="F48" s="458">
        <v>1</v>
      </c>
      <c r="G48" s="458">
        <v>22</v>
      </c>
      <c r="H48" s="460">
        <v>50</v>
      </c>
      <c r="I48" s="460">
        <v>180</v>
      </c>
      <c r="J48" s="460">
        <v>480</v>
      </c>
      <c r="K48" s="461">
        <v>0.2727</v>
      </c>
      <c r="L48" s="462">
        <v>0.33329999999999999</v>
      </c>
      <c r="M48" s="462">
        <v>0.2</v>
      </c>
      <c r="N48" s="463">
        <v>38.28</v>
      </c>
      <c r="O48" s="464">
        <v>0.33</v>
      </c>
      <c r="P48" s="464">
        <v>0.17</v>
      </c>
      <c r="Q48" s="465">
        <v>0.39</v>
      </c>
    </row>
    <row r="49" spans="1:17" ht="22.5" customHeight="1" x14ac:dyDescent="0.25">
      <c r="A49" s="457">
        <v>46</v>
      </c>
      <c r="B49" s="477" t="s">
        <v>357</v>
      </c>
      <c r="C49" s="459">
        <v>1.1870000000000001</v>
      </c>
      <c r="D49" s="458">
        <v>1</v>
      </c>
      <c r="E49" s="458">
        <v>1</v>
      </c>
      <c r="F49" s="458">
        <v>0</v>
      </c>
      <c r="G49" s="458">
        <v>7</v>
      </c>
      <c r="H49" s="460">
        <v>100</v>
      </c>
      <c r="I49" s="460">
        <v>0</v>
      </c>
      <c r="J49" s="460">
        <v>100</v>
      </c>
      <c r="K49" s="461">
        <v>0.1429</v>
      </c>
      <c r="L49" s="462">
        <v>1</v>
      </c>
      <c r="M49" s="462">
        <v>0</v>
      </c>
      <c r="N49" s="463">
        <v>84.25</v>
      </c>
      <c r="O49" s="464">
        <v>0.84</v>
      </c>
      <c r="P49" s="464">
        <v>0</v>
      </c>
      <c r="Q49" s="465">
        <v>0.38</v>
      </c>
    </row>
    <row r="50" spans="1:17" ht="22.5" customHeight="1" x14ac:dyDescent="0.25">
      <c r="A50" s="457">
        <v>47</v>
      </c>
      <c r="B50" s="477" t="s">
        <v>323</v>
      </c>
      <c r="C50" s="459">
        <v>4.585</v>
      </c>
      <c r="D50" s="458">
        <v>10</v>
      </c>
      <c r="E50" s="458">
        <v>4</v>
      </c>
      <c r="F50" s="458">
        <v>0</v>
      </c>
      <c r="G50" s="458">
        <v>11</v>
      </c>
      <c r="H50" s="460">
        <v>135</v>
      </c>
      <c r="I50" s="460">
        <v>0</v>
      </c>
      <c r="J50" s="460">
        <v>340</v>
      </c>
      <c r="K50" s="461">
        <v>0.90910000000000002</v>
      </c>
      <c r="L50" s="462">
        <v>0.4</v>
      </c>
      <c r="M50" s="462">
        <v>0</v>
      </c>
      <c r="N50" s="463">
        <v>29.44</v>
      </c>
      <c r="O50" s="464">
        <v>0.87</v>
      </c>
      <c r="P50" s="464">
        <v>0</v>
      </c>
      <c r="Q50" s="465">
        <v>0.37</v>
      </c>
    </row>
    <row r="51" spans="1:17" ht="22.5" customHeight="1" x14ac:dyDescent="0.25">
      <c r="A51" s="457">
        <v>48</v>
      </c>
      <c r="B51" s="477" t="s">
        <v>302</v>
      </c>
      <c r="C51" s="459">
        <v>7.9980000000000002</v>
      </c>
      <c r="D51" s="458">
        <v>18</v>
      </c>
      <c r="E51" s="458">
        <v>10</v>
      </c>
      <c r="F51" s="458">
        <v>0</v>
      </c>
      <c r="G51" s="458">
        <v>60</v>
      </c>
      <c r="H51" s="460">
        <v>134</v>
      </c>
      <c r="I51" s="460">
        <v>0</v>
      </c>
      <c r="J51" s="460">
        <v>534</v>
      </c>
      <c r="K51" s="461">
        <v>0.3</v>
      </c>
      <c r="L51" s="462">
        <v>0.55559999999999998</v>
      </c>
      <c r="M51" s="462">
        <v>0</v>
      </c>
      <c r="N51" s="463">
        <v>16.75</v>
      </c>
      <c r="O51" s="464">
        <v>1.25</v>
      </c>
      <c r="P51" s="464">
        <v>0</v>
      </c>
      <c r="Q51" s="465">
        <v>0.36</v>
      </c>
    </row>
    <row r="52" spans="1:17" ht="22.5" customHeight="1" x14ac:dyDescent="0.25">
      <c r="A52" s="457">
        <v>49</v>
      </c>
      <c r="B52" s="477" t="s">
        <v>399</v>
      </c>
      <c r="C52" s="459">
        <v>5.7619999999999996</v>
      </c>
      <c r="D52" s="458">
        <v>11</v>
      </c>
      <c r="E52" s="458">
        <v>5</v>
      </c>
      <c r="F52" s="458">
        <v>0</v>
      </c>
      <c r="G52" s="458">
        <v>37</v>
      </c>
      <c r="H52" s="460">
        <v>560</v>
      </c>
      <c r="I52" s="460">
        <v>0</v>
      </c>
      <c r="J52" s="460">
        <v>1275</v>
      </c>
      <c r="K52" s="461">
        <v>0.29730000000000001</v>
      </c>
      <c r="L52" s="462">
        <v>0.45450000000000002</v>
      </c>
      <c r="M52" s="462">
        <v>0</v>
      </c>
      <c r="N52" s="463">
        <v>97.19</v>
      </c>
      <c r="O52" s="464">
        <v>0.87</v>
      </c>
      <c r="P52" s="464">
        <v>0</v>
      </c>
      <c r="Q52" s="465">
        <v>0.35</v>
      </c>
    </row>
    <row r="53" spans="1:17" ht="22.5" customHeight="1" x14ac:dyDescent="0.25">
      <c r="A53" s="457">
        <v>50</v>
      </c>
      <c r="B53" s="477" t="s">
        <v>276</v>
      </c>
      <c r="C53" s="459">
        <v>4.4009999999999998</v>
      </c>
      <c r="D53" s="458">
        <v>11</v>
      </c>
      <c r="E53" s="458">
        <v>4</v>
      </c>
      <c r="F53" s="458">
        <v>0</v>
      </c>
      <c r="G53" s="458">
        <v>22</v>
      </c>
      <c r="H53" s="460">
        <v>295</v>
      </c>
      <c r="I53" s="460">
        <v>0</v>
      </c>
      <c r="J53" s="460">
        <v>620</v>
      </c>
      <c r="K53" s="461">
        <v>0.5</v>
      </c>
      <c r="L53" s="462">
        <v>0.36359999999999998</v>
      </c>
      <c r="M53" s="462">
        <v>0</v>
      </c>
      <c r="N53" s="463">
        <v>67.03</v>
      </c>
      <c r="O53" s="464">
        <v>0.91</v>
      </c>
      <c r="P53" s="464">
        <v>0</v>
      </c>
      <c r="Q53" s="465">
        <v>0.35</v>
      </c>
    </row>
    <row r="54" spans="1:17" ht="22.5" customHeight="1" x14ac:dyDescent="0.25">
      <c r="A54" s="457">
        <v>51</v>
      </c>
      <c r="B54" s="477" t="s">
        <v>402</v>
      </c>
      <c r="C54" s="459">
        <v>5.53</v>
      </c>
      <c r="D54" s="458">
        <v>12</v>
      </c>
      <c r="E54" s="458">
        <v>5</v>
      </c>
      <c r="F54" s="458">
        <v>0</v>
      </c>
      <c r="G54" s="458">
        <v>28</v>
      </c>
      <c r="H54" s="460">
        <v>320</v>
      </c>
      <c r="I54" s="460">
        <v>0</v>
      </c>
      <c r="J54" s="460">
        <v>965</v>
      </c>
      <c r="K54" s="461">
        <v>0.42859999999999998</v>
      </c>
      <c r="L54" s="462">
        <v>0.41670000000000001</v>
      </c>
      <c r="M54" s="462">
        <v>0</v>
      </c>
      <c r="N54" s="463">
        <v>57.87</v>
      </c>
      <c r="O54" s="464">
        <v>0.9</v>
      </c>
      <c r="P54" s="464">
        <v>0</v>
      </c>
      <c r="Q54" s="465">
        <v>0.34</v>
      </c>
    </row>
    <row r="55" spans="1:17" ht="22.5" customHeight="1" x14ac:dyDescent="0.25">
      <c r="A55" s="457">
        <v>52</v>
      </c>
      <c r="B55" s="477" t="s">
        <v>287</v>
      </c>
      <c r="C55" s="459">
        <v>3.9710000000000001</v>
      </c>
      <c r="D55" s="458">
        <v>11</v>
      </c>
      <c r="E55" s="458">
        <v>4</v>
      </c>
      <c r="F55" s="458">
        <v>0</v>
      </c>
      <c r="G55" s="458">
        <v>22</v>
      </c>
      <c r="H55" s="460">
        <v>175</v>
      </c>
      <c r="I55" s="460">
        <v>0</v>
      </c>
      <c r="J55" s="460">
        <v>310</v>
      </c>
      <c r="K55" s="461">
        <v>0.5</v>
      </c>
      <c r="L55" s="462">
        <v>0.36359999999999998</v>
      </c>
      <c r="M55" s="462">
        <v>0</v>
      </c>
      <c r="N55" s="463">
        <v>44.07</v>
      </c>
      <c r="O55" s="464">
        <v>1.01</v>
      </c>
      <c r="P55" s="464">
        <v>0</v>
      </c>
      <c r="Q55" s="465">
        <v>0.34</v>
      </c>
    </row>
    <row r="56" spans="1:17" ht="22.5" customHeight="1" x14ac:dyDescent="0.25">
      <c r="A56" s="457">
        <v>53</v>
      </c>
      <c r="B56" s="477" t="s">
        <v>373</v>
      </c>
      <c r="C56" s="459">
        <v>5.0140000000000002</v>
      </c>
      <c r="D56" s="458">
        <v>10</v>
      </c>
      <c r="E56" s="458">
        <v>6</v>
      </c>
      <c r="F56" s="458">
        <v>0</v>
      </c>
      <c r="G56" s="458">
        <v>47</v>
      </c>
      <c r="H56" s="460">
        <v>140</v>
      </c>
      <c r="I56" s="460">
        <v>0</v>
      </c>
      <c r="J56" s="460">
        <v>540</v>
      </c>
      <c r="K56" s="461">
        <v>0.21279999999999999</v>
      </c>
      <c r="L56" s="462">
        <v>0.6</v>
      </c>
      <c r="M56" s="462">
        <v>0</v>
      </c>
      <c r="N56" s="463">
        <v>27.92</v>
      </c>
      <c r="O56" s="464">
        <v>1.2</v>
      </c>
      <c r="P56" s="464">
        <v>0</v>
      </c>
      <c r="Q56" s="465">
        <v>0.34</v>
      </c>
    </row>
    <row r="57" spans="1:17" ht="22.5" customHeight="1" x14ac:dyDescent="0.25">
      <c r="A57" s="457">
        <v>54</v>
      </c>
      <c r="B57" s="477" t="s">
        <v>279</v>
      </c>
      <c r="C57" s="459">
        <v>4.1319999999999997</v>
      </c>
      <c r="D57" s="458">
        <v>3</v>
      </c>
      <c r="E57" s="458">
        <v>3</v>
      </c>
      <c r="F57" s="458">
        <v>0</v>
      </c>
      <c r="G57" s="458">
        <v>27</v>
      </c>
      <c r="H57" s="460">
        <v>250</v>
      </c>
      <c r="I57" s="460">
        <v>0</v>
      </c>
      <c r="J57" s="460">
        <v>250</v>
      </c>
      <c r="K57" s="461">
        <v>0.1111</v>
      </c>
      <c r="L57" s="462">
        <v>1</v>
      </c>
      <c r="M57" s="462">
        <v>0</v>
      </c>
      <c r="N57" s="463">
        <v>60.5</v>
      </c>
      <c r="O57" s="464">
        <v>0.73</v>
      </c>
      <c r="P57" s="464">
        <v>0</v>
      </c>
      <c r="Q57" s="465">
        <v>0.33</v>
      </c>
    </row>
    <row r="58" spans="1:17" ht="22.5" customHeight="1" x14ac:dyDescent="0.25">
      <c r="A58" s="457">
        <v>55</v>
      </c>
      <c r="B58" s="477" t="s">
        <v>337</v>
      </c>
      <c r="C58" s="459">
        <v>4.88</v>
      </c>
      <c r="D58" s="458">
        <v>5</v>
      </c>
      <c r="E58" s="458">
        <v>4</v>
      </c>
      <c r="F58" s="458">
        <v>0</v>
      </c>
      <c r="G58" s="458">
        <v>25</v>
      </c>
      <c r="H58" s="460">
        <v>170</v>
      </c>
      <c r="I58" s="460">
        <v>0</v>
      </c>
      <c r="J58" s="460">
        <v>195</v>
      </c>
      <c r="K58" s="461">
        <v>0.2</v>
      </c>
      <c r="L58" s="462">
        <v>0.8</v>
      </c>
      <c r="M58" s="462">
        <v>0</v>
      </c>
      <c r="N58" s="463">
        <v>34.840000000000003</v>
      </c>
      <c r="O58" s="464">
        <v>0.82</v>
      </c>
      <c r="P58" s="464">
        <v>0</v>
      </c>
      <c r="Q58" s="465">
        <v>0.33</v>
      </c>
    </row>
    <row r="59" spans="1:17" ht="22.5" customHeight="1" x14ac:dyDescent="0.25">
      <c r="A59" s="457">
        <v>56</v>
      </c>
      <c r="B59" s="477" t="s">
        <v>379</v>
      </c>
      <c r="C59" s="459">
        <v>6.2359999999999998</v>
      </c>
      <c r="D59" s="458">
        <v>4</v>
      </c>
      <c r="E59" s="458">
        <v>4</v>
      </c>
      <c r="F59" s="458">
        <v>0</v>
      </c>
      <c r="G59" s="458">
        <v>20</v>
      </c>
      <c r="H59" s="460">
        <v>160</v>
      </c>
      <c r="I59" s="460">
        <v>0</v>
      </c>
      <c r="J59" s="460">
        <v>160</v>
      </c>
      <c r="K59" s="461">
        <v>0.2</v>
      </c>
      <c r="L59" s="462">
        <v>1</v>
      </c>
      <c r="M59" s="462">
        <v>0</v>
      </c>
      <c r="N59" s="463">
        <v>25.66</v>
      </c>
      <c r="O59" s="464">
        <v>0.64</v>
      </c>
      <c r="P59" s="464">
        <v>0</v>
      </c>
      <c r="Q59" s="465">
        <v>0.32</v>
      </c>
    </row>
    <row r="60" spans="1:17" ht="22.5" customHeight="1" x14ac:dyDescent="0.25">
      <c r="A60" s="457">
        <v>57</v>
      </c>
      <c r="B60" s="477" t="s">
        <v>305</v>
      </c>
      <c r="C60" s="459">
        <v>3.94</v>
      </c>
      <c r="D60" s="458">
        <v>4</v>
      </c>
      <c r="E60" s="458">
        <v>3</v>
      </c>
      <c r="F60" s="458">
        <v>0</v>
      </c>
      <c r="G60" s="458">
        <v>24</v>
      </c>
      <c r="H60" s="460">
        <v>175</v>
      </c>
      <c r="I60" s="460">
        <v>0</v>
      </c>
      <c r="J60" s="460">
        <v>275</v>
      </c>
      <c r="K60" s="461">
        <v>0.16669999999999999</v>
      </c>
      <c r="L60" s="462">
        <v>0.75</v>
      </c>
      <c r="M60" s="462">
        <v>0</v>
      </c>
      <c r="N60" s="463">
        <v>44.42</v>
      </c>
      <c r="O60" s="464">
        <v>0.76</v>
      </c>
      <c r="P60" s="464">
        <v>0</v>
      </c>
      <c r="Q60" s="465">
        <v>0.31</v>
      </c>
    </row>
    <row r="61" spans="1:17" ht="22.5" customHeight="1" x14ac:dyDescent="0.25">
      <c r="A61" s="457">
        <v>58</v>
      </c>
      <c r="B61" s="477" t="s">
        <v>356</v>
      </c>
      <c r="C61" s="459">
        <v>3.9319999999999999</v>
      </c>
      <c r="D61" s="458">
        <v>3</v>
      </c>
      <c r="E61" s="458">
        <v>2</v>
      </c>
      <c r="F61" s="458">
        <v>0</v>
      </c>
      <c r="G61" s="458">
        <v>25</v>
      </c>
      <c r="H61" s="460">
        <v>350</v>
      </c>
      <c r="I61" s="460">
        <v>0</v>
      </c>
      <c r="J61" s="460">
        <v>450</v>
      </c>
      <c r="K61" s="461">
        <v>0.12</v>
      </c>
      <c r="L61" s="462">
        <v>0.66669999999999996</v>
      </c>
      <c r="M61" s="462">
        <v>0</v>
      </c>
      <c r="N61" s="463">
        <v>89.01</v>
      </c>
      <c r="O61" s="464">
        <v>0.51</v>
      </c>
      <c r="P61" s="464">
        <v>0</v>
      </c>
      <c r="Q61" s="465">
        <v>0.28999999999999998</v>
      </c>
    </row>
    <row r="62" spans="1:17" ht="22.5" customHeight="1" x14ac:dyDescent="0.25">
      <c r="A62" s="457">
        <v>59</v>
      </c>
      <c r="B62" s="477" t="s">
        <v>392</v>
      </c>
      <c r="C62" s="459">
        <v>1.0920000000000001</v>
      </c>
      <c r="D62" s="458">
        <v>1</v>
      </c>
      <c r="E62" s="458">
        <v>1</v>
      </c>
      <c r="F62" s="458">
        <v>0</v>
      </c>
      <c r="G62" s="458">
        <v>10</v>
      </c>
      <c r="H62" s="460">
        <v>2</v>
      </c>
      <c r="I62" s="460">
        <v>0</v>
      </c>
      <c r="J62" s="460">
        <v>2</v>
      </c>
      <c r="K62" s="461">
        <v>0.1</v>
      </c>
      <c r="L62" s="462">
        <v>1</v>
      </c>
      <c r="M62" s="462">
        <v>0</v>
      </c>
      <c r="N62" s="463">
        <v>1.83</v>
      </c>
      <c r="O62" s="464">
        <v>0.92</v>
      </c>
      <c r="P62" s="464">
        <v>0</v>
      </c>
      <c r="Q62" s="465">
        <v>0.28999999999999998</v>
      </c>
    </row>
    <row r="63" spans="1:17" ht="22.5" customHeight="1" x14ac:dyDescent="0.25">
      <c r="A63" s="457">
        <v>60</v>
      </c>
      <c r="B63" s="477" t="s">
        <v>428</v>
      </c>
      <c r="C63" s="459">
        <v>1.4179999999999999</v>
      </c>
      <c r="D63" s="458">
        <v>1</v>
      </c>
      <c r="E63" s="458">
        <v>1</v>
      </c>
      <c r="F63" s="458">
        <v>0</v>
      </c>
      <c r="G63" s="458">
        <v>6</v>
      </c>
      <c r="H63" s="460">
        <v>5</v>
      </c>
      <c r="I63" s="460">
        <v>0</v>
      </c>
      <c r="J63" s="460">
        <v>5</v>
      </c>
      <c r="K63" s="461">
        <v>0.16669999999999999</v>
      </c>
      <c r="L63" s="462">
        <v>1</v>
      </c>
      <c r="M63" s="462">
        <v>0</v>
      </c>
      <c r="N63" s="463">
        <v>3.53</v>
      </c>
      <c r="O63" s="464">
        <v>0.71</v>
      </c>
      <c r="P63" s="464">
        <v>0</v>
      </c>
      <c r="Q63" s="465">
        <v>0.28000000000000003</v>
      </c>
    </row>
    <row r="64" spans="1:17" ht="22.5" customHeight="1" x14ac:dyDescent="0.25">
      <c r="A64" s="457">
        <v>61</v>
      </c>
      <c r="B64" s="477" t="s">
        <v>362</v>
      </c>
      <c r="C64" s="459">
        <v>6.9560000000000004</v>
      </c>
      <c r="D64" s="458">
        <v>9</v>
      </c>
      <c r="E64" s="458">
        <v>5</v>
      </c>
      <c r="F64" s="458">
        <v>0</v>
      </c>
      <c r="G64" s="458">
        <v>54</v>
      </c>
      <c r="H64" s="460">
        <v>360</v>
      </c>
      <c r="I64" s="460">
        <v>0</v>
      </c>
      <c r="J64" s="460">
        <v>555</v>
      </c>
      <c r="K64" s="461">
        <v>0.16669999999999999</v>
      </c>
      <c r="L64" s="462">
        <v>0.55559999999999998</v>
      </c>
      <c r="M64" s="462">
        <v>0</v>
      </c>
      <c r="N64" s="463">
        <v>51.75</v>
      </c>
      <c r="O64" s="464">
        <v>0.72</v>
      </c>
      <c r="P64" s="464">
        <v>0</v>
      </c>
      <c r="Q64" s="465">
        <v>0.27</v>
      </c>
    </row>
    <row r="65" spans="1:17" ht="22.5" customHeight="1" x14ac:dyDescent="0.25">
      <c r="A65" s="457">
        <v>62</v>
      </c>
      <c r="B65" s="477" t="s">
        <v>318</v>
      </c>
      <c r="C65" s="459">
        <v>3.48</v>
      </c>
      <c r="D65" s="458">
        <v>2</v>
      </c>
      <c r="E65" s="458">
        <v>2</v>
      </c>
      <c r="F65" s="458">
        <v>0</v>
      </c>
      <c r="G65" s="458">
        <v>28</v>
      </c>
      <c r="H65" s="460">
        <v>60</v>
      </c>
      <c r="I65" s="460">
        <v>0</v>
      </c>
      <c r="J65" s="460">
        <v>60</v>
      </c>
      <c r="K65" s="461">
        <v>7.1400000000000005E-2</v>
      </c>
      <c r="L65" s="462">
        <v>1</v>
      </c>
      <c r="M65" s="462">
        <v>0</v>
      </c>
      <c r="N65" s="463">
        <v>17.239999999999998</v>
      </c>
      <c r="O65" s="464">
        <v>0.56999999999999995</v>
      </c>
      <c r="P65" s="464">
        <v>0</v>
      </c>
      <c r="Q65" s="465">
        <v>0.26</v>
      </c>
    </row>
    <row r="66" spans="1:17" ht="22.5" customHeight="1" x14ac:dyDescent="0.25">
      <c r="A66" s="457">
        <v>63</v>
      </c>
      <c r="B66" s="477" t="s">
        <v>329</v>
      </c>
      <c r="C66" s="459">
        <v>3.8809999999999998</v>
      </c>
      <c r="D66" s="458">
        <v>6</v>
      </c>
      <c r="E66" s="458">
        <v>3</v>
      </c>
      <c r="F66" s="458">
        <v>0</v>
      </c>
      <c r="G66" s="458">
        <v>29</v>
      </c>
      <c r="H66" s="460">
        <v>160</v>
      </c>
      <c r="I66" s="460">
        <v>0</v>
      </c>
      <c r="J66" s="460">
        <v>285</v>
      </c>
      <c r="K66" s="461">
        <v>0.2069</v>
      </c>
      <c r="L66" s="462">
        <v>0.5</v>
      </c>
      <c r="M66" s="462">
        <v>0</v>
      </c>
      <c r="N66" s="463">
        <v>41.23</v>
      </c>
      <c r="O66" s="464">
        <v>0.77</v>
      </c>
      <c r="P66" s="464">
        <v>0</v>
      </c>
      <c r="Q66" s="465">
        <v>0.26</v>
      </c>
    </row>
    <row r="67" spans="1:17" ht="22.5" customHeight="1" x14ac:dyDescent="0.25">
      <c r="A67" s="457">
        <v>64</v>
      </c>
      <c r="B67" s="477" t="s">
        <v>352</v>
      </c>
      <c r="C67" s="459">
        <v>4.056</v>
      </c>
      <c r="D67" s="458">
        <v>4</v>
      </c>
      <c r="E67" s="458">
        <v>3</v>
      </c>
      <c r="F67" s="458">
        <v>0</v>
      </c>
      <c r="G67" s="458">
        <v>33</v>
      </c>
      <c r="H67" s="460">
        <v>60</v>
      </c>
      <c r="I67" s="460">
        <v>0</v>
      </c>
      <c r="J67" s="460">
        <v>85</v>
      </c>
      <c r="K67" s="461">
        <v>0.1212</v>
      </c>
      <c r="L67" s="462">
        <v>0.75</v>
      </c>
      <c r="M67" s="462">
        <v>0</v>
      </c>
      <c r="N67" s="463">
        <v>14.79</v>
      </c>
      <c r="O67" s="464">
        <v>0.74</v>
      </c>
      <c r="P67" s="464">
        <v>0</v>
      </c>
      <c r="Q67" s="465">
        <v>0.25</v>
      </c>
    </row>
    <row r="68" spans="1:17" ht="22.5" customHeight="1" x14ac:dyDescent="0.25">
      <c r="A68" s="457">
        <v>65</v>
      </c>
      <c r="B68" s="477" t="s">
        <v>341</v>
      </c>
      <c r="C68" s="459">
        <v>1.8580000000000001</v>
      </c>
      <c r="D68" s="458">
        <v>1</v>
      </c>
      <c r="E68" s="458">
        <v>1</v>
      </c>
      <c r="F68" s="458">
        <v>0</v>
      </c>
      <c r="G68" s="458">
        <v>17</v>
      </c>
      <c r="H68" s="460">
        <v>1</v>
      </c>
      <c r="I68" s="460">
        <v>0</v>
      </c>
      <c r="J68" s="460">
        <v>1</v>
      </c>
      <c r="K68" s="461">
        <v>5.8799999999999998E-2</v>
      </c>
      <c r="L68" s="462">
        <v>1</v>
      </c>
      <c r="M68" s="462">
        <v>0</v>
      </c>
      <c r="N68" s="463">
        <v>0.54</v>
      </c>
      <c r="O68" s="464">
        <v>0.54</v>
      </c>
      <c r="P68" s="464">
        <v>0</v>
      </c>
      <c r="Q68" s="465">
        <v>0.23</v>
      </c>
    </row>
    <row r="69" spans="1:17" ht="22.5" customHeight="1" x14ac:dyDescent="0.25">
      <c r="A69" s="457">
        <v>66</v>
      </c>
      <c r="B69" s="477" t="s">
        <v>397</v>
      </c>
      <c r="C69" s="459">
        <v>6.0339999999999998</v>
      </c>
      <c r="D69" s="458">
        <v>2</v>
      </c>
      <c r="E69" s="458">
        <v>2</v>
      </c>
      <c r="F69" s="458">
        <v>0</v>
      </c>
      <c r="G69" s="458">
        <v>35</v>
      </c>
      <c r="H69" s="460">
        <v>11</v>
      </c>
      <c r="I69" s="460">
        <v>0</v>
      </c>
      <c r="J69" s="460">
        <v>11</v>
      </c>
      <c r="K69" s="461">
        <v>5.7099999999999998E-2</v>
      </c>
      <c r="L69" s="462">
        <v>1</v>
      </c>
      <c r="M69" s="462">
        <v>0</v>
      </c>
      <c r="N69" s="463">
        <v>1.82</v>
      </c>
      <c r="O69" s="464">
        <v>0.33</v>
      </c>
      <c r="P69" s="464">
        <v>0</v>
      </c>
      <c r="Q69" s="465">
        <v>0.21</v>
      </c>
    </row>
    <row r="70" spans="1:17" ht="22.5" customHeight="1" x14ac:dyDescent="0.25">
      <c r="A70" s="457">
        <v>67</v>
      </c>
      <c r="B70" s="477" t="s">
        <v>400</v>
      </c>
      <c r="C70" s="459">
        <v>4.9820000000000002</v>
      </c>
      <c r="D70" s="458">
        <v>8</v>
      </c>
      <c r="E70" s="458">
        <v>3</v>
      </c>
      <c r="F70" s="458">
        <v>0</v>
      </c>
      <c r="G70" s="458">
        <v>38</v>
      </c>
      <c r="H70" s="460">
        <v>70</v>
      </c>
      <c r="I70" s="460">
        <v>0</v>
      </c>
      <c r="J70" s="460">
        <v>445</v>
      </c>
      <c r="K70" s="461">
        <v>0.21049999999999999</v>
      </c>
      <c r="L70" s="462">
        <v>0.375</v>
      </c>
      <c r="M70" s="462">
        <v>0</v>
      </c>
      <c r="N70" s="463">
        <v>14.05</v>
      </c>
      <c r="O70" s="464">
        <v>0.6</v>
      </c>
      <c r="P70" s="464">
        <v>0</v>
      </c>
      <c r="Q70" s="465">
        <v>0.18</v>
      </c>
    </row>
    <row r="71" spans="1:17" ht="22.5" customHeight="1" x14ac:dyDescent="0.25">
      <c r="A71" s="457">
        <v>68</v>
      </c>
      <c r="B71" s="477" t="s">
        <v>333</v>
      </c>
      <c r="C71" s="459">
        <v>3.0190000000000001</v>
      </c>
      <c r="D71" s="458">
        <v>5</v>
      </c>
      <c r="E71" s="458">
        <v>1</v>
      </c>
      <c r="F71" s="458">
        <v>0</v>
      </c>
      <c r="G71" s="458">
        <v>15</v>
      </c>
      <c r="H71" s="460">
        <v>25</v>
      </c>
      <c r="I71" s="460">
        <v>0</v>
      </c>
      <c r="J71" s="460">
        <v>225</v>
      </c>
      <c r="K71" s="461">
        <v>0.33329999999999999</v>
      </c>
      <c r="L71" s="462">
        <v>0.2</v>
      </c>
      <c r="M71" s="462">
        <v>0</v>
      </c>
      <c r="N71" s="463">
        <v>8.2799999999999994</v>
      </c>
      <c r="O71" s="464">
        <v>0.33</v>
      </c>
      <c r="P71" s="464">
        <v>0</v>
      </c>
      <c r="Q71" s="465">
        <v>0.18</v>
      </c>
    </row>
    <row r="72" spans="1:17" ht="22.5" customHeight="1" x14ac:dyDescent="0.25">
      <c r="A72" s="457">
        <v>69</v>
      </c>
      <c r="B72" s="477" t="s">
        <v>271</v>
      </c>
      <c r="C72" s="459">
        <v>4.2480000000000002</v>
      </c>
      <c r="D72" s="458">
        <v>4</v>
      </c>
      <c r="E72" s="458">
        <v>1</v>
      </c>
      <c r="F72" s="458">
        <v>0</v>
      </c>
      <c r="G72" s="458">
        <v>12</v>
      </c>
      <c r="H72" s="460">
        <v>50</v>
      </c>
      <c r="I72" s="460">
        <v>0</v>
      </c>
      <c r="J72" s="460">
        <v>165</v>
      </c>
      <c r="K72" s="461">
        <v>0.33329999999999999</v>
      </c>
      <c r="L72" s="462">
        <v>0.25</v>
      </c>
      <c r="M72" s="462">
        <v>0</v>
      </c>
      <c r="N72" s="463">
        <v>11.77</v>
      </c>
      <c r="O72" s="464">
        <v>0.24</v>
      </c>
      <c r="P72" s="464">
        <v>0</v>
      </c>
      <c r="Q72" s="465">
        <v>0.17</v>
      </c>
    </row>
    <row r="73" spans="1:17" ht="22.5" customHeight="1" x14ac:dyDescent="0.25">
      <c r="A73" s="457">
        <v>70</v>
      </c>
      <c r="B73" s="477" t="s">
        <v>367</v>
      </c>
      <c r="C73" s="459">
        <v>7.1310000000000002</v>
      </c>
      <c r="D73" s="458">
        <v>8</v>
      </c>
      <c r="E73" s="458">
        <v>4</v>
      </c>
      <c r="F73" s="458">
        <v>0</v>
      </c>
      <c r="G73" s="458">
        <v>58</v>
      </c>
      <c r="H73" s="460">
        <v>86</v>
      </c>
      <c r="I73" s="460">
        <v>0</v>
      </c>
      <c r="J73" s="460">
        <v>281</v>
      </c>
      <c r="K73" s="461">
        <v>0.13789999999999999</v>
      </c>
      <c r="L73" s="462">
        <v>0.5</v>
      </c>
      <c r="M73" s="462">
        <v>0</v>
      </c>
      <c r="N73" s="463">
        <v>12.06</v>
      </c>
      <c r="O73" s="464">
        <v>0.56000000000000005</v>
      </c>
      <c r="P73" s="464">
        <v>0</v>
      </c>
      <c r="Q73" s="465">
        <v>0.17</v>
      </c>
    </row>
    <row r="74" spans="1:17" ht="22.5" customHeight="1" x14ac:dyDescent="0.25">
      <c r="A74" s="457">
        <v>71</v>
      </c>
      <c r="B74" s="477" t="s">
        <v>301</v>
      </c>
      <c r="C74" s="459">
        <v>4.0679999999999996</v>
      </c>
      <c r="D74" s="458">
        <v>5</v>
      </c>
      <c r="E74" s="458">
        <v>2</v>
      </c>
      <c r="F74" s="458">
        <v>0</v>
      </c>
      <c r="G74" s="458">
        <v>25</v>
      </c>
      <c r="H74" s="460">
        <v>75</v>
      </c>
      <c r="I74" s="460">
        <v>0</v>
      </c>
      <c r="J74" s="460">
        <v>185</v>
      </c>
      <c r="K74" s="461">
        <v>0.2</v>
      </c>
      <c r="L74" s="462">
        <v>0.4</v>
      </c>
      <c r="M74" s="462">
        <v>0</v>
      </c>
      <c r="N74" s="463">
        <v>18.440000000000001</v>
      </c>
      <c r="O74" s="464">
        <v>0.49</v>
      </c>
      <c r="P74" s="464">
        <v>0</v>
      </c>
      <c r="Q74" s="465">
        <v>0.17</v>
      </c>
    </row>
    <row r="75" spans="1:17" ht="22.5" customHeight="1" x14ac:dyDescent="0.25">
      <c r="A75" s="457">
        <v>72</v>
      </c>
      <c r="B75" s="477" t="s">
        <v>286</v>
      </c>
      <c r="C75" s="459">
        <v>4.1630000000000003</v>
      </c>
      <c r="D75" s="458">
        <v>6</v>
      </c>
      <c r="E75" s="458">
        <v>1</v>
      </c>
      <c r="F75" s="458">
        <v>0</v>
      </c>
      <c r="G75" s="458">
        <v>20</v>
      </c>
      <c r="H75" s="460">
        <v>10</v>
      </c>
      <c r="I75" s="460">
        <v>0</v>
      </c>
      <c r="J75" s="460">
        <v>330</v>
      </c>
      <c r="K75" s="461">
        <v>0.3</v>
      </c>
      <c r="L75" s="462">
        <v>0.16669999999999999</v>
      </c>
      <c r="M75" s="462">
        <v>0</v>
      </c>
      <c r="N75" s="463">
        <v>2.4</v>
      </c>
      <c r="O75" s="464">
        <v>0.24</v>
      </c>
      <c r="P75" s="464">
        <v>0</v>
      </c>
      <c r="Q75" s="465">
        <v>0.15</v>
      </c>
    </row>
    <row r="76" spans="1:17" ht="22.5" customHeight="1" x14ac:dyDescent="0.25">
      <c r="A76" s="457">
        <v>73</v>
      </c>
      <c r="B76" s="477" t="s">
        <v>385</v>
      </c>
      <c r="C76" s="459">
        <v>6.1689999999999996</v>
      </c>
      <c r="D76" s="458">
        <v>5</v>
      </c>
      <c r="E76" s="458">
        <v>2</v>
      </c>
      <c r="F76" s="458">
        <v>0</v>
      </c>
      <c r="G76" s="458">
        <v>27</v>
      </c>
      <c r="H76" s="460">
        <v>35</v>
      </c>
      <c r="I76" s="460">
        <v>0</v>
      </c>
      <c r="J76" s="460">
        <v>145</v>
      </c>
      <c r="K76" s="461">
        <v>0.1852</v>
      </c>
      <c r="L76" s="462">
        <v>0.4</v>
      </c>
      <c r="M76" s="462">
        <v>0</v>
      </c>
      <c r="N76" s="463">
        <v>5.67</v>
      </c>
      <c r="O76" s="464">
        <v>0.32</v>
      </c>
      <c r="P76" s="464">
        <v>0</v>
      </c>
      <c r="Q76" s="465">
        <v>0.13</v>
      </c>
    </row>
    <row r="77" spans="1:17" ht="22.5" customHeight="1" x14ac:dyDescent="0.25">
      <c r="A77" s="457">
        <v>74</v>
      </c>
      <c r="B77" s="477" t="s">
        <v>423</v>
      </c>
      <c r="C77" s="459">
        <v>5.4329999999999998</v>
      </c>
      <c r="D77" s="458">
        <v>6</v>
      </c>
      <c r="E77" s="458">
        <v>1</v>
      </c>
      <c r="F77" s="458">
        <v>0</v>
      </c>
      <c r="G77" s="458">
        <v>32</v>
      </c>
      <c r="H77" s="460">
        <v>5</v>
      </c>
      <c r="I77" s="460">
        <v>0</v>
      </c>
      <c r="J77" s="460">
        <v>170</v>
      </c>
      <c r="K77" s="461">
        <v>0.1875</v>
      </c>
      <c r="L77" s="462">
        <v>0.16669999999999999</v>
      </c>
      <c r="M77" s="462">
        <v>0</v>
      </c>
      <c r="N77" s="463">
        <v>0.92</v>
      </c>
      <c r="O77" s="464">
        <v>0.18</v>
      </c>
      <c r="P77" s="464">
        <v>0</v>
      </c>
      <c r="Q77" s="465">
        <v>0.1</v>
      </c>
    </row>
    <row r="78" spans="1:17" ht="22.5" customHeight="1" x14ac:dyDescent="0.25">
      <c r="A78" s="457">
        <v>75</v>
      </c>
      <c r="B78" s="477" t="s">
        <v>314</v>
      </c>
      <c r="C78" s="459">
        <v>0.25900000000000001</v>
      </c>
      <c r="D78" s="458">
        <v>0</v>
      </c>
      <c r="E78" s="458">
        <v>0</v>
      </c>
      <c r="F78" s="458">
        <v>0</v>
      </c>
      <c r="G78" s="458">
        <v>3</v>
      </c>
      <c r="H78" s="460">
        <v>0</v>
      </c>
      <c r="I78" s="460">
        <v>0</v>
      </c>
      <c r="J78" s="460">
        <v>0</v>
      </c>
      <c r="K78" s="461">
        <v>0</v>
      </c>
      <c r="L78" s="462">
        <v>0</v>
      </c>
      <c r="M78" s="462">
        <v>0</v>
      </c>
      <c r="N78" s="463">
        <v>0</v>
      </c>
      <c r="O78" s="464">
        <v>0</v>
      </c>
      <c r="P78" s="464">
        <v>0</v>
      </c>
      <c r="Q78" s="465">
        <v>0.01</v>
      </c>
    </row>
    <row r="79" spans="1:17" ht="22.5" customHeight="1" x14ac:dyDescent="0.25">
      <c r="A79" s="457">
        <v>76</v>
      </c>
      <c r="B79" s="477" t="s">
        <v>316</v>
      </c>
      <c r="C79" s="459">
        <v>1.181</v>
      </c>
      <c r="D79" s="458">
        <v>0</v>
      </c>
      <c r="E79" s="458">
        <v>0</v>
      </c>
      <c r="F79" s="458">
        <v>0</v>
      </c>
      <c r="G79" s="458">
        <v>1</v>
      </c>
      <c r="H79" s="460">
        <v>0</v>
      </c>
      <c r="I79" s="460">
        <v>0</v>
      </c>
      <c r="J79" s="460">
        <v>0</v>
      </c>
      <c r="K79" s="461">
        <v>0</v>
      </c>
      <c r="L79" s="462">
        <v>0</v>
      </c>
      <c r="M79" s="462">
        <v>0</v>
      </c>
      <c r="N79" s="463">
        <v>0</v>
      </c>
      <c r="O79" s="464">
        <v>0</v>
      </c>
      <c r="P79" s="464">
        <v>0</v>
      </c>
      <c r="Q79" s="465">
        <v>0.01</v>
      </c>
    </row>
    <row r="80" spans="1:17" ht="22.5" customHeight="1" x14ac:dyDescent="0.25">
      <c r="A80" s="457">
        <v>77</v>
      </c>
      <c r="B80" s="477" t="s">
        <v>328</v>
      </c>
      <c r="C80" s="459">
        <v>2.6989999999999998</v>
      </c>
      <c r="D80" s="458">
        <v>0</v>
      </c>
      <c r="E80" s="458">
        <v>0</v>
      </c>
      <c r="F80" s="458">
        <v>0</v>
      </c>
      <c r="G80" s="458">
        <v>8</v>
      </c>
      <c r="H80" s="460">
        <v>0</v>
      </c>
      <c r="I80" s="460">
        <v>0</v>
      </c>
      <c r="J80" s="460">
        <v>0</v>
      </c>
      <c r="K80" s="461">
        <v>0</v>
      </c>
      <c r="L80" s="462">
        <v>0</v>
      </c>
      <c r="M80" s="462">
        <v>0</v>
      </c>
      <c r="N80" s="463">
        <v>0</v>
      </c>
      <c r="O80" s="464">
        <v>0</v>
      </c>
      <c r="P80" s="464">
        <v>0</v>
      </c>
      <c r="Q80" s="465">
        <v>0.01</v>
      </c>
    </row>
    <row r="81" spans="1:17" ht="22.5" customHeight="1" x14ac:dyDescent="0.25">
      <c r="A81" s="457">
        <v>78</v>
      </c>
      <c r="B81" s="477" t="s">
        <v>330</v>
      </c>
      <c r="C81" s="459">
        <v>0.25900000000000001</v>
      </c>
      <c r="D81" s="458">
        <v>0</v>
      </c>
      <c r="E81" s="458">
        <v>0</v>
      </c>
      <c r="F81" s="458">
        <v>0</v>
      </c>
      <c r="G81" s="458">
        <v>3</v>
      </c>
      <c r="H81" s="460">
        <v>0</v>
      </c>
      <c r="I81" s="460">
        <v>0</v>
      </c>
      <c r="J81" s="460">
        <v>0</v>
      </c>
      <c r="K81" s="461">
        <v>0</v>
      </c>
      <c r="L81" s="462">
        <v>0</v>
      </c>
      <c r="M81" s="462">
        <v>0</v>
      </c>
      <c r="N81" s="463">
        <v>0</v>
      </c>
      <c r="O81" s="464">
        <v>0</v>
      </c>
      <c r="P81" s="464">
        <v>0</v>
      </c>
      <c r="Q81" s="465">
        <v>0.01</v>
      </c>
    </row>
    <row r="82" spans="1:17" ht="22.5" customHeight="1" x14ac:dyDescent="0.25">
      <c r="A82" s="457" t="s">
        <v>171</v>
      </c>
      <c r="B82" s="478" t="s">
        <v>3</v>
      </c>
      <c r="C82" s="467">
        <v>335.108</v>
      </c>
      <c r="D82" s="466">
        <v>581</v>
      </c>
      <c r="E82" s="466">
        <v>321</v>
      </c>
      <c r="F82" s="466">
        <v>28</v>
      </c>
      <c r="G82" s="468">
        <v>1882</v>
      </c>
      <c r="H82" s="469">
        <v>18915</v>
      </c>
      <c r="I82" s="469">
        <v>3750</v>
      </c>
      <c r="J82" s="469">
        <v>35315</v>
      </c>
      <c r="K82" s="470">
        <v>0.30869999999999997</v>
      </c>
      <c r="L82" s="479">
        <v>0.60070000000000001</v>
      </c>
      <c r="M82" s="479">
        <v>0.1077</v>
      </c>
      <c r="N82" s="480">
        <v>67.63</v>
      </c>
      <c r="O82" s="481">
        <v>1.04</v>
      </c>
      <c r="P82" s="481">
        <v>0.08</v>
      </c>
      <c r="Q82" s="482" t="s">
        <v>171</v>
      </c>
    </row>
  </sheetData>
  <sortState ref="B3:R80">
    <sortCondition descending="1" ref="Q3"/>
  </sortState>
  <mergeCells count="3">
    <mergeCell ref="A2:A3"/>
    <mergeCell ref="B2:B3"/>
    <mergeCell ref="F1:L1"/>
  </mergeCells>
  <pageMargins left="0.25" right="0.25" top="0.25" bottom="0.5" header="0.25" footer="0.25"/>
  <pageSetup orientation="portrait" cellComments="atEnd"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tabColor rgb="FF0070C0"/>
  </sheetPr>
  <dimension ref="A1:Q81"/>
  <sheetViews>
    <sheetView topLeftCell="A36" workbookViewId="0">
      <selection activeCell="B41" sqref="B41"/>
    </sheetView>
  </sheetViews>
  <sheetFormatPr defaultRowHeight="22.5" customHeight="1" x14ac:dyDescent="0.25"/>
  <cols>
    <col min="1" max="1" width="6" style="93" bestFit="1" customWidth="1"/>
    <col min="2" max="2" width="21.5703125" style="94" bestFit="1" customWidth="1"/>
    <col min="3" max="3" width="8.28515625" style="93" bestFit="1" customWidth="1"/>
    <col min="4" max="4" width="6" style="93" bestFit="1" customWidth="1"/>
    <col min="5" max="5" width="10.28515625" style="93" bestFit="1" customWidth="1"/>
    <col min="6" max="6" width="10.42578125" style="93" bestFit="1" customWidth="1"/>
    <col min="7" max="7" width="8.42578125" style="93" bestFit="1" customWidth="1"/>
    <col min="8" max="8" width="12" style="93" bestFit="1" customWidth="1"/>
    <col min="9" max="9" width="10.42578125" style="93" bestFit="1" customWidth="1"/>
    <col min="10" max="10" width="12" style="93" bestFit="1" customWidth="1"/>
    <col min="11" max="11" width="13.42578125" style="93" bestFit="1" customWidth="1"/>
    <col min="12" max="12" width="11.42578125" style="93" bestFit="1" customWidth="1"/>
    <col min="13" max="13" width="10.42578125" style="93" bestFit="1" customWidth="1"/>
    <col min="14" max="14" width="11.85546875" style="93" bestFit="1" customWidth="1"/>
    <col min="15" max="15" width="11.42578125" style="93" bestFit="1" customWidth="1"/>
    <col min="16" max="16" width="10.42578125" style="93" bestFit="1" customWidth="1"/>
    <col min="17" max="17" width="12.28515625" style="93" bestFit="1" customWidth="1"/>
    <col min="18" max="16384" width="9.140625" style="93"/>
  </cols>
  <sheetData>
    <row r="1" spans="1:17" ht="22.5" customHeight="1" x14ac:dyDescent="0.25">
      <c r="F1" s="654"/>
      <c r="G1" s="654"/>
      <c r="H1" s="654"/>
      <c r="I1" s="654"/>
      <c r="J1" s="654"/>
      <c r="K1" s="654"/>
      <c r="L1" s="654"/>
    </row>
    <row r="2" spans="1:17" ht="22.5" customHeight="1" x14ac:dyDescent="0.25">
      <c r="A2" s="651" t="s">
        <v>172</v>
      </c>
      <c r="B2" s="608" t="s">
        <v>7</v>
      </c>
      <c r="C2" s="497" t="s">
        <v>173</v>
      </c>
      <c r="D2" s="498" t="s">
        <v>3</v>
      </c>
      <c r="E2" s="498" t="s">
        <v>176</v>
      </c>
      <c r="F2" s="498" t="s">
        <v>166</v>
      </c>
      <c r="G2" s="498" t="s">
        <v>8</v>
      </c>
      <c r="H2" s="498" t="s">
        <v>176</v>
      </c>
      <c r="I2" s="498" t="s">
        <v>166</v>
      </c>
      <c r="J2" s="498" t="s">
        <v>3</v>
      </c>
      <c r="K2" s="498" t="s">
        <v>21</v>
      </c>
      <c r="L2" s="498" t="s">
        <v>164</v>
      </c>
      <c r="M2" s="498" t="s">
        <v>166</v>
      </c>
      <c r="N2" s="498" t="s">
        <v>164</v>
      </c>
      <c r="O2" s="498" t="s">
        <v>164</v>
      </c>
      <c r="P2" s="498" t="s">
        <v>166</v>
      </c>
      <c r="Q2" s="499" t="s">
        <v>169</v>
      </c>
    </row>
    <row r="3" spans="1:17" ht="22.5" customHeight="1" x14ac:dyDescent="0.25">
      <c r="A3" s="652"/>
      <c r="B3" s="653"/>
      <c r="C3" s="500" t="s">
        <v>174</v>
      </c>
      <c r="D3" s="501" t="s">
        <v>175</v>
      </c>
      <c r="E3" s="501" t="s">
        <v>175</v>
      </c>
      <c r="F3" s="501" t="s">
        <v>175</v>
      </c>
      <c r="G3" s="501" t="s">
        <v>12</v>
      </c>
      <c r="H3" s="501" t="s">
        <v>9</v>
      </c>
      <c r="I3" s="501" t="s">
        <v>9</v>
      </c>
      <c r="J3" s="501" t="s">
        <v>9</v>
      </c>
      <c r="K3" s="501" t="s">
        <v>13</v>
      </c>
      <c r="L3" s="501" t="s">
        <v>165</v>
      </c>
      <c r="M3" s="501" t="s">
        <v>165</v>
      </c>
      <c r="N3" s="501" t="s">
        <v>167</v>
      </c>
      <c r="O3" s="501" t="s">
        <v>168</v>
      </c>
      <c r="P3" s="501" t="s">
        <v>168</v>
      </c>
      <c r="Q3" s="502" t="s">
        <v>170</v>
      </c>
    </row>
    <row r="4" spans="1:17" ht="22.5" customHeight="1" x14ac:dyDescent="0.25">
      <c r="A4" s="483">
        <v>1</v>
      </c>
      <c r="B4" s="503" t="s">
        <v>355</v>
      </c>
      <c r="C4" s="485">
        <v>1.958</v>
      </c>
      <c r="D4" s="484">
        <v>5</v>
      </c>
      <c r="E4" s="484">
        <v>4</v>
      </c>
      <c r="F4" s="484">
        <v>1</v>
      </c>
      <c r="G4" s="484">
        <v>19</v>
      </c>
      <c r="H4" s="486">
        <v>21</v>
      </c>
      <c r="I4" s="486">
        <v>15</v>
      </c>
      <c r="J4" s="486">
        <v>36</v>
      </c>
      <c r="K4" s="487">
        <v>0.26319999999999999</v>
      </c>
      <c r="L4" s="488">
        <v>1</v>
      </c>
      <c r="M4" s="488">
        <v>1</v>
      </c>
      <c r="N4" s="489">
        <v>18.39</v>
      </c>
      <c r="O4" s="490">
        <v>2.5499999999999998</v>
      </c>
      <c r="P4" s="490">
        <v>0.51</v>
      </c>
      <c r="Q4" s="491">
        <v>0.8</v>
      </c>
    </row>
    <row r="5" spans="1:17" ht="22.5" customHeight="1" x14ac:dyDescent="0.25">
      <c r="A5" s="483">
        <v>2</v>
      </c>
      <c r="B5" s="503" t="s">
        <v>403</v>
      </c>
      <c r="C5" s="485">
        <v>6.4370000000000003</v>
      </c>
      <c r="D5" s="484">
        <v>10</v>
      </c>
      <c r="E5" s="484">
        <v>8</v>
      </c>
      <c r="F5" s="484">
        <v>1</v>
      </c>
      <c r="G5" s="484">
        <v>43</v>
      </c>
      <c r="H5" s="486">
        <v>62</v>
      </c>
      <c r="I5" s="486">
        <v>60</v>
      </c>
      <c r="J5" s="486">
        <v>127</v>
      </c>
      <c r="K5" s="487">
        <v>0.2326</v>
      </c>
      <c r="L5" s="488">
        <v>0.9</v>
      </c>
      <c r="M5" s="488">
        <v>0.5</v>
      </c>
      <c r="N5" s="489">
        <v>18.95</v>
      </c>
      <c r="O5" s="490">
        <v>1.4</v>
      </c>
      <c r="P5" s="490">
        <v>0.16</v>
      </c>
      <c r="Q5" s="491">
        <v>0.76</v>
      </c>
    </row>
    <row r="6" spans="1:17" ht="22.5" customHeight="1" x14ac:dyDescent="0.25">
      <c r="A6" s="483">
        <v>3</v>
      </c>
      <c r="B6" s="503" t="s">
        <v>392</v>
      </c>
      <c r="C6" s="485">
        <v>0.39100000000000001</v>
      </c>
      <c r="D6" s="484">
        <v>1</v>
      </c>
      <c r="E6" s="484">
        <v>1</v>
      </c>
      <c r="F6" s="484">
        <v>0</v>
      </c>
      <c r="G6" s="484">
        <v>5</v>
      </c>
      <c r="H6" s="486">
        <v>10</v>
      </c>
      <c r="I6" s="486">
        <v>0</v>
      </c>
      <c r="J6" s="486">
        <v>10</v>
      </c>
      <c r="K6" s="487">
        <v>0.2</v>
      </c>
      <c r="L6" s="488">
        <v>1</v>
      </c>
      <c r="M6" s="488">
        <v>0</v>
      </c>
      <c r="N6" s="489">
        <v>25.58</v>
      </c>
      <c r="O6" s="490">
        <v>2.56</v>
      </c>
      <c r="P6" s="490">
        <v>0</v>
      </c>
      <c r="Q6" s="491">
        <v>0.56999999999999995</v>
      </c>
    </row>
    <row r="7" spans="1:17" ht="22.5" customHeight="1" x14ac:dyDescent="0.25">
      <c r="A7" s="483">
        <v>4</v>
      </c>
      <c r="B7" s="503" t="s">
        <v>276</v>
      </c>
      <c r="C7" s="485">
        <v>2.1850000000000001</v>
      </c>
      <c r="D7" s="484">
        <v>4</v>
      </c>
      <c r="E7" s="484">
        <v>4</v>
      </c>
      <c r="F7" s="484">
        <v>0</v>
      </c>
      <c r="G7" s="484">
        <v>20</v>
      </c>
      <c r="H7" s="486">
        <v>45</v>
      </c>
      <c r="I7" s="486">
        <v>0</v>
      </c>
      <c r="J7" s="486">
        <v>45</v>
      </c>
      <c r="K7" s="487">
        <v>0.2</v>
      </c>
      <c r="L7" s="488">
        <v>1</v>
      </c>
      <c r="M7" s="488">
        <v>0</v>
      </c>
      <c r="N7" s="489">
        <v>20.59</v>
      </c>
      <c r="O7" s="490">
        <v>1.83</v>
      </c>
      <c r="P7" s="490">
        <v>0</v>
      </c>
      <c r="Q7" s="491">
        <v>0.55000000000000004</v>
      </c>
    </row>
    <row r="8" spans="1:17" ht="22.5" customHeight="1" x14ac:dyDescent="0.25">
      <c r="A8" s="483">
        <v>5</v>
      </c>
      <c r="B8" s="503" t="s">
        <v>291</v>
      </c>
      <c r="C8" s="485">
        <v>1.2529999999999999</v>
      </c>
      <c r="D8" s="484">
        <v>2</v>
      </c>
      <c r="E8" s="484">
        <v>2</v>
      </c>
      <c r="F8" s="484">
        <v>0</v>
      </c>
      <c r="G8" s="484">
        <v>8</v>
      </c>
      <c r="H8" s="486">
        <v>20</v>
      </c>
      <c r="I8" s="486">
        <v>0</v>
      </c>
      <c r="J8" s="486">
        <v>20</v>
      </c>
      <c r="K8" s="487">
        <v>0.25</v>
      </c>
      <c r="L8" s="488">
        <v>1</v>
      </c>
      <c r="M8" s="488">
        <v>0</v>
      </c>
      <c r="N8" s="489">
        <v>15.96</v>
      </c>
      <c r="O8" s="490">
        <v>1.6</v>
      </c>
      <c r="P8" s="490">
        <v>0</v>
      </c>
      <c r="Q8" s="491">
        <v>0.54</v>
      </c>
    </row>
    <row r="9" spans="1:17" ht="22.5" customHeight="1" x14ac:dyDescent="0.25">
      <c r="A9" s="483">
        <v>6</v>
      </c>
      <c r="B9" s="503" t="s">
        <v>274</v>
      </c>
      <c r="C9" s="485">
        <v>1.7629999999999999</v>
      </c>
      <c r="D9" s="484">
        <v>3</v>
      </c>
      <c r="E9" s="484">
        <v>3</v>
      </c>
      <c r="F9" s="484">
        <v>0</v>
      </c>
      <c r="G9" s="484">
        <v>10</v>
      </c>
      <c r="H9" s="486">
        <v>25</v>
      </c>
      <c r="I9" s="486">
        <v>0</v>
      </c>
      <c r="J9" s="486">
        <v>25</v>
      </c>
      <c r="K9" s="487">
        <v>0.3</v>
      </c>
      <c r="L9" s="488">
        <v>1</v>
      </c>
      <c r="M9" s="488">
        <v>0</v>
      </c>
      <c r="N9" s="489">
        <v>14.18</v>
      </c>
      <c r="O9" s="490">
        <v>1.7</v>
      </c>
      <c r="P9" s="490">
        <v>0</v>
      </c>
      <c r="Q9" s="491">
        <v>0.54</v>
      </c>
    </row>
    <row r="10" spans="1:17" ht="22.5" customHeight="1" x14ac:dyDescent="0.25">
      <c r="A10" s="483">
        <v>7</v>
      </c>
      <c r="B10" s="503" t="s">
        <v>277</v>
      </c>
      <c r="C10" s="485">
        <v>6.0469999999999997</v>
      </c>
      <c r="D10" s="484">
        <v>11</v>
      </c>
      <c r="E10" s="484">
        <v>11</v>
      </c>
      <c r="F10" s="484">
        <v>0</v>
      </c>
      <c r="G10" s="484">
        <v>50</v>
      </c>
      <c r="H10" s="486">
        <v>86</v>
      </c>
      <c r="I10" s="486">
        <v>0</v>
      </c>
      <c r="J10" s="486">
        <v>86</v>
      </c>
      <c r="K10" s="487">
        <v>0.22</v>
      </c>
      <c r="L10" s="488">
        <v>1</v>
      </c>
      <c r="M10" s="488">
        <v>0</v>
      </c>
      <c r="N10" s="489">
        <v>14.22</v>
      </c>
      <c r="O10" s="490">
        <v>1.82</v>
      </c>
      <c r="P10" s="490">
        <v>0</v>
      </c>
      <c r="Q10" s="491">
        <v>0.53</v>
      </c>
    </row>
    <row r="11" spans="1:17" ht="22.5" customHeight="1" x14ac:dyDescent="0.25">
      <c r="A11" s="483">
        <v>8</v>
      </c>
      <c r="B11" s="503" t="s">
        <v>356</v>
      </c>
      <c r="C11" s="485">
        <v>2.8260000000000001</v>
      </c>
      <c r="D11" s="484">
        <v>5</v>
      </c>
      <c r="E11" s="484">
        <v>5</v>
      </c>
      <c r="F11" s="484">
        <v>0</v>
      </c>
      <c r="G11" s="484">
        <v>29</v>
      </c>
      <c r="H11" s="486">
        <v>41</v>
      </c>
      <c r="I11" s="486">
        <v>0</v>
      </c>
      <c r="J11" s="486">
        <v>41</v>
      </c>
      <c r="K11" s="487">
        <v>0.1724</v>
      </c>
      <c r="L11" s="488">
        <v>1</v>
      </c>
      <c r="M11" s="488">
        <v>0</v>
      </c>
      <c r="N11" s="489">
        <v>14.51</v>
      </c>
      <c r="O11" s="490">
        <v>1.77</v>
      </c>
      <c r="P11" s="490">
        <v>0</v>
      </c>
      <c r="Q11" s="491">
        <v>0.53</v>
      </c>
    </row>
    <row r="12" spans="1:17" ht="22.5" customHeight="1" x14ac:dyDescent="0.25">
      <c r="A12" s="483">
        <v>9</v>
      </c>
      <c r="B12" s="503" t="s">
        <v>399</v>
      </c>
      <c r="C12" s="485">
        <v>6.0270000000000001</v>
      </c>
      <c r="D12" s="484">
        <v>11</v>
      </c>
      <c r="E12" s="484">
        <v>11</v>
      </c>
      <c r="F12" s="484">
        <v>0</v>
      </c>
      <c r="G12" s="484">
        <v>68</v>
      </c>
      <c r="H12" s="486">
        <v>110</v>
      </c>
      <c r="I12" s="486">
        <v>0</v>
      </c>
      <c r="J12" s="486">
        <v>110</v>
      </c>
      <c r="K12" s="487">
        <v>0.1618</v>
      </c>
      <c r="L12" s="488">
        <v>1</v>
      </c>
      <c r="M12" s="488">
        <v>0</v>
      </c>
      <c r="N12" s="489">
        <v>18.25</v>
      </c>
      <c r="O12" s="490">
        <v>1.83</v>
      </c>
      <c r="P12" s="490">
        <v>0</v>
      </c>
      <c r="Q12" s="491">
        <v>0.53</v>
      </c>
    </row>
    <row r="13" spans="1:17" ht="22.5" customHeight="1" x14ac:dyDescent="0.25">
      <c r="A13" s="483">
        <v>10</v>
      </c>
      <c r="B13" s="503" t="s">
        <v>300</v>
      </c>
      <c r="C13" s="485">
        <v>6.4420000000000002</v>
      </c>
      <c r="D13" s="484">
        <v>12</v>
      </c>
      <c r="E13" s="484">
        <v>12</v>
      </c>
      <c r="F13" s="484">
        <v>0</v>
      </c>
      <c r="G13" s="484">
        <v>74</v>
      </c>
      <c r="H13" s="486">
        <v>89</v>
      </c>
      <c r="I13" s="486">
        <v>0</v>
      </c>
      <c r="J13" s="486">
        <v>89</v>
      </c>
      <c r="K13" s="487">
        <v>0.16220000000000001</v>
      </c>
      <c r="L13" s="488">
        <v>1</v>
      </c>
      <c r="M13" s="488">
        <v>0</v>
      </c>
      <c r="N13" s="489">
        <v>13.82</v>
      </c>
      <c r="O13" s="490">
        <v>1.86</v>
      </c>
      <c r="P13" s="490">
        <v>0</v>
      </c>
      <c r="Q13" s="491">
        <v>0.52</v>
      </c>
    </row>
    <row r="14" spans="1:17" ht="22.5" customHeight="1" x14ac:dyDescent="0.25">
      <c r="A14" s="483">
        <v>11</v>
      </c>
      <c r="B14" s="503" t="s">
        <v>414</v>
      </c>
      <c r="C14" s="485">
        <v>3.121</v>
      </c>
      <c r="D14" s="484">
        <v>5</v>
      </c>
      <c r="E14" s="484">
        <v>5</v>
      </c>
      <c r="F14" s="484">
        <v>0</v>
      </c>
      <c r="G14" s="484">
        <v>37</v>
      </c>
      <c r="H14" s="486">
        <v>210</v>
      </c>
      <c r="I14" s="486">
        <v>0</v>
      </c>
      <c r="J14" s="486">
        <v>210</v>
      </c>
      <c r="K14" s="487">
        <v>0.1351</v>
      </c>
      <c r="L14" s="488">
        <v>1</v>
      </c>
      <c r="M14" s="488">
        <v>0</v>
      </c>
      <c r="N14" s="489">
        <v>67.290000000000006</v>
      </c>
      <c r="O14" s="490">
        <v>1.6</v>
      </c>
      <c r="P14" s="490">
        <v>0</v>
      </c>
      <c r="Q14" s="491">
        <v>0.51</v>
      </c>
    </row>
    <row r="15" spans="1:17" ht="22.5" customHeight="1" x14ac:dyDescent="0.25">
      <c r="A15" s="483">
        <v>12</v>
      </c>
      <c r="B15" s="503" t="s">
        <v>357</v>
      </c>
      <c r="C15" s="485">
        <v>1.968</v>
      </c>
      <c r="D15" s="484">
        <v>3</v>
      </c>
      <c r="E15" s="484">
        <v>3</v>
      </c>
      <c r="F15" s="484">
        <v>0</v>
      </c>
      <c r="G15" s="484">
        <v>12</v>
      </c>
      <c r="H15" s="486">
        <v>21</v>
      </c>
      <c r="I15" s="486">
        <v>0</v>
      </c>
      <c r="J15" s="486">
        <v>21</v>
      </c>
      <c r="K15" s="487">
        <v>0.25</v>
      </c>
      <c r="L15" s="488">
        <v>1</v>
      </c>
      <c r="M15" s="488">
        <v>0</v>
      </c>
      <c r="N15" s="489">
        <v>10.67</v>
      </c>
      <c r="O15" s="490">
        <v>1.52</v>
      </c>
      <c r="P15" s="490">
        <v>0</v>
      </c>
      <c r="Q15" s="491">
        <v>0.5</v>
      </c>
    </row>
    <row r="16" spans="1:17" ht="22.5" customHeight="1" x14ac:dyDescent="0.25">
      <c r="A16" s="483">
        <v>13</v>
      </c>
      <c r="B16" s="503" t="s">
        <v>302</v>
      </c>
      <c r="C16" s="485">
        <v>5.6909999999999998</v>
      </c>
      <c r="D16" s="484">
        <v>9</v>
      </c>
      <c r="E16" s="484">
        <v>9</v>
      </c>
      <c r="F16" s="484">
        <v>0</v>
      </c>
      <c r="G16" s="484">
        <v>58</v>
      </c>
      <c r="H16" s="486">
        <v>63</v>
      </c>
      <c r="I16" s="486">
        <v>0</v>
      </c>
      <c r="J16" s="486">
        <v>63</v>
      </c>
      <c r="K16" s="487">
        <v>0.1552</v>
      </c>
      <c r="L16" s="488">
        <v>1</v>
      </c>
      <c r="M16" s="488">
        <v>0</v>
      </c>
      <c r="N16" s="489">
        <v>11.07</v>
      </c>
      <c r="O16" s="490">
        <v>1.58</v>
      </c>
      <c r="P16" s="490">
        <v>0</v>
      </c>
      <c r="Q16" s="491">
        <v>0.48</v>
      </c>
    </row>
    <row r="17" spans="1:17" ht="22.5" customHeight="1" x14ac:dyDescent="0.25">
      <c r="A17" s="483">
        <v>14</v>
      </c>
      <c r="B17" s="503" t="s">
        <v>383</v>
      </c>
      <c r="C17" s="485">
        <v>7.8449999999999998</v>
      </c>
      <c r="D17" s="484">
        <v>12</v>
      </c>
      <c r="E17" s="484">
        <v>12</v>
      </c>
      <c r="F17" s="484">
        <v>0</v>
      </c>
      <c r="G17" s="484">
        <v>82</v>
      </c>
      <c r="H17" s="486">
        <v>97</v>
      </c>
      <c r="I17" s="486">
        <v>0</v>
      </c>
      <c r="J17" s="486">
        <v>97</v>
      </c>
      <c r="K17" s="487">
        <v>0.14630000000000001</v>
      </c>
      <c r="L17" s="488">
        <v>1</v>
      </c>
      <c r="M17" s="488">
        <v>0</v>
      </c>
      <c r="N17" s="489">
        <v>12.36</v>
      </c>
      <c r="O17" s="490">
        <v>1.53</v>
      </c>
      <c r="P17" s="490">
        <v>0</v>
      </c>
      <c r="Q17" s="491">
        <v>0.48</v>
      </c>
    </row>
    <row r="18" spans="1:17" ht="22.5" customHeight="1" x14ac:dyDescent="0.25">
      <c r="A18" s="483">
        <v>15</v>
      </c>
      <c r="B18" s="503" t="s">
        <v>341</v>
      </c>
      <c r="C18" s="485">
        <v>4.6630000000000003</v>
      </c>
      <c r="D18" s="484">
        <v>5</v>
      </c>
      <c r="E18" s="484">
        <v>5</v>
      </c>
      <c r="F18" s="484">
        <v>0</v>
      </c>
      <c r="G18" s="484">
        <v>29</v>
      </c>
      <c r="H18" s="486">
        <v>67</v>
      </c>
      <c r="I18" s="486">
        <v>0</v>
      </c>
      <c r="J18" s="486">
        <v>67</v>
      </c>
      <c r="K18" s="487">
        <v>0.1724</v>
      </c>
      <c r="L18" s="488">
        <v>1</v>
      </c>
      <c r="M18" s="488">
        <v>0</v>
      </c>
      <c r="N18" s="489">
        <v>14.37</v>
      </c>
      <c r="O18" s="490">
        <v>1.07</v>
      </c>
      <c r="P18" s="490">
        <v>0</v>
      </c>
      <c r="Q18" s="491">
        <v>0.46</v>
      </c>
    </row>
    <row r="19" spans="1:17" ht="22.5" customHeight="1" x14ac:dyDescent="0.25">
      <c r="A19" s="483">
        <v>16</v>
      </c>
      <c r="B19" s="503" t="s">
        <v>351</v>
      </c>
      <c r="C19" s="485">
        <v>2.25</v>
      </c>
      <c r="D19" s="484">
        <v>3</v>
      </c>
      <c r="E19" s="484">
        <v>3</v>
      </c>
      <c r="F19" s="484">
        <v>0</v>
      </c>
      <c r="G19" s="484">
        <v>20</v>
      </c>
      <c r="H19" s="486">
        <v>25</v>
      </c>
      <c r="I19" s="486">
        <v>0</v>
      </c>
      <c r="J19" s="486">
        <v>25</v>
      </c>
      <c r="K19" s="487">
        <v>0.15</v>
      </c>
      <c r="L19" s="488">
        <v>1</v>
      </c>
      <c r="M19" s="488">
        <v>0</v>
      </c>
      <c r="N19" s="489">
        <v>11.11</v>
      </c>
      <c r="O19" s="490">
        <v>1.33</v>
      </c>
      <c r="P19" s="490">
        <v>0</v>
      </c>
      <c r="Q19" s="491">
        <v>0.46</v>
      </c>
    </row>
    <row r="20" spans="1:17" ht="22.5" customHeight="1" x14ac:dyDescent="0.25">
      <c r="A20" s="483">
        <v>17</v>
      </c>
      <c r="B20" s="503" t="s">
        <v>411</v>
      </c>
      <c r="C20" s="485">
        <v>1.7490000000000001</v>
      </c>
      <c r="D20" s="484">
        <v>3</v>
      </c>
      <c r="E20" s="484">
        <v>2</v>
      </c>
      <c r="F20" s="484">
        <v>0</v>
      </c>
      <c r="G20" s="484">
        <v>19</v>
      </c>
      <c r="H20" s="486">
        <v>25</v>
      </c>
      <c r="I20" s="486">
        <v>0</v>
      </c>
      <c r="J20" s="486">
        <v>35</v>
      </c>
      <c r="K20" s="487">
        <v>0.15790000000000001</v>
      </c>
      <c r="L20" s="488">
        <v>0.66669999999999996</v>
      </c>
      <c r="M20" s="488">
        <v>0</v>
      </c>
      <c r="N20" s="489">
        <v>14.29</v>
      </c>
      <c r="O20" s="490">
        <v>1.1399999999999999</v>
      </c>
      <c r="P20" s="490">
        <v>0</v>
      </c>
      <c r="Q20" s="491">
        <v>0.45</v>
      </c>
    </row>
    <row r="21" spans="1:17" ht="22.5" customHeight="1" x14ac:dyDescent="0.25">
      <c r="A21" s="483">
        <v>18</v>
      </c>
      <c r="B21" s="503" t="s">
        <v>366</v>
      </c>
      <c r="C21" s="485">
        <v>2.4350000000000001</v>
      </c>
      <c r="D21" s="484">
        <v>3</v>
      </c>
      <c r="E21" s="484">
        <v>3</v>
      </c>
      <c r="F21" s="484">
        <v>0</v>
      </c>
      <c r="G21" s="484">
        <v>18</v>
      </c>
      <c r="H21" s="486">
        <v>25</v>
      </c>
      <c r="I21" s="486">
        <v>0</v>
      </c>
      <c r="J21" s="486">
        <v>25</v>
      </c>
      <c r="K21" s="487">
        <v>0.16669999999999999</v>
      </c>
      <c r="L21" s="488">
        <v>1</v>
      </c>
      <c r="M21" s="488">
        <v>0</v>
      </c>
      <c r="N21" s="489">
        <v>10.27</v>
      </c>
      <c r="O21" s="490">
        <v>1.23</v>
      </c>
      <c r="P21" s="490">
        <v>0</v>
      </c>
      <c r="Q21" s="491">
        <v>0.45</v>
      </c>
    </row>
    <row r="22" spans="1:17" ht="22.5" customHeight="1" x14ac:dyDescent="0.25">
      <c r="A22" s="483">
        <v>19</v>
      </c>
      <c r="B22" s="503" t="s">
        <v>364</v>
      </c>
      <c r="C22" s="485">
        <v>5.8570000000000002</v>
      </c>
      <c r="D22" s="484">
        <v>8</v>
      </c>
      <c r="E22" s="484">
        <v>8</v>
      </c>
      <c r="F22" s="484">
        <v>0</v>
      </c>
      <c r="G22" s="484">
        <v>61</v>
      </c>
      <c r="H22" s="486">
        <v>64</v>
      </c>
      <c r="I22" s="486">
        <v>0</v>
      </c>
      <c r="J22" s="486">
        <v>64</v>
      </c>
      <c r="K22" s="487">
        <v>0.13109999999999999</v>
      </c>
      <c r="L22" s="488">
        <v>1</v>
      </c>
      <c r="M22" s="488">
        <v>0</v>
      </c>
      <c r="N22" s="489">
        <v>10.93</v>
      </c>
      <c r="O22" s="490">
        <v>1.37</v>
      </c>
      <c r="P22" s="490">
        <v>0</v>
      </c>
      <c r="Q22" s="491">
        <v>0.44</v>
      </c>
    </row>
    <row r="23" spans="1:17" ht="22.5" customHeight="1" x14ac:dyDescent="0.25">
      <c r="A23" s="483">
        <v>20</v>
      </c>
      <c r="B23" s="503" t="s">
        <v>417</v>
      </c>
      <c r="C23" s="485">
        <v>5.3179999999999996</v>
      </c>
      <c r="D23" s="484">
        <v>7</v>
      </c>
      <c r="E23" s="484">
        <v>7</v>
      </c>
      <c r="F23" s="484">
        <v>0</v>
      </c>
      <c r="G23" s="484">
        <v>58</v>
      </c>
      <c r="H23" s="486">
        <v>62</v>
      </c>
      <c r="I23" s="486">
        <v>0</v>
      </c>
      <c r="J23" s="486">
        <v>62</v>
      </c>
      <c r="K23" s="487">
        <v>0.1207</v>
      </c>
      <c r="L23" s="488">
        <v>1</v>
      </c>
      <c r="M23" s="488">
        <v>0</v>
      </c>
      <c r="N23" s="489">
        <v>11.66</v>
      </c>
      <c r="O23" s="490">
        <v>1.32</v>
      </c>
      <c r="P23" s="490">
        <v>0</v>
      </c>
      <c r="Q23" s="491">
        <v>0.44</v>
      </c>
    </row>
    <row r="24" spans="1:17" ht="22.5" customHeight="1" x14ac:dyDescent="0.25">
      <c r="A24" s="483">
        <v>21</v>
      </c>
      <c r="B24" s="503" t="s">
        <v>336</v>
      </c>
      <c r="C24" s="485">
        <v>4.1310000000000002</v>
      </c>
      <c r="D24" s="484">
        <v>5</v>
      </c>
      <c r="E24" s="484">
        <v>5</v>
      </c>
      <c r="F24" s="484">
        <v>0</v>
      </c>
      <c r="G24" s="484">
        <v>49</v>
      </c>
      <c r="H24" s="486">
        <v>76</v>
      </c>
      <c r="I24" s="486">
        <v>0</v>
      </c>
      <c r="J24" s="486">
        <v>76</v>
      </c>
      <c r="K24" s="487">
        <v>0.10199999999999999</v>
      </c>
      <c r="L24" s="488">
        <v>1</v>
      </c>
      <c r="M24" s="488">
        <v>0</v>
      </c>
      <c r="N24" s="489">
        <v>18.399999999999999</v>
      </c>
      <c r="O24" s="490">
        <v>1.21</v>
      </c>
      <c r="P24" s="490">
        <v>0</v>
      </c>
      <c r="Q24" s="491">
        <v>0.44</v>
      </c>
    </row>
    <row r="25" spans="1:17" ht="22.5" customHeight="1" x14ac:dyDescent="0.25">
      <c r="A25" s="483">
        <v>22</v>
      </c>
      <c r="B25" s="503" t="s">
        <v>422</v>
      </c>
      <c r="C25" s="485">
        <v>13.776999999999999</v>
      </c>
      <c r="D25" s="484">
        <v>17</v>
      </c>
      <c r="E25" s="484">
        <v>17</v>
      </c>
      <c r="F25" s="484">
        <v>0</v>
      </c>
      <c r="G25" s="484">
        <v>173</v>
      </c>
      <c r="H25" s="486">
        <v>239</v>
      </c>
      <c r="I25" s="486">
        <v>0</v>
      </c>
      <c r="J25" s="486">
        <v>239</v>
      </c>
      <c r="K25" s="487">
        <v>9.8299999999999998E-2</v>
      </c>
      <c r="L25" s="488">
        <v>1</v>
      </c>
      <c r="M25" s="488">
        <v>0</v>
      </c>
      <c r="N25" s="489">
        <v>17.350000000000001</v>
      </c>
      <c r="O25" s="490">
        <v>1.23</v>
      </c>
      <c r="P25" s="490">
        <v>0</v>
      </c>
      <c r="Q25" s="491">
        <v>0.43</v>
      </c>
    </row>
    <row r="26" spans="1:17" ht="22.5" customHeight="1" x14ac:dyDescent="0.25">
      <c r="A26" s="483">
        <v>23</v>
      </c>
      <c r="B26" s="503" t="s">
        <v>290</v>
      </c>
      <c r="C26" s="485">
        <v>3.4089999999999998</v>
      </c>
      <c r="D26" s="484">
        <v>5</v>
      </c>
      <c r="E26" s="484">
        <v>5</v>
      </c>
      <c r="F26" s="484">
        <v>0</v>
      </c>
      <c r="G26" s="484">
        <v>37</v>
      </c>
      <c r="H26" s="486">
        <v>25</v>
      </c>
      <c r="I26" s="486">
        <v>0</v>
      </c>
      <c r="J26" s="486">
        <v>25</v>
      </c>
      <c r="K26" s="487">
        <v>0.1351</v>
      </c>
      <c r="L26" s="488">
        <v>1</v>
      </c>
      <c r="M26" s="488">
        <v>0</v>
      </c>
      <c r="N26" s="489">
        <v>7.33</v>
      </c>
      <c r="O26" s="490">
        <v>1.47</v>
      </c>
      <c r="P26" s="490">
        <v>0</v>
      </c>
      <c r="Q26" s="491">
        <v>0.42</v>
      </c>
    </row>
    <row r="27" spans="1:17" ht="22.5" customHeight="1" x14ac:dyDescent="0.25">
      <c r="A27" s="483">
        <v>24</v>
      </c>
      <c r="B27" s="503" t="s">
        <v>308</v>
      </c>
      <c r="C27" s="485">
        <v>3.36</v>
      </c>
      <c r="D27" s="484">
        <v>5</v>
      </c>
      <c r="E27" s="484">
        <v>5</v>
      </c>
      <c r="F27" s="484">
        <v>0</v>
      </c>
      <c r="G27" s="484">
        <v>37</v>
      </c>
      <c r="H27" s="486">
        <v>24</v>
      </c>
      <c r="I27" s="486">
        <v>0</v>
      </c>
      <c r="J27" s="486">
        <v>24</v>
      </c>
      <c r="K27" s="487">
        <v>0.1351</v>
      </c>
      <c r="L27" s="488">
        <v>1</v>
      </c>
      <c r="M27" s="488">
        <v>0</v>
      </c>
      <c r="N27" s="489">
        <v>7.14</v>
      </c>
      <c r="O27" s="490">
        <v>1.49</v>
      </c>
      <c r="P27" s="490">
        <v>0</v>
      </c>
      <c r="Q27" s="491">
        <v>0.42</v>
      </c>
    </row>
    <row r="28" spans="1:17" ht="22.5" customHeight="1" x14ac:dyDescent="0.25">
      <c r="A28" s="483">
        <v>25</v>
      </c>
      <c r="B28" s="503" t="s">
        <v>317</v>
      </c>
      <c r="C28" s="485">
        <v>5.4139999999999997</v>
      </c>
      <c r="D28" s="484">
        <v>7</v>
      </c>
      <c r="E28" s="484">
        <v>7</v>
      </c>
      <c r="F28" s="484">
        <v>0</v>
      </c>
      <c r="G28" s="484">
        <v>49</v>
      </c>
      <c r="H28" s="486">
        <v>45</v>
      </c>
      <c r="I28" s="486">
        <v>0</v>
      </c>
      <c r="J28" s="486">
        <v>45</v>
      </c>
      <c r="K28" s="487">
        <v>0.1429</v>
      </c>
      <c r="L28" s="488">
        <v>1</v>
      </c>
      <c r="M28" s="488">
        <v>0</v>
      </c>
      <c r="N28" s="489">
        <v>8.31</v>
      </c>
      <c r="O28" s="490">
        <v>1.29</v>
      </c>
      <c r="P28" s="490">
        <v>0</v>
      </c>
      <c r="Q28" s="491">
        <v>0.42</v>
      </c>
    </row>
    <row r="29" spans="1:17" ht="22.5" customHeight="1" x14ac:dyDescent="0.25">
      <c r="A29" s="483">
        <v>26</v>
      </c>
      <c r="B29" s="503" t="s">
        <v>280</v>
      </c>
      <c r="C29" s="485">
        <v>5.8090000000000002</v>
      </c>
      <c r="D29" s="484">
        <v>6</v>
      </c>
      <c r="E29" s="484">
        <v>6</v>
      </c>
      <c r="F29" s="484">
        <v>0</v>
      </c>
      <c r="G29" s="484">
        <v>57</v>
      </c>
      <c r="H29" s="486">
        <v>100</v>
      </c>
      <c r="I29" s="486">
        <v>0</v>
      </c>
      <c r="J29" s="486">
        <v>100</v>
      </c>
      <c r="K29" s="487">
        <v>0.1053</v>
      </c>
      <c r="L29" s="488">
        <v>1</v>
      </c>
      <c r="M29" s="488">
        <v>0</v>
      </c>
      <c r="N29" s="489">
        <v>17.21</v>
      </c>
      <c r="O29" s="490">
        <v>1.03</v>
      </c>
      <c r="P29" s="490">
        <v>0</v>
      </c>
      <c r="Q29" s="491">
        <v>0.41</v>
      </c>
    </row>
    <row r="30" spans="1:17" ht="22.5" customHeight="1" x14ac:dyDescent="0.25">
      <c r="A30" s="483">
        <v>27</v>
      </c>
      <c r="B30" s="503" t="s">
        <v>430</v>
      </c>
      <c r="C30" s="485">
        <v>5.3650000000000002</v>
      </c>
      <c r="D30" s="484">
        <v>6</v>
      </c>
      <c r="E30" s="484">
        <v>6</v>
      </c>
      <c r="F30" s="484">
        <v>0</v>
      </c>
      <c r="G30" s="484">
        <v>46</v>
      </c>
      <c r="H30" s="486">
        <v>55</v>
      </c>
      <c r="I30" s="486">
        <v>0</v>
      </c>
      <c r="J30" s="486">
        <v>55</v>
      </c>
      <c r="K30" s="487">
        <v>0.13039999999999999</v>
      </c>
      <c r="L30" s="488">
        <v>1</v>
      </c>
      <c r="M30" s="488">
        <v>0</v>
      </c>
      <c r="N30" s="489">
        <v>10.25</v>
      </c>
      <c r="O30" s="490">
        <v>1.1200000000000001</v>
      </c>
      <c r="P30" s="490">
        <v>0</v>
      </c>
      <c r="Q30" s="491">
        <v>0.4</v>
      </c>
    </row>
    <row r="31" spans="1:17" ht="22.5" customHeight="1" x14ac:dyDescent="0.25">
      <c r="A31" s="483">
        <v>28</v>
      </c>
      <c r="B31" s="503" t="s">
        <v>325</v>
      </c>
      <c r="C31" s="485">
        <v>6.4589999999999996</v>
      </c>
      <c r="D31" s="484">
        <v>6</v>
      </c>
      <c r="E31" s="484">
        <v>6</v>
      </c>
      <c r="F31" s="484">
        <v>0</v>
      </c>
      <c r="G31" s="484">
        <v>52</v>
      </c>
      <c r="H31" s="486">
        <v>73</v>
      </c>
      <c r="I31" s="486">
        <v>0</v>
      </c>
      <c r="J31" s="486">
        <v>73</v>
      </c>
      <c r="K31" s="487">
        <v>0.1154</v>
      </c>
      <c r="L31" s="488">
        <v>1</v>
      </c>
      <c r="M31" s="488">
        <v>0</v>
      </c>
      <c r="N31" s="489">
        <v>11.3</v>
      </c>
      <c r="O31" s="490">
        <v>0.93</v>
      </c>
      <c r="P31" s="490">
        <v>0</v>
      </c>
      <c r="Q31" s="491">
        <v>0.38</v>
      </c>
    </row>
    <row r="32" spans="1:17" ht="22.5" customHeight="1" x14ac:dyDescent="0.25">
      <c r="A32" s="483">
        <v>29</v>
      </c>
      <c r="B32" s="503" t="s">
        <v>272</v>
      </c>
      <c r="C32" s="485">
        <v>7.4710000000000001</v>
      </c>
      <c r="D32" s="484">
        <v>9</v>
      </c>
      <c r="E32" s="484">
        <v>9</v>
      </c>
      <c r="F32" s="484">
        <v>0</v>
      </c>
      <c r="G32" s="484">
        <v>99</v>
      </c>
      <c r="H32" s="486">
        <v>78</v>
      </c>
      <c r="I32" s="486">
        <v>0</v>
      </c>
      <c r="J32" s="486">
        <v>78</v>
      </c>
      <c r="K32" s="487">
        <v>9.0899999999999995E-2</v>
      </c>
      <c r="L32" s="488">
        <v>1</v>
      </c>
      <c r="M32" s="488">
        <v>0</v>
      </c>
      <c r="N32" s="489">
        <v>10.44</v>
      </c>
      <c r="O32" s="490">
        <v>1.2</v>
      </c>
      <c r="P32" s="490">
        <v>0</v>
      </c>
      <c r="Q32" s="491">
        <v>0.38</v>
      </c>
    </row>
    <row r="33" spans="1:17" ht="22.5" customHeight="1" x14ac:dyDescent="0.25">
      <c r="A33" s="483">
        <v>30</v>
      </c>
      <c r="B33" s="503" t="s">
        <v>323</v>
      </c>
      <c r="C33" s="485">
        <v>5.3390000000000004</v>
      </c>
      <c r="D33" s="484">
        <v>6</v>
      </c>
      <c r="E33" s="484">
        <v>6</v>
      </c>
      <c r="F33" s="484">
        <v>0</v>
      </c>
      <c r="G33" s="484">
        <v>48</v>
      </c>
      <c r="H33" s="486">
        <v>42</v>
      </c>
      <c r="I33" s="486">
        <v>0</v>
      </c>
      <c r="J33" s="486">
        <v>42</v>
      </c>
      <c r="K33" s="487">
        <v>0.125</v>
      </c>
      <c r="L33" s="488">
        <v>1</v>
      </c>
      <c r="M33" s="488">
        <v>0</v>
      </c>
      <c r="N33" s="489">
        <v>7.87</v>
      </c>
      <c r="O33" s="490">
        <v>1.1200000000000001</v>
      </c>
      <c r="P33" s="490">
        <v>0</v>
      </c>
      <c r="Q33" s="491">
        <v>0.38</v>
      </c>
    </row>
    <row r="34" spans="1:17" ht="22.5" customHeight="1" x14ac:dyDescent="0.25">
      <c r="A34" s="483">
        <v>31</v>
      </c>
      <c r="B34" s="503" t="s">
        <v>371</v>
      </c>
      <c r="C34" s="485">
        <v>7.2210000000000001</v>
      </c>
      <c r="D34" s="484">
        <v>9</v>
      </c>
      <c r="E34" s="484">
        <v>9</v>
      </c>
      <c r="F34" s="484">
        <v>0</v>
      </c>
      <c r="G34" s="484">
        <v>102</v>
      </c>
      <c r="H34" s="486">
        <v>64</v>
      </c>
      <c r="I34" s="486">
        <v>0</v>
      </c>
      <c r="J34" s="486">
        <v>64</v>
      </c>
      <c r="K34" s="487">
        <v>8.8200000000000001E-2</v>
      </c>
      <c r="L34" s="488">
        <v>1</v>
      </c>
      <c r="M34" s="488">
        <v>0</v>
      </c>
      <c r="N34" s="489">
        <v>8.86</v>
      </c>
      <c r="O34" s="490">
        <v>1.25</v>
      </c>
      <c r="P34" s="490">
        <v>0</v>
      </c>
      <c r="Q34" s="491">
        <v>0.37</v>
      </c>
    </row>
    <row r="35" spans="1:17" ht="22.5" customHeight="1" x14ac:dyDescent="0.25">
      <c r="A35" s="483">
        <v>32</v>
      </c>
      <c r="B35" s="503" t="s">
        <v>311</v>
      </c>
      <c r="C35" s="485">
        <v>5.4290000000000003</v>
      </c>
      <c r="D35" s="484">
        <v>5</v>
      </c>
      <c r="E35" s="484">
        <v>5</v>
      </c>
      <c r="F35" s="484">
        <v>0</v>
      </c>
      <c r="G35" s="484">
        <v>51</v>
      </c>
      <c r="H35" s="486">
        <v>65</v>
      </c>
      <c r="I35" s="486">
        <v>0</v>
      </c>
      <c r="J35" s="486">
        <v>65</v>
      </c>
      <c r="K35" s="487">
        <v>9.8000000000000004E-2</v>
      </c>
      <c r="L35" s="488">
        <v>1</v>
      </c>
      <c r="M35" s="488">
        <v>0</v>
      </c>
      <c r="N35" s="489">
        <v>11.97</v>
      </c>
      <c r="O35" s="490">
        <v>0.92</v>
      </c>
      <c r="P35" s="490">
        <v>0</v>
      </c>
      <c r="Q35" s="491">
        <v>0.37</v>
      </c>
    </row>
    <row r="36" spans="1:17" ht="22.5" customHeight="1" x14ac:dyDescent="0.25">
      <c r="A36" s="483">
        <v>33</v>
      </c>
      <c r="B36" s="503" t="s">
        <v>426</v>
      </c>
      <c r="C36" s="485">
        <v>5.9489999999999998</v>
      </c>
      <c r="D36" s="484">
        <v>7</v>
      </c>
      <c r="E36" s="484">
        <v>7</v>
      </c>
      <c r="F36" s="484">
        <v>0</v>
      </c>
      <c r="G36" s="484">
        <v>64</v>
      </c>
      <c r="H36" s="486">
        <v>41</v>
      </c>
      <c r="I36" s="486">
        <v>0</v>
      </c>
      <c r="J36" s="486">
        <v>41</v>
      </c>
      <c r="K36" s="487">
        <v>0.1094</v>
      </c>
      <c r="L36" s="488">
        <v>1</v>
      </c>
      <c r="M36" s="488">
        <v>0</v>
      </c>
      <c r="N36" s="489">
        <v>6.89</v>
      </c>
      <c r="O36" s="490">
        <v>1.18</v>
      </c>
      <c r="P36" s="490">
        <v>0</v>
      </c>
      <c r="Q36" s="491">
        <v>0.37</v>
      </c>
    </row>
    <row r="37" spans="1:17" ht="22.5" customHeight="1" x14ac:dyDescent="0.25">
      <c r="A37" s="483">
        <v>34</v>
      </c>
      <c r="B37" s="503" t="s">
        <v>271</v>
      </c>
      <c r="C37" s="485">
        <v>5.2649999999999997</v>
      </c>
      <c r="D37" s="484">
        <v>4</v>
      </c>
      <c r="E37" s="484">
        <v>4</v>
      </c>
      <c r="F37" s="484">
        <v>0</v>
      </c>
      <c r="G37" s="484">
        <v>50</v>
      </c>
      <c r="H37" s="486">
        <v>120</v>
      </c>
      <c r="I37" s="486">
        <v>0</v>
      </c>
      <c r="J37" s="486">
        <v>120</v>
      </c>
      <c r="K37" s="487">
        <v>0.08</v>
      </c>
      <c r="L37" s="488">
        <v>1</v>
      </c>
      <c r="M37" s="488">
        <v>0</v>
      </c>
      <c r="N37" s="489">
        <v>22.79</v>
      </c>
      <c r="O37" s="490">
        <v>0.76</v>
      </c>
      <c r="P37" s="490">
        <v>0</v>
      </c>
      <c r="Q37" s="491">
        <v>0.36</v>
      </c>
    </row>
    <row r="38" spans="1:17" ht="22.5" customHeight="1" x14ac:dyDescent="0.25">
      <c r="A38" s="483">
        <v>35</v>
      </c>
      <c r="B38" s="503" t="s">
        <v>423</v>
      </c>
      <c r="C38" s="485">
        <v>5.7880000000000003</v>
      </c>
      <c r="D38" s="484">
        <v>6</v>
      </c>
      <c r="E38" s="484">
        <v>6</v>
      </c>
      <c r="F38" s="484">
        <v>0</v>
      </c>
      <c r="G38" s="484">
        <v>52</v>
      </c>
      <c r="H38" s="486">
        <v>45</v>
      </c>
      <c r="I38" s="486">
        <v>0</v>
      </c>
      <c r="J38" s="486">
        <v>45</v>
      </c>
      <c r="K38" s="487">
        <v>0.1154</v>
      </c>
      <c r="L38" s="488">
        <v>1</v>
      </c>
      <c r="M38" s="488">
        <v>0</v>
      </c>
      <c r="N38" s="489">
        <v>7.77</v>
      </c>
      <c r="O38" s="490">
        <v>1.04</v>
      </c>
      <c r="P38" s="490">
        <v>0</v>
      </c>
      <c r="Q38" s="491">
        <v>0.36</v>
      </c>
    </row>
    <row r="39" spans="1:17" ht="22.5" customHeight="1" x14ac:dyDescent="0.25">
      <c r="A39" s="483">
        <v>36</v>
      </c>
      <c r="B39" s="503" t="s">
        <v>324</v>
      </c>
      <c r="C39" s="485">
        <v>2.8149999999999999</v>
      </c>
      <c r="D39" s="484">
        <v>3</v>
      </c>
      <c r="E39" s="484">
        <v>3</v>
      </c>
      <c r="F39" s="484">
        <v>0</v>
      </c>
      <c r="G39" s="484">
        <v>28</v>
      </c>
      <c r="H39" s="486">
        <v>20</v>
      </c>
      <c r="I39" s="486">
        <v>0</v>
      </c>
      <c r="J39" s="486">
        <v>20</v>
      </c>
      <c r="K39" s="487">
        <v>0.1071</v>
      </c>
      <c r="L39" s="488">
        <v>1</v>
      </c>
      <c r="M39" s="488">
        <v>0</v>
      </c>
      <c r="N39" s="489">
        <v>7.1</v>
      </c>
      <c r="O39" s="490">
        <v>1.07</v>
      </c>
      <c r="P39" s="490">
        <v>0</v>
      </c>
      <c r="Q39" s="491">
        <v>0.35</v>
      </c>
    </row>
    <row r="40" spans="1:17" ht="22.5" customHeight="1" x14ac:dyDescent="0.25">
      <c r="A40" s="483">
        <v>37</v>
      </c>
      <c r="B40" s="503" t="s">
        <v>367</v>
      </c>
      <c r="C40" s="485">
        <v>6.0709999999999997</v>
      </c>
      <c r="D40" s="484">
        <v>5</v>
      </c>
      <c r="E40" s="484">
        <v>5</v>
      </c>
      <c r="F40" s="484">
        <v>0</v>
      </c>
      <c r="G40" s="484">
        <v>64</v>
      </c>
      <c r="H40" s="486">
        <v>81</v>
      </c>
      <c r="I40" s="486">
        <v>0</v>
      </c>
      <c r="J40" s="486">
        <v>81</v>
      </c>
      <c r="K40" s="487">
        <v>7.8100000000000003E-2</v>
      </c>
      <c r="L40" s="488">
        <v>1</v>
      </c>
      <c r="M40" s="488">
        <v>0</v>
      </c>
      <c r="N40" s="489">
        <v>13.34</v>
      </c>
      <c r="O40" s="490">
        <v>0.82</v>
      </c>
      <c r="P40" s="490">
        <v>0</v>
      </c>
      <c r="Q40" s="491">
        <v>0.33</v>
      </c>
    </row>
    <row r="41" spans="1:17" ht="22.5" customHeight="1" x14ac:dyDescent="0.25">
      <c r="A41" s="483">
        <v>38</v>
      </c>
      <c r="B41" s="503" t="s">
        <v>428</v>
      </c>
      <c r="C41" s="485">
        <v>7.4619999999999997</v>
      </c>
      <c r="D41" s="484">
        <v>5</v>
      </c>
      <c r="E41" s="484">
        <v>5</v>
      </c>
      <c r="F41" s="484">
        <v>0</v>
      </c>
      <c r="G41" s="484">
        <v>63</v>
      </c>
      <c r="H41" s="486">
        <v>140</v>
      </c>
      <c r="I41" s="486">
        <v>0</v>
      </c>
      <c r="J41" s="486">
        <v>140</v>
      </c>
      <c r="K41" s="487">
        <v>7.9399999999999998E-2</v>
      </c>
      <c r="L41" s="488">
        <v>1</v>
      </c>
      <c r="M41" s="488">
        <v>0</v>
      </c>
      <c r="N41" s="489">
        <v>18.760000000000002</v>
      </c>
      <c r="O41" s="490">
        <v>0.67</v>
      </c>
      <c r="P41" s="490">
        <v>0</v>
      </c>
      <c r="Q41" s="491">
        <v>0.33</v>
      </c>
    </row>
    <row r="42" spans="1:17" ht="22.5" customHeight="1" x14ac:dyDescent="0.25">
      <c r="A42" s="483">
        <v>39</v>
      </c>
      <c r="B42" s="503" t="s">
        <v>402</v>
      </c>
      <c r="C42" s="485">
        <v>5.4210000000000003</v>
      </c>
      <c r="D42" s="484">
        <v>6</v>
      </c>
      <c r="E42" s="484">
        <v>6</v>
      </c>
      <c r="F42" s="484">
        <v>0</v>
      </c>
      <c r="G42" s="484">
        <v>65</v>
      </c>
      <c r="H42" s="486">
        <v>29</v>
      </c>
      <c r="I42" s="486">
        <v>0</v>
      </c>
      <c r="J42" s="486">
        <v>29</v>
      </c>
      <c r="K42" s="487">
        <v>9.2299999999999993E-2</v>
      </c>
      <c r="L42" s="488">
        <v>1</v>
      </c>
      <c r="M42" s="488">
        <v>0</v>
      </c>
      <c r="N42" s="489">
        <v>5.35</v>
      </c>
      <c r="O42" s="490">
        <v>1.1100000000000001</v>
      </c>
      <c r="P42" s="490">
        <v>0</v>
      </c>
      <c r="Q42" s="491">
        <v>0.32</v>
      </c>
    </row>
    <row r="43" spans="1:17" ht="22.5" customHeight="1" x14ac:dyDescent="0.25">
      <c r="A43" s="483">
        <v>40</v>
      </c>
      <c r="B43" s="503" t="s">
        <v>389</v>
      </c>
      <c r="C43" s="485">
        <v>5.4489999999999998</v>
      </c>
      <c r="D43" s="484">
        <v>5</v>
      </c>
      <c r="E43" s="484">
        <v>5</v>
      </c>
      <c r="F43" s="484">
        <v>0</v>
      </c>
      <c r="G43" s="484">
        <v>60</v>
      </c>
      <c r="H43" s="486">
        <v>40</v>
      </c>
      <c r="I43" s="486">
        <v>0</v>
      </c>
      <c r="J43" s="486">
        <v>40</v>
      </c>
      <c r="K43" s="487">
        <v>8.3299999999999999E-2</v>
      </c>
      <c r="L43" s="488">
        <v>1</v>
      </c>
      <c r="M43" s="488">
        <v>0</v>
      </c>
      <c r="N43" s="489">
        <v>7.34</v>
      </c>
      <c r="O43" s="490">
        <v>0.92</v>
      </c>
      <c r="P43" s="490">
        <v>0</v>
      </c>
      <c r="Q43" s="491">
        <v>0.31</v>
      </c>
    </row>
    <row r="44" spans="1:17" ht="22.5" customHeight="1" x14ac:dyDescent="0.25">
      <c r="A44" s="483">
        <v>41</v>
      </c>
      <c r="B44" s="503" t="s">
        <v>393</v>
      </c>
      <c r="C44" s="485">
        <v>6.9980000000000002</v>
      </c>
      <c r="D44" s="484">
        <v>7</v>
      </c>
      <c r="E44" s="484">
        <v>7</v>
      </c>
      <c r="F44" s="484">
        <v>0</v>
      </c>
      <c r="G44" s="484">
        <v>76</v>
      </c>
      <c r="H44" s="486">
        <v>32</v>
      </c>
      <c r="I44" s="486">
        <v>0</v>
      </c>
      <c r="J44" s="486">
        <v>32</v>
      </c>
      <c r="K44" s="487">
        <v>9.2100000000000001E-2</v>
      </c>
      <c r="L44" s="488">
        <v>1</v>
      </c>
      <c r="M44" s="488">
        <v>0</v>
      </c>
      <c r="N44" s="489">
        <v>4.57</v>
      </c>
      <c r="O44" s="490">
        <v>1</v>
      </c>
      <c r="P44" s="490">
        <v>0</v>
      </c>
      <c r="Q44" s="491">
        <v>0.3</v>
      </c>
    </row>
    <row r="45" spans="1:17" ht="22.5" customHeight="1" x14ac:dyDescent="0.25">
      <c r="A45" s="483">
        <v>42</v>
      </c>
      <c r="B45" s="503" t="s">
        <v>432</v>
      </c>
      <c r="C45" s="485">
        <v>2.282</v>
      </c>
      <c r="D45" s="484">
        <v>2</v>
      </c>
      <c r="E45" s="484">
        <v>2</v>
      </c>
      <c r="F45" s="484">
        <v>0</v>
      </c>
      <c r="G45" s="484">
        <v>20</v>
      </c>
      <c r="H45" s="486">
        <v>11</v>
      </c>
      <c r="I45" s="486">
        <v>0</v>
      </c>
      <c r="J45" s="486">
        <v>11</v>
      </c>
      <c r="K45" s="487">
        <v>0.1</v>
      </c>
      <c r="L45" s="488">
        <v>1</v>
      </c>
      <c r="M45" s="488">
        <v>0</v>
      </c>
      <c r="N45" s="489">
        <v>4.82</v>
      </c>
      <c r="O45" s="490">
        <v>0.88</v>
      </c>
      <c r="P45" s="490">
        <v>0</v>
      </c>
      <c r="Q45" s="491">
        <v>0.3</v>
      </c>
    </row>
    <row r="46" spans="1:17" ht="22.5" customHeight="1" x14ac:dyDescent="0.25">
      <c r="A46" s="483">
        <v>43</v>
      </c>
      <c r="B46" s="503" t="s">
        <v>312</v>
      </c>
      <c r="C46" s="485">
        <v>3.7669999999999999</v>
      </c>
      <c r="D46" s="484">
        <v>3</v>
      </c>
      <c r="E46" s="484">
        <v>3</v>
      </c>
      <c r="F46" s="484">
        <v>0</v>
      </c>
      <c r="G46" s="484">
        <v>37</v>
      </c>
      <c r="H46" s="486">
        <v>35</v>
      </c>
      <c r="I46" s="486">
        <v>0</v>
      </c>
      <c r="J46" s="486">
        <v>35</v>
      </c>
      <c r="K46" s="487">
        <v>8.1100000000000005E-2</v>
      </c>
      <c r="L46" s="488">
        <v>1</v>
      </c>
      <c r="M46" s="488">
        <v>0</v>
      </c>
      <c r="N46" s="489">
        <v>9.2899999999999991</v>
      </c>
      <c r="O46" s="490">
        <v>0.8</v>
      </c>
      <c r="P46" s="490">
        <v>0</v>
      </c>
      <c r="Q46" s="491">
        <v>0.3</v>
      </c>
    </row>
    <row r="47" spans="1:17" ht="22.5" customHeight="1" x14ac:dyDescent="0.25">
      <c r="A47" s="483">
        <v>44</v>
      </c>
      <c r="B47" s="503" t="s">
        <v>412</v>
      </c>
      <c r="C47" s="485">
        <v>5.2050000000000001</v>
      </c>
      <c r="D47" s="484">
        <v>4</v>
      </c>
      <c r="E47" s="484">
        <v>4</v>
      </c>
      <c r="F47" s="484">
        <v>0</v>
      </c>
      <c r="G47" s="484">
        <v>43</v>
      </c>
      <c r="H47" s="486">
        <v>31</v>
      </c>
      <c r="I47" s="486">
        <v>0</v>
      </c>
      <c r="J47" s="486">
        <v>31</v>
      </c>
      <c r="K47" s="487">
        <v>9.2999999999999999E-2</v>
      </c>
      <c r="L47" s="488">
        <v>1</v>
      </c>
      <c r="M47" s="488">
        <v>0</v>
      </c>
      <c r="N47" s="489">
        <v>5.96</v>
      </c>
      <c r="O47" s="490">
        <v>0.77</v>
      </c>
      <c r="P47" s="490">
        <v>0</v>
      </c>
      <c r="Q47" s="491">
        <v>0.28999999999999998</v>
      </c>
    </row>
    <row r="48" spans="1:17" ht="22.5" customHeight="1" x14ac:dyDescent="0.25">
      <c r="A48" s="483">
        <v>45</v>
      </c>
      <c r="B48" s="503" t="s">
        <v>283</v>
      </c>
      <c r="C48" s="485">
        <v>1.349</v>
      </c>
      <c r="D48" s="484">
        <v>1</v>
      </c>
      <c r="E48" s="484">
        <v>1</v>
      </c>
      <c r="F48" s="484">
        <v>0</v>
      </c>
      <c r="G48" s="484">
        <v>12</v>
      </c>
      <c r="H48" s="486">
        <v>10</v>
      </c>
      <c r="I48" s="486">
        <v>0</v>
      </c>
      <c r="J48" s="486">
        <v>10</v>
      </c>
      <c r="K48" s="487">
        <v>8.3299999999999999E-2</v>
      </c>
      <c r="L48" s="488">
        <v>1</v>
      </c>
      <c r="M48" s="488">
        <v>0</v>
      </c>
      <c r="N48" s="489">
        <v>7.41</v>
      </c>
      <c r="O48" s="490">
        <v>0.74</v>
      </c>
      <c r="P48" s="490">
        <v>0</v>
      </c>
      <c r="Q48" s="491">
        <v>0.28999999999999998</v>
      </c>
    </row>
    <row r="49" spans="1:17" ht="22.5" customHeight="1" x14ac:dyDescent="0.25">
      <c r="A49" s="483">
        <v>46</v>
      </c>
      <c r="B49" s="503" t="s">
        <v>365</v>
      </c>
      <c r="C49" s="485">
        <v>3.069</v>
      </c>
      <c r="D49" s="484">
        <v>3</v>
      </c>
      <c r="E49" s="484">
        <v>3</v>
      </c>
      <c r="F49" s="484">
        <v>0</v>
      </c>
      <c r="G49" s="484">
        <v>41</v>
      </c>
      <c r="H49" s="486">
        <v>20</v>
      </c>
      <c r="I49" s="486">
        <v>0</v>
      </c>
      <c r="J49" s="486">
        <v>20</v>
      </c>
      <c r="K49" s="487">
        <v>7.3200000000000001E-2</v>
      </c>
      <c r="L49" s="488">
        <v>1</v>
      </c>
      <c r="M49" s="488">
        <v>0</v>
      </c>
      <c r="N49" s="489">
        <v>6.52</v>
      </c>
      <c r="O49" s="490">
        <v>0.98</v>
      </c>
      <c r="P49" s="490">
        <v>0</v>
      </c>
      <c r="Q49" s="491">
        <v>0.28000000000000003</v>
      </c>
    </row>
    <row r="50" spans="1:17" ht="22.5" customHeight="1" x14ac:dyDescent="0.25">
      <c r="A50" s="483">
        <v>47</v>
      </c>
      <c r="B50" s="503" t="s">
        <v>342</v>
      </c>
      <c r="C50" s="485">
        <v>9.6489999999999991</v>
      </c>
      <c r="D50" s="484">
        <v>7</v>
      </c>
      <c r="E50" s="484">
        <v>7</v>
      </c>
      <c r="F50" s="484">
        <v>0</v>
      </c>
      <c r="G50" s="484">
        <v>109</v>
      </c>
      <c r="H50" s="486">
        <v>90</v>
      </c>
      <c r="I50" s="486">
        <v>0</v>
      </c>
      <c r="J50" s="486">
        <v>90</v>
      </c>
      <c r="K50" s="487">
        <v>6.4199999999999993E-2</v>
      </c>
      <c r="L50" s="488">
        <v>1</v>
      </c>
      <c r="M50" s="488">
        <v>0</v>
      </c>
      <c r="N50" s="489">
        <v>9.33</v>
      </c>
      <c r="O50" s="490">
        <v>0.73</v>
      </c>
      <c r="P50" s="490">
        <v>0</v>
      </c>
      <c r="Q50" s="491">
        <v>0.27</v>
      </c>
    </row>
    <row r="51" spans="1:17" ht="22.5" customHeight="1" x14ac:dyDescent="0.25">
      <c r="A51" s="483">
        <v>48</v>
      </c>
      <c r="B51" s="503" t="s">
        <v>362</v>
      </c>
      <c r="C51" s="485">
        <v>6.9889999999999999</v>
      </c>
      <c r="D51" s="484">
        <v>6</v>
      </c>
      <c r="E51" s="484">
        <v>6</v>
      </c>
      <c r="F51" s="484">
        <v>0</v>
      </c>
      <c r="G51" s="484">
        <v>84</v>
      </c>
      <c r="H51" s="486">
        <v>45</v>
      </c>
      <c r="I51" s="486">
        <v>0</v>
      </c>
      <c r="J51" s="486">
        <v>45</v>
      </c>
      <c r="K51" s="487">
        <v>7.1400000000000005E-2</v>
      </c>
      <c r="L51" s="488">
        <v>1</v>
      </c>
      <c r="M51" s="488">
        <v>0</v>
      </c>
      <c r="N51" s="489">
        <v>6.44</v>
      </c>
      <c r="O51" s="490">
        <v>0.86</v>
      </c>
      <c r="P51" s="490">
        <v>0</v>
      </c>
      <c r="Q51" s="491">
        <v>0.26</v>
      </c>
    </row>
    <row r="52" spans="1:17" ht="22.5" customHeight="1" x14ac:dyDescent="0.25">
      <c r="A52" s="483">
        <v>49</v>
      </c>
      <c r="B52" s="503" t="s">
        <v>373</v>
      </c>
      <c r="C52" s="485">
        <v>5.68</v>
      </c>
      <c r="D52" s="484">
        <v>4</v>
      </c>
      <c r="E52" s="484">
        <v>4</v>
      </c>
      <c r="F52" s="484">
        <v>0</v>
      </c>
      <c r="G52" s="484">
        <v>54</v>
      </c>
      <c r="H52" s="486">
        <v>40</v>
      </c>
      <c r="I52" s="486">
        <v>0</v>
      </c>
      <c r="J52" s="486">
        <v>40</v>
      </c>
      <c r="K52" s="487">
        <v>7.4099999999999999E-2</v>
      </c>
      <c r="L52" s="488">
        <v>1</v>
      </c>
      <c r="M52" s="488">
        <v>0</v>
      </c>
      <c r="N52" s="489">
        <v>7.04</v>
      </c>
      <c r="O52" s="490">
        <v>0.7</v>
      </c>
      <c r="P52" s="490">
        <v>0</v>
      </c>
      <c r="Q52" s="491">
        <v>0.25</v>
      </c>
    </row>
    <row r="53" spans="1:17" ht="22.5" customHeight="1" x14ac:dyDescent="0.25">
      <c r="A53" s="483">
        <v>50</v>
      </c>
      <c r="B53" s="503" t="s">
        <v>297</v>
      </c>
      <c r="C53" s="485">
        <v>6.8710000000000004</v>
      </c>
      <c r="D53" s="484">
        <v>4</v>
      </c>
      <c r="E53" s="484">
        <v>4</v>
      </c>
      <c r="F53" s="484">
        <v>0</v>
      </c>
      <c r="G53" s="484">
        <v>67</v>
      </c>
      <c r="H53" s="486">
        <v>71</v>
      </c>
      <c r="I53" s="486">
        <v>0</v>
      </c>
      <c r="J53" s="486">
        <v>71</v>
      </c>
      <c r="K53" s="487">
        <v>5.9700000000000003E-2</v>
      </c>
      <c r="L53" s="488">
        <v>1</v>
      </c>
      <c r="M53" s="488">
        <v>0</v>
      </c>
      <c r="N53" s="489">
        <v>10.33</v>
      </c>
      <c r="O53" s="490">
        <v>0.57999999999999996</v>
      </c>
      <c r="P53" s="490">
        <v>0</v>
      </c>
      <c r="Q53" s="491">
        <v>0.25</v>
      </c>
    </row>
    <row r="54" spans="1:17" ht="22.5" customHeight="1" x14ac:dyDescent="0.25">
      <c r="A54" s="483">
        <v>51</v>
      </c>
      <c r="B54" s="503" t="s">
        <v>333</v>
      </c>
      <c r="C54" s="485">
        <v>7.2759999999999998</v>
      </c>
      <c r="D54" s="484">
        <v>5</v>
      </c>
      <c r="E54" s="484">
        <v>5</v>
      </c>
      <c r="F54" s="484">
        <v>0</v>
      </c>
      <c r="G54" s="484">
        <v>71</v>
      </c>
      <c r="H54" s="486">
        <v>35</v>
      </c>
      <c r="I54" s="486">
        <v>0</v>
      </c>
      <c r="J54" s="486">
        <v>35</v>
      </c>
      <c r="K54" s="487">
        <v>7.0400000000000004E-2</v>
      </c>
      <c r="L54" s="488">
        <v>1</v>
      </c>
      <c r="M54" s="488">
        <v>0</v>
      </c>
      <c r="N54" s="489">
        <v>4.8099999999999996</v>
      </c>
      <c r="O54" s="490">
        <v>0.69</v>
      </c>
      <c r="P54" s="490">
        <v>0</v>
      </c>
      <c r="Q54" s="491">
        <v>0.23</v>
      </c>
    </row>
    <row r="55" spans="1:17" ht="22.5" customHeight="1" x14ac:dyDescent="0.25">
      <c r="A55" s="483">
        <v>52</v>
      </c>
      <c r="B55" s="503" t="s">
        <v>321</v>
      </c>
      <c r="C55" s="485">
        <v>2.399</v>
      </c>
      <c r="D55" s="484">
        <v>1</v>
      </c>
      <c r="E55" s="484">
        <v>1</v>
      </c>
      <c r="F55" s="484">
        <v>0</v>
      </c>
      <c r="G55" s="484">
        <v>15</v>
      </c>
      <c r="H55" s="486">
        <v>20</v>
      </c>
      <c r="I55" s="486">
        <v>0</v>
      </c>
      <c r="J55" s="486">
        <v>20</v>
      </c>
      <c r="K55" s="487">
        <v>6.6699999999999995E-2</v>
      </c>
      <c r="L55" s="488">
        <v>1</v>
      </c>
      <c r="M55" s="488">
        <v>0</v>
      </c>
      <c r="N55" s="489">
        <v>8.34</v>
      </c>
      <c r="O55" s="490">
        <v>0.42</v>
      </c>
      <c r="P55" s="490">
        <v>0</v>
      </c>
      <c r="Q55" s="491">
        <v>0.23</v>
      </c>
    </row>
    <row r="56" spans="1:17" ht="22.5" customHeight="1" x14ac:dyDescent="0.25">
      <c r="A56" s="483">
        <v>53</v>
      </c>
      <c r="B56" s="503" t="s">
        <v>375</v>
      </c>
      <c r="C56" s="485">
        <v>8.1489999999999991</v>
      </c>
      <c r="D56" s="484">
        <v>5</v>
      </c>
      <c r="E56" s="484">
        <v>5</v>
      </c>
      <c r="F56" s="484">
        <v>0</v>
      </c>
      <c r="G56" s="484">
        <v>61</v>
      </c>
      <c r="H56" s="486">
        <v>31</v>
      </c>
      <c r="I56" s="486">
        <v>0</v>
      </c>
      <c r="J56" s="486">
        <v>31</v>
      </c>
      <c r="K56" s="487">
        <v>8.2000000000000003E-2</v>
      </c>
      <c r="L56" s="488">
        <v>1</v>
      </c>
      <c r="M56" s="488">
        <v>0</v>
      </c>
      <c r="N56" s="489">
        <v>3.8</v>
      </c>
      <c r="O56" s="490">
        <v>0.61</v>
      </c>
      <c r="P56" s="490">
        <v>0</v>
      </c>
      <c r="Q56" s="491">
        <v>0.23</v>
      </c>
    </row>
    <row r="57" spans="1:17" ht="22.5" customHeight="1" x14ac:dyDescent="0.25">
      <c r="A57" s="483">
        <v>54</v>
      </c>
      <c r="B57" s="503" t="s">
        <v>335</v>
      </c>
      <c r="C57" s="485">
        <v>9.766</v>
      </c>
      <c r="D57" s="484">
        <v>7</v>
      </c>
      <c r="E57" s="484">
        <v>7</v>
      </c>
      <c r="F57" s="484">
        <v>0</v>
      </c>
      <c r="G57" s="484">
        <v>125</v>
      </c>
      <c r="H57" s="486">
        <v>60</v>
      </c>
      <c r="I57" s="486">
        <v>0</v>
      </c>
      <c r="J57" s="486">
        <v>60</v>
      </c>
      <c r="K57" s="487">
        <v>5.6000000000000001E-2</v>
      </c>
      <c r="L57" s="488">
        <v>1</v>
      </c>
      <c r="M57" s="488">
        <v>0</v>
      </c>
      <c r="N57" s="489">
        <v>6.14</v>
      </c>
      <c r="O57" s="490">
        <v>0.72</v>
      </c>
      <c r="P57" s="490">
        <v>0</v>
      </c>
      <c r="Q57" s="491">
        <v>0.23</v>
      </c>
    </row>
    <row r="58" spans="1:17" ht="22.5" customHeight="1" x14ac:dyDescent="0.25">
      <c r="A58" s="483">
        <v>55</v>
      </c>
      <c r="B58" s="503" t="s">
        <v>385</v>
      </c>
      <c r="C58" s="485">
        <v>6.4889999999999999</v>
      </c>
      <c r="D58" s="484">
        <v>3</v>
      </c>
      <c r="E58" s="484">
        <v>3</v>
      </c>
      <c r="F58" s="484">
        <v>0</v>
      </c>
      <c r="G58" s="484">
        <v>35</v>
      </c>
      <c r="H58" s="486">
        <v>25</v>
      </c>
      <c r="I58" s="486">
        <v>0</v>
      </c>
      <c r="J58" s="486">
        <v>25</v>
      </c>
      <c r="K58" s="487">
        <v>8.5699999999999998E-2</v>
      </c>
      <c r="L58" s="488">
        <v>1</v>
      </c>
      <c r="M58" s="488">
        <v>0</v>
      </c>
      <c r="N58" s="489">
        <v>3.85</v>
      </c>
      <c r="O58" s="490">
        <v>0.46</v>
      </c>
      <c r="P58" s="490">
        <v>0</v>
      </c>
      <c r="Q58" s="491">
        <v>0.22</v>
      </c>
    </row>
    <row r="59" spans="1:17" ht="22.5" customHeight="1" x14ac:dyDescent="0.25">
      <c r="A59" s="483">
        <v>56</v>
      </c>
      <c r="B59" s="503" t="s">
        <v>287</v>
      </c>
      <c r="C59" s="485">
        <v>5.1180000000000003</v>
      </c>
      <c r="D59" s="484">
        <v>3</v>
      </c>
      <c r="E59" s="484">
        <v>3</v>
      </c>
      <c r="F59" s="484">
        <v>0</v>
      </c>
      <c r="G59" s="484">
        <v>53</v>
      </c>
      <c r="H59" s="486">
        <v>25</v>
      </c>
      <c r="I59" s="486">
        <v>0</v>
      </c>
      <c r="J59" s="486">
        <v>25</v>
      </c>
      <c r="K59" s="487">
        <v>5.6599999999999998E-2</v>
      </c>
      <c r="L59" s="488">
        <v>1</v>
      </c>
      <c r="M59" s="488">
        <v>0</v>
      </c>
      <c r="N59" s="489">
        <v>4.88</v>
      </c>
      <c r="O59" s="490">
        <v>0.59</v>
      </c>
      <c r="P59" s="490">
        <v>0</v>
      </c>
      <c r="Q59" s="491">
        <v>0.21</v>
      </c>
    </row>
    <row r="60" spans="1:17" ht="22.5" customHeight="1" x14ac:dyDescent="0.25">
      <c r="A60" s="483">
        <v>57</v>
      </c>
      <c r="B60" s="503" t="s">
        <v>332</v>
      </c>
      <c r="C60" s="485">
        <v>5.6139999999999999</v>
      </c>
      <c r="D60" s="484">
        <v>3</v>
      </c>
      <c r="E60" s="484">
        <v>3</v>
      </c>
      <c r="F60" s="484">
        <v>0</v>
      </c>
      <c r="G60" s="484">
        <v>40</v>
      </c>
      <c r="H60" s="486">
        <v>17</v>
      </c>
      <c r="I60" s="486">
        <v>0</v>
      </c>
      <c r="J60" s="486">
        <v>17</v>
      </c>
      <c r="K60" s="487">
        <v>7.4999999999999997E-2</v>
      </c>
      <c r="L60" s="488">
        <v>1</v>
      </c>
      <c r="M60" s="488">
        <v>0</v>
      </c>
      <c r="N60" s="489">
        <v>3.03</v>
      </c>
      <c r="O60" s="490">
        <v>0.53</v>
      </c>
      <c r="P60" s="490">
        <v>0</v>
      </c>
      <c r="Q60" s="491">
        <v>0.2</v>
      </c>
    </row>
    <row r="61" spans="1:17" ht="22.5" customHeight="1" x14ac:dyDescent="0.25">
      <c r="A61" s="483">
        <v>58</v>
      </c>
      <c r="B61" s="503" t="s">
        <v>286</v>
      </c>
      <c r="C61" s="485">
        <v>3.5659999999999998</v>
      </c>
      <c r="D61" s="484">
        <v>2</v>
      </c>
      <c r="E61" s="484">
        <v>2</v>
      </c>
      <c r="F61" s="484">
        <v>0</v>
      </c>
      <c r="G61" s="484">
        <v>33</v>
      </c>
      <c r="H61" s="486">
        <v>15</v>
      </c>
      <c r="I61" s="486">
        <v>0</v>
      </c>
      <c r="J61" s="486">
        <v>15</v>
      </c>
      <c r="K61" s="487">
        <v>6.0600000000000001E-2</v>
      </c>
      <c r="L61" s="488">
        <v>1</v>
      </c>
      <c r="M61" s="488">
        <v>0</v>
      </c>
      <c r="N61" s="489">
        <v>4.21</v>
      </c>
      <c r="O61" s="490">
        <v>0.56000000000000005</v>
      </c>
      <c r="P61" s="490">
        <v>0</v>
      </c>
      <c r="Q61" s="491">
        <v>0.19</v>
      </c>
    </row>
    <row r="62" spans="1:17" ht="22.5" customHeight="1" x14ac:dyDescent="0.25">
      <c r="A62" s="483">
        <v>59</v>
      </c>
      <c r="B62" s="503" t="s">
        <v>329</v>
      </c>
      <c r="C62" s="485">
        <v>5.2910000000000004</v>
      </c>
      <c r="D62" s="484">
        <v>3</v>
      </c>
      <c r="E62" s="484">
        <v>3</v>
      </c>
      <c r="F62" s="484">
        <v>0</v>
      </c>
      <c r="G62" s="484">
        <v>82</v>
      </c>
      <c r="H62" s="486">
        <v>25</v>
      </c>
      <c r="I62" s="486">
        <v>0</v>
      </c>
      <c r="J62" s="486">
        <v>25</v>
      </c>
      <c r="K62" s="487">
        <v>3.6600000000000001E-2</v>
      </c>
      <c r="L62" s="488">
        <v>1</v>
      </c>
      <c r="M62" s="488">
        <v>0</v>
      </c>
      <c r="N62" s="489">
        <v>4.7300000000000004</v>
      </c>
      <c r="O62" s="490">
        <v>0.56999999999999995</v>
      </c>
      <c r="P62" s="490">
        <v>0</v>
      </c>
      <c r="Q62" s="491">
        <v>0.18</v>
      </c>
    </row>
    <row r="63" spans="1:17" ht="22.5" customHeight="1" x14ac:dyDescent="0.25">
      <c r="A63" s="483">
        <v>60</v>
      </c>
      <c r="B63" s="503" t="s">
        <v>326</v>
      </c>
      <c r="C63" s="485">
        <v>5.1680000000000001</v>
      </c>
      <c r="D63" s="484">
        <v>2</v>
      </c>
      <c r="E63" s="484">
        <v>2</v>
      </c>
      <c r="F63" s="484">
        <v>0</v>
      </c>
      <c r="G63" s="484">
        <v>37</v>
      </c>
      <c r="H63" s="486">
        <v>20</v>
      </c>
      <c r="I63" s="486">
        <v>0</v>
      </c>
      <c r="J63" s="486">
        <v>20</v>
      </c>
      <c r="K63" s="487">
        <v>5.4100000000000002E-2</v>
      </c>
      <c r="L63" s="488">
        <v>1</v>
      </c>
      <c r="M63" s="488">
        <v>0</v>
      </c>
      <c r="N63" s="489">
        <v>3.87</v>
      </c>
      <c r="O63" s="490">
        <v>0.39</v>
      </c>
      <c r="P63" s="490">
        <v>0</v>
      </c>
      <c r="Q63" s="491">
        <v>0.17</v>
      </c>
    </row>
    <row r="64" spans="1:17" ht="22.5" customHeight="1" x14ac:dyDescent="0.25">
      <c r="A64" s="483">
        <v>61</v>
      </c>
      <c r="B64" s="503" t="s">
        <v>279</v>
      </c>
      <c r="C64" s="485">
        <v>3.5459999999999998</v>
      </c>
      <c r="D64" s="484">
        <v>2</v>
      </c>
      <c r="E64" s="484">
        <v>2</v>
      </c>
      <c r="F64" s="484">
        <v>0</v>
      </c>
      <c r="G64" s="484">
        <v>43</v>
      </c>
      <c r="H64" s="486">
        <v>6</v>
      </c>
      <c r="I64" s="486">
        <v>0</v>
      </c>
      <c r="J64" s="486">
        <v>6</v>
      </c>
      <c r="K64" s="487">
        <v>4.65E-2</v>
      </c>
      <c r="L64" s="488">
        <v>1</v>
      </c>
      <c r="M64" s="488">
        <v>0</v>
      </c>
      <c r="N64" s="489">
        <v>1.69</v>
      </c>
      <c r="O64" s="490">
        <v>0.56000000000000005</v>
      </c>
      <c r="P64" s="490">
        <v>0</v>
      </c>
      <c r="Q64" s="491">
        <v>0.16</v>
      </c>
    </row>
    <row r="65" spans="1:17" ht="22.5" customHeight="1" x14ac:dyDescent="0.25">
      <c r="A65" s="483">
        <v>62</v>
      </c>
      <c r="B65" s="503" t="s">
        <v>337</v>
      </c>
      <c r="C65" s="485">
        <v>3.9470000000000001</v>
      </c>
      <c r="D65" s="484">
        <v>2</v>
      </c>
      <c r="E65" s="484">
        <v>2</v>
      </c>
      <c r="F65" s="484">
        <v>0</v>
      </c>
      <c r="G65" s="484">
        <v>37</v>
      </c>
      <c r="H65" s="486">
        <v>11</v>
      </c>
      <c r="I65" s="486">
        <v>0</v>
      </c>
      <c r="J65" s="486">
        <v>11</v>
      </c>
      <c r="K65" s="487">
        <v>5.4100000000000002E-2</v>
      </c>
      <c r="L65" s="488">
        <v>1</v>
      </c>
      <c r="M65" s="488">
        <v>0</v>
      </c>
      <c r="N65" s="489">
        <v>2.79</v>
      </c>
      <c r="O65" s="490">
        <v>0.51</v>
      </c>
      <c r="P65" s="490">
        <v>0</v>
      </c>
      <c r="Q65" s="491">
        <v>0.16</v>
      </c>
    </row>
    <row r="66" spans="1:17" ht="22.5" customHeight="1" x14ac:dyDescent="0.25">
      <c r="A66" s="483">
        <v>63</v>
      </c>
      <c r="B66" s="503" t="s">
        <v>298</v>
      </c>
      <c r="C66" s="485">
        <v>4.0670000000000002</v>
      </c>
      <c r="D66" s="484">
        <v>1</v>
      </c>
      <c r="E66" s="484">
        <v>1</v>
      </c>
      <c r="F66" s="484">
        <v>0</v>
      </c>
      <c r="G66" s="484">
        <v>28</v>
      </c>
      <c r="H66" s="486">
        <v>10</v>
      </c>
      <c r="I66" s="486">
        <v>0</v>
      </c>
      <c r="J66" s="486">
        <v>10</v>
      </c>
      <c r="K66" s="487">
        <v>3.5700000000000003E-2</v>
      </c>
      <c r="L66" s="488">
        <v>1</v>
      </c>
      <c r="M66" s="488">
        <v>0</v>
      </c>
      <c r="N66" s="489">
        <v>2.46</v>
      </c>
      <c r="O66" s="490">
        <v>0.25</v>
      </c>
      <c r="P66" s="490">
        <v>0</v>
      </c>
      <c r="Q66" s="491">
        <v>0.14000000000000001</v>
      </c>
    </row>
    <row r="67" spans="1:17" ht="22.5" customHeight="1" x14ac:dyDescent="0.25">
      <c r="A67" s="483">
        <v>64</v>
      </c>
      <c r="B67" s="503" t="s">
        <v>360</v>
      </c>
      <c r="C67" s="485">
        <v>3.2370000000000001</v>
      </c>
      <c r="D67" s="484">
        <v>1</v>
      </c>
      <c r="E67" s="484">
        <v>1</v>
      </c>
      <c r="F67" s="484">
        <v>0</v>
      </c>
      <c r="G67" s="484">
        <v>36</v>
      </c>
      <c r="H67" s="486">
        <v>10</v>
      </c>
      <c r="I67" s="486">
        <v>0</v>
      </c>
      <c r="J67" s="486">
        <v>10</v>
      </c>
      <c r="K67" s="487">
        <v>2.7799999999999998E-2</v>
      </c>
      <c r="L67" s="488">
        <v>1</v>
      </c>
      <c r="M67" s="488">
        <v>0</v>
      </c>
      <c r="N67" s="489">
        <v>3.09</v>
      </c>
      <c r="O67" s="490">
        <v>0.31</v>
      </c>
      <c r="P67" s="490">
        <v>0</v>
      </c>
      <c r="Q67" s="491">
        <v>0.14000000000000001</v>
      </c>
    </row>
    <row r="68" spans="1:17" ht="22.5" customHeight="1" x14ac:dyDescent="0.25">
      <c r="A68" s="483">
        <v>65</v>
      </c>
      <c r="B68" s="503" t="s">
        <v>379</v>
      </c>
      <c r="C68" s="485">
        <v>6.2009999999999996</v>
      </c>
      <c r="D68" s="484">
        <v>2</v>
      </c>
      <c r="E68" s="484">
        <v>2</v>
      </c>
      <c r="F68" s="484">
        <v>0</v>
      </c>
      <c r="G68" s="484">
        <v>69</v>
      </c>
      <c r="H68" s="486">
        <v>7</v>
      </c>
      <c r="I68" s="486">
        <v>0</v>
      </c>
      <c r="J68" s="486">
        <v>7</v>
      </c>
      <c r="K68" s="487">
        <v>2.9000000000000001E-2</v>
      </c>
      <c r="L68" s="488">
        <v>1</v>
      </c>
      <c r="M68" s="488">
        <v>0</v>
      </c>
      <c r="N68" s="489">
        <v>1.1299999999999999</v>
      </c>
      <c r="O68" s="490">
        <v>0.32</v>
      </c>
      <c r="P68" s="490">
        <v>0</v>
      </c>
      <c r="Q68" s="491">
        <v>0.13</v>
      </c>
    </row>
    <row r="69" spans="1:17" ht="22.5" customHeight="1" x14ac:dyDescent="0.25">
      <c r="A69" s="483">
        <v>66</v>
      </c>
      <c r="B69" s="503" t="s">
        <v>352</v>
      </c>
      <c r="C69" s="485">
        <v>9.1920000000000002</v>
      </c>
      <c r="D69" s="484">
        <v>2</v>
      </c>
      <c r="E69" s="484">
        <v>2</v>
      </c>
      <c r="F69" s="484">
        <v>0</v>
      </c>
      <c r="G69" s="484">
        <v>94</v>
      </c>
      <c r="H69" s="486">
        <v>15</v>
      </c>
      <c r="I69" s="486">
        <v>0</v>
      </c>
      <c r="J69" s="486">
        <v>15</v>
      </c>
      <c r="K69" s="487">
        <v>2.1299999999999999E-2</v>
      </c>
      <c r="L69" s="488">
        <v>1</v>
      </c>
      <c r="M69" s="488">
        <v>0</v>
      </c>
      <c r="N69" s="489">
        <v>1.63</v>
      </c>
      <c r="O69" s="490">
        <v>0.22</v>
      </c>
      <c r="P69" s="490">
        <v>0</v>
      </c>
      <c r="Q69" s="491">
        <v>0.12</v>
      </c>
    </row>
    <row r="70" spans="1:17" ht="22.5" customHeight="1" x14ac:dyDescent="0.25">
      <c r="A70" s="483">
        <v>67</v>
      </c>
      <c r="B70" s="503" t="s">
        <v>374</v>
      </c>
      <c r="C70" s="485">
        <v>8.6940000000000008</v>
      </c>
      <c r="D70" s="484">
        <v>2</v>
      </c>
      <c r="E70" s="484">
        <v>2</v>
      </c>
      <c r="F70" s="484">
        <v>0</v>
      </c>
      <c r="G70" s="484">
        <v>86</v>
      </c>
      <c r="H70" s="486">
        <v>4</v>
      </c>
      <c r="I70" s="486">
        <v>0</v>
      </c>
      <c r="J70" s="486">
        <v>4</v>
      </c>
      <c r="K70" s="487">
        <v>2.3300000000000001E-2</v>
      </c>
      <c r="L70" s="488">
        <v>1</v>
      </c>
      <c r="M70" s="488">
        <v>0</v>
      </c>
      <c r="N70" s="489">
        <v>0.46</v>
      </c>
      <c r="O70" s="490">
        <v>0.23</v>
      </c>
      <c r="P70" s="490">
        <v>0</v>
      </c>
      <c r="Q70" s="491">
        <v>0.12</v>
      </c>
    </row>
    <row r="71" spans="1:17" ht="22.5" customHeight="1" x14ac:dyDescent="0.25">
      <c r="A71" s="483">
        <v>68</v>
      </c>
      <c r="B71" s="503" t="s">
        <v>400</v>
      </c>
      <c r="C71" s="485">
        <v>1.159</v>
      </c>
      <c r="D71" s="484">
        <v>0</v>
      </c>
      <c r="E71" s="484">
        <v>0</v>
      </c>
      <c r="F71" s="484">
        <v>0</v>
      </c>
      <c r="G71" s="484">
        <v>15</v>
      </c>
      <c r="H71" s="486">
        <v>0</v>
      </c>
      <c r="I71" s="486">
        <v>0</v>
      </c>
      <c r="J71" s="486">
        <v>0</v>
      </c>
      <c r="K71" s="487">
        <v>0</v>
      </c>
      <c r="L71" s="488">
        <v>0</v>
      </c>
      <c r="M71" s="488">
        <v>0</v>
      </c>
      <c r="N71" s="489">
        <v>0</v>
      </c>
      <c r="O71" s="490">
        <v>0</v>
      </c>
      <c r="P71" s="490">
        <v>0</v>
      </c>
      <c r="Q71" s="491">
        <v>0.01</v>
      </c>
    </row>
    <row r="72" spans="1:17" ht="22.5" customHeight="1" x14ac:dyDescent="0.25">
      <c r="A72" s="483">
        <v>69</v>
      </c>
      <c r="B72" s="503" t="s">
        <v>314</v>
      </c>
      <c r="C72" s="485">
        <v>0.60499999999999998</v>
      </c>
      <c r="D72" s="484">
        <v>0</v>
      </c>
      <c r="E72" s="484">
        <v>0</v>
      </c>
      <c r="F72" s="484">
        <v>0</v>
      </c>
      <c r="G72" s="484">
        <v>8</v>
      </c>
      <c r="H72" s="486">
        <v>0</v>
      </c>
      <c r="I72" s="486">
        <v>0</v>
      </c>
      <c r="J72" s="486">
        <v>0</v>
      </c>
      <c r="K72" s="487">
        <v>0</v>
      </c>
      <c r="L72" s="488">
        <v>0</v>
      </c>
      <c r="M72" s="488">
        <v>0</v>
      </c>
      <c r="N72" s="489">
        <v>0</v>
      </c>
      <c r="O72" s="490">
        <v>0</v>
      </c>
      <c r="P72" s="490">
        <v>0</v>
      </c>
      <c r="Q72" s="491">
        <v>0.01</v>
      </c>
    </row>
    <row r="73" spans="1:17" ht="22.5" customHeight="1" x14ac:dyDescent="0.25">
      <c r="A73" s="483">
        <v>70</v>
      </c>
      <c r="B73" s="503" t="s">
        <v>316</v>
      </c>
      <c r="C73" s="485">
        <v>0.99299999999999999</v>
      </c>
      <c r="D73" s="484">
        <v>0</v>
      </c>
      <c r="E73" s="484">
        <v>0</v>
      </c>
      <c r="F73" s="484">
        <v>0</v>
      </c>
      <c r="G73" s="484">
        <v>7</v>
      </c>
      <c r="H73" s="486">
        <v>0</v>
      </c>
      <c r="I73" s="486">
        <v>0</v>
      </c>
      <c r="J73" s="486">
        <v>0</v>
      </c>
      <c r="K73" s="487">
        <v>0</v>
      </c>
      <c r="L73" s="488">
        <v>0</v>
      </c>
      <c r="M73" s="488">
        <v>0</v>
      </c>
      <c r="N73" s="489">
        <v>0</v>
      </c>
      <c r="O73" s="490">
        <v>0</v>
      </c>
      <c r="P73" s="490">
        <v>0</v>
      </c>
      <c r="Q73" s="491">
        <v>0.01</v>
      </c>
    </row>
    <row r="74" spans="1:17" ht="22.5" customHeight="1" x14ac:dyDescent="0.25">
      <c r="A74" s="483">
        <v>71</v>
      </c>
      <c r="B74" s="503" t="s">
        <v>435</v>
      </c>
      <c r="C74" s="485">
        <v>4.7069999999999999</v>
      </c>
      <c r="D74" s="484">
        <v>0</v>
      </c>
      <c r="E74" s="484">
        <v>0</v>
      </c>
      <c r="F74" s="484">
        <v>0</v>
      </c>
      <c r="G74" s="484">
        <v>55</v>
      </c>
      <c r="H74" s="486">
        <v>0</v>
      </c>
      <c r="I74" s="486">
        <v>0</v>
      </c>
      <c r="J74" s="486">
        <v>0</v>
      </c>
      <c r="K74" s="487">
        <v>0</v>
      </c>
      <c r="L74" s="488">
        <v>0</v>
      </c>
      <c r="M74" s="488">
        <v>0</v>
      </c>
      <c r="N74" s="489">
        <v>0</v>
      </c>
      <c r="O74" s="490">
        <v>0</v>
      </c>
      <c r="P74" s="490">
        <v>0</v>
      </c>
      <c r="Q74" s="491">
        <v>0.01</v>
      </c>
    </row>
    <row r="75" spans="1:17" ht="22.5" customHeight="1" x14ac:dyDescent="0.25">
      <c r="A75" s="483">
        <v>72</v>
      </c>
      <c r="B75" s="503" t="s">
        <v>269</v>
      </c>
      <c r="C75" s="485">
        <v>2.5459999999999998</v>
      </c>
      <c r="D75" s="484">
        <v>0</v>
      </c>
      <c r="E75" s="484">
        <v>0</v>
      </c>
      <c r="F75" s="484">
        <v>0</v>
      </c>
      <c r="G75" s="484">
        <v>19</v>
      </c>
      <c r="H75" s="486">
        <v>0</v>
      </c>
      <c r="I75" s="486">
        <v>0</v>
      </c>
      <c r="J75" s="486">
        <v>0</v>
      </c>
      <c r="K75" s="487">
        <v>0</v>
      </c>
      <c r="L75" s="488">
        <v>0</v>
      </c>
      <c r="M75" s="488">
        <v>0</v>
      </c>
      <c r="N75" s="489">
        <v>0</v>
      </c>
      <c r="O75" s="490">
        <v>0</v>
      </c>
      <c r="P75" s="490">
        <v>0</v>
      </c>
      <c r="Q75" s="491">
        <v>0.01</v>
      </c>
    </row>
    <row r="76" spans="1:17" ht="22.5" customHeight="1" x14ac:dyDescent="0.25">
      <c r="A76" s="483">
        <v>73</v>
      </c>
      <c r="B76" s="503" t="s">
        <v>354</v>
      </c>
      <c r="C76" s="485">
        <v>4.1130000000000004</v>
      </c>
      <c r="D76" s="484">
        <v>0</v>
      </c>
      <c r="E76" s="484">
        <v>0</v>
      </c>
      <c r="F76" s="484">
        <v>0</v>
      </c>
      <c r="G76" s="484">
        <v>36</v>
      </c>
      <c r="H76" s="486">
        <v>0</v>
      </c>
      <c r="I76" s="486">
        <v>0</v>
      </c>
      <c r="J76" s="486">
        <v>0</v>
      </c>
      <c r="K76" s="487">
        <v>0</v>
      </c>
      <c r="L76" s="488">
        <v>0</v>
      </c>
      <c r="M76" s="488">
        <v>0</v>
      </c>
      <c r="N76" s="489">
        <v>0</v>
      </c>
      <c r="O76" s="490">
        <v>0</v>
      </c>
      <c r="P76" s="490">
        <v>0</v>
      </c>
      <c r="Q76" s="491">
        <v>0.01</v>
      </c>
    </row>
    <row r="77" spans="1:17" ht="22.5" customHeight="1" x14ac:dyDescent="0.25">
      <c r="A77" s="483">
        <v>74</v>
      </c>
      <c r="B77" s="503" t="s">
        <v>305</v>
      </c>
      <c r="C77" s="485">
        <v>5.1710000000000003</v>
      </c>
      <c r="D77" s="484">
        <v>0</v>
      </c>
      <c r="E77" s="484">
        <v>0</v>
      </c>
      <c r="F77" s="484">
        <v>0</v>
      </c>
      <c r="G77" s="484">
        <v>36</v>
      </c>
      <c r="H77" s="486">
        <v>0</v>
      </c>
      <c r="I77" s="486">
        <v>0</v>
      </c>
      <c r="J77" s="486">
        <v>0</v>
      </c>
      <c r="K77" s="487">
        <v>0</v>
      </c>
      <c r="L77" s="488">
        <v>0</v>
      </c>
      <c r="M77" s="488">
        <v>0</v>
      </c>
      <c r="N77" s="489">
        <v>0</v>
      </c>
      <c r="O77" s="490">
        <v>0</v>
      </c>
      <c r="P77" s="490">
        <v>0</v>
      </c>
      <c r="Q77" s="491">
        <v>0.01</v>
      </c>
    </row>
    <row r="78" spans="1:17" ht="22.5" customHeight="1" x14ac:dyDescent="0.25">
      <c r="A78" s="483">
        <v>75</v>
      </c>
      <c r="B78" s="503" t="s">
        <v>295</v>
      </c>
      <c r="C78" s="485">
        <v>0.98</v>
      </c>
      <c r="D78" s="484">
        <v>0</v>
      </c>
      <c r="E78" s="484">
        <v>0</v>
      </c>
      <c r="F78" s="484">
        <v>0</v>
      </c>
      <c r="G78" s="484">
        <v>5</v>
      </c>
      <c r="H78" s="486">
        <v>0</v>
      </c>
      <c r="I78" s="486">
        <v>0</v>
      </c>
      <c r="J78" s="486">
        <v>0</v>
      </c>
      <c r="K78" s="487">
        <v>0</v>
      </c>
      <c r="L78" s="488">
        <v>0</v>
      </c>
      <c r="M78" s="488">
        <v>0</v>
      </c>
      <c r="N78" s="489">
        <v>0</v>
      </c>
      <c r="O78" s="490">
        <v>0</v>
      </c>
      <c r="P78" s="490">
        <v>0</v>
      </c>
      <c r="Q78" s="491">
        <v>0.01</v>
      </c>
    </row>
    <row r="79" spans="1:17" ht="22.5" customHeight="1" x14ac:dyDescent="0.25">
      <c r="A79" s="483">
        <v>76</v>
      </c>
      <c r="B79" s="503" t="s">
        <v>397</v>
      </c>
      <c r="C79" s="485">
        <v>5.5739999999999998</v>
      </c>
      <c r="D79" s="484">
        <v>0</v>
      </c>
      <c r="E79" s="484">
        <v>0</v>
      </c>
      <c r="F79" s="484">
        <v>0</v>
      </c>
      <c r="G79" s="484">
        <v>22</v>
      </c>
      <c r="H79" s="486">
        <v>0</v>
      </c>
      <c r="I79" s="486">
        <v>0</v>
      </c>
      <c r="J79" s="486">
        <v>0</v>
      </c>
      <c r="K79" s="487">
        <v>0</v>
      </c>
      <c r="L79" s="488">
        <v>0</v>
      </c>
      <c r="M79" s="488">
        <v>0</v>
      </c>
      <c r="N79" s="489">
        <v>0</v>
      </c>
      <c r="O79" s="490">
        <v>0</v>
      </c>
      <c r="P79" s="490">
        <v>0</v>
      </c>
      <c r="Q79" s="491">
        <v>0.01</v>
      </c>
    </row>
    <row r="80" spans="1:17" ht="22.5" customHeight="1" x14ac:dyDescent="0.25">
      <c r="A80" s="483">
        <v>77</v>
      </c>
      <c r="B80" s="503" t="s">
        <v>330</v>
      </c>
      <c r="C80" s="485">
        <v>2.48</v>
      </c>
      <c r="D80" s="484">
        <v>0</v>
      </c>
      <c r="E80" s="484">
        <v>0</v>
      </c>
      <c r="F80" s="484">
        <v>0</v>
      </c>
      <c r="G80" s="484">
        <v>29</v>
      </c>
      <c r="H80" s="486">
        <v>0</v>
      </c>
      <c r="I80" s="486">
        <v>0</v>
      </c>
      <c r="J80" s="486">
        <v>0</v>
      </c>
      <c r="K80" s="487">
        <v>0</v>
      </c>
      <c r="L80" s="488">
        <v>0</v>
      </c>
      <c r="M80" s="488">
        <v>0</v>
      </c>
      <c r="N80" s="489">
        <v>0</v>
      </c>
      <c r="O80" s="490">
        <v>0</v>
      </c>
      <c r="P80" s="490">
        <v>0</v>
      </c>
      <c r="Q80" s="491">
        <v>0.01</v>
      </c>
    </row>
    <row r="81" spans="1:17" ht="22.5" customHeight="1" x14ac:dyDescent="0.25">
      <c r="A81" s="483" t="s">
        <v>171</v>
      </c>
      <c r="B81" s="504" t="s">
        <v>3</v>
      </c>
      <c r="C81" s="493">
        <v>371.53500000000003</v>
      </c>
      <c r="D81" s="492">
        <v>336</v>
      </c>
      <c r="E81" s="492">
        <v>332</v>
      </c>
      <c r="F81" s="492">
        <v>2</v>
      </c>
      <c r="G81" s="494">
        <v>3686</v>
      </c>
      <c r="H81" s="495">
        <v>3291</v>
      </c>
      <c r="I81" s="495">
        <v>75</v>
      </c>
      <c r="J81" s="495">
        <v>3381</v>
      </c>
      <c r="K81" s="496">
        <v>9.1200000000000003E-2</v>
      </c>
      <c r="L81" s="505">
        <v>0.99399999999999999</v>
      </c>
      <c r="M81" s="505">
        <v>0.5</v>
      </c>
      <c r="N81" s="506">
        <v>9.06</v>
      </c>
      <c r="O81" s="507">
        <v>0.9</v>
      </c>
      <c r="P81" s="507">
        <v>0.01</v>
      </c>
      <c r="Q81" s="508" t="s">
        <v>171</v>
      </c>
    </row>
  </sheetData>
  <sortState ref="B3:R79">
    <sortCondition descending="1" ref="Q3"/>
  </sortState>
  <mergeCells count="3">
    <mergeCell ref="A2:A3"/>
    <mergeCell ref="B2:B3"/>
    <mergeCell ref="F1:L1"/>
  </mergeCells>
  <pageMargins left="0.25" right="0.25" top="0.25" bottom="0.5" header="0.25" footer="0.25"/>
  <pageSetup orientation="portrait" cellComments="atEnd"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tabColor rgb="FF0070C0"/>
  </sheetPr>
  <dimension ref="A1:Q80"/>
  <sheetViews>
    <sheetView workbookViewId="0">
      <selection activeCell="H16" sqref="H16"/>
    </sheetView>
  </sheetViews>
  <sheetFormatPr defaultRowHeight="22.5" customHeight="1" x14ac:dyDescent="0.25"/>
  <cols>
    <col min="1" max="1" width="6" style="93" bestFit="1" customWidth="1"/>
    <col min="2" max="2" width="21.5703125" style="94" bestFit="1" customWidth="1"/>
    <col min="3" max="3" width="8.28515625" style="93" bestFit="1" customWidth="1"/>
    <col min="4" max="4" width="6" style="93" bestFit="1" customWidth="1"/>
    <col min="5" max="5" width="10.28515625" style="93" bestFit="1" customWidth="1"/>
    <col min="6" max="6" width="10.42578125" style="93" bestFit="1" customWidth="1"/>
    <col min="7" max="7" width="8.42578125" style="93" bestFit="1" customWidth="1"/>
    <col min="8" max="9" width="12" style="93" bestFit="1" customWidth="1"/>
    <col min="10" max="11" width="13.42578125" style="93" bestFit="1" customWidth="1"/>
    <col min="12" max="12" width="11.42578125" style="93" bestFit="1" customWidth="1"/>
    <col min="13" max="13" width="10.42578125" style="93" bestFit="1" customWidth="1"/>
    <col min="14" max="14" width="11.85546875" style="93" bestFit="1" customWidth="1"/>
    <col min="15" max="15" width="11.42578125" style="93" bestFit="1" customWidth="1"/>
    <col min="16" max="16" width="10.42578125" style="93" bestFit="1" customWidth="1"/>
    <col min="17" max="17" width="12.28515625" style="93" bestFit="1" customWidth="1"/>
    <col min="18" max="16384" width="9.140625" style="93"/>
  </cols>
  <sheetData>
    <row r="1" spans="1:17" ht="22.5" customHeight="1" x14ac:dyDescent="0.25">
      <c r="F1" s="658"/>
      <c r="G1" s="658"/>
      <c r="H1" s="658"/>
      <c r="I1" s="658"/>
      <c r="J1" s="658"/>
      <c r="K1" s="658"/>
      <c r="L1" s="658"/>
    </row>
    <row r="2" spans="1:17" ht="22.5" customHeight="1" x14ac:dyDescent="0.25">
      <c r="A2" s="655" t="s">
        <v>172</v>
      </c>
      <c r="B2" s="608" t="s">
        <v>7</v>
      </c>
      <c r="C2" s="523" t="s">
        <v>173</v>
      </c>
      <c r="D2" s="524" t="s">
        <v>3</v>
      </c>
      <c r="E2" s="524" t="s">
        <v>176</v>
      </c>
      <c r="F2" s="524" t="s">
        <v>166</v>
      </c>
      <c r="G2" s="524" t="s">
        <v>8</v>
      </c>
      <c r="H2" s="524" t="s">
        <v>176</v>
      </c>
      <c r="I2" s="524" t="s">
        <v>166</v>
      </c>
      <c r="J2" s="524" t="s">
        <v>3</v>
      </c>
      <c r="K2" s="524" t="s">
        <v>21</v>
      </c>
      <c r="L2" s="524" t="s">
        <v>164</v>
      </c>
      <c r="M2" s="524" t="s">
        <v>166</v>
      </c>
      <c r="N2" s="524" t="s">
        <v>164</v>
      </c>
      <c r="O2" s="524" t="s">
        <v>164</v>
      </c>
      <c r="P2" s="524" t="s">
        <v>166</v>
      </c>
      <c r="Q2" s="525" t="s">
        <v>169</v>
      </c>
    </row>
    <row r="3" spans="1:17" ht="22.5" customHeight="1" x14ac:dyDescent="0.25">
      <c r="A3" s="656"/>
      <c r="B3" s="657"/>
      <c r="C3" s="526" t="s">
        <v>174</v>
      </c>
      <c r="D3" s="527" t="s">
        <v>175</v>
      </c>
      <c r="E3" s="527" t="s">
        <v>175</v>
      </c>
      <c r="F3" s="527" t="s">
        <v>175</v>
      </c>
      <c r="G3" s="527" t="s">
        <v>12</v>
      </c>
      <c r="H3" s="527" t="s">
        <v>9</v>
      </c>
      <c r="I3" s="527" t="s">
        <v>9</v>
      </c>
      <c r="J3" s="527" t="s">
        <v>9</v>
      </c>
      <c r="K3" s="527" t="s">
        <v>13</v>
      </c>
      <c r="L3" s="527" t="s">
        <v>165</v>
      </c>
      <c r="M3" s="527" t="s">
        <v>165</v>
      </c>
      <c r="N3" s="527" t="s">
        <v>167</v>
      </c>
      <c r="O3" s="527" t="s">
        <v>168</v>
      </c>
      <c r="P3" s="527" t="s">
        <v>168</v>
      </c>
      <c r="Q3" s="528" t="s">
        <v>170</v>
      </c>
    </row>
    <row r="4" spans="1:17" ht="22.5" customHeight="1" x14ac:dyDescent="0.25">
      <c r="A4" s="509">
        <v>1</v>
      </c>
      <c r="B4" s="529" t="s">
        <v>430</v>
      </c>
      <c r="C4" s="511">
        <v>6.2439999999999998</v>
      </c>
      <c r="D4" s="510">
        <v>14</v>
      </c>
      <c r="E4" s="510">
        <v>12</v>
      </c>
      <c r="F4" s="510">
        <v>1</v>
      </c>
      <c r="G4" s="510">
        <v>36</v>
      </c>
      <c r="H4" s="512">
        <v>501</v>
      </c>
      <c r="I4" s="512">
        <v>120</v>
      </c>
      <c r="J4" s="512">
        <v>641</v>
      </c>
      <c r="K4" s="513">
        <v>0.38890000000000002</v>
      </c>
      <c r="L4" s="514">
        <v>0.92859999999999998</v>
      </c>
      <c r="M4" s="514">
        <v>0.5</v>
      </c>
      <c r="N4" s="515">
        <v>99.46</v>
      </c>
      <c r="O4" s="516">
        <v>2.08</v>
      </c>
      <c r="P4" s="516">
        <v>0.16</v>
      </c>
      <c r="Q4" s="517">
        <v>0.85</v>
      </c>
    </row>
    <row r="5" spans="1:17" ht="22.5" customHeight="1" x14ac:dyDescent="0.25">
      <c r="A5" s="509">
        <v>2</v>
      </c>
      <c r="B5" s="529" t="s">
        <v>412</v>
      </c>
      <c r="C5" s="511">
        <v>7.1219999999999999</v>
      </c>
      <c r="D5" s="510">
        <v>11</v>
      </c>
      <c r="E5" s="510">
        <v>10</v>
      </c>
      <c r="F5" s="510">
        <v>1</v>
      </c>
      <c r="G5" s="510">
        <v>36</v>
      </c>
      <c r="H5" s="512">
        <v>315</v>
      </c>
      <c r="I5" s="512">
        <v>120</v>
      </c>
      <c r="J5" s="512">
        <v>435</v>
      </c>
      <c r="K5" s="513">
        <v>0.30559999999999998</v>
      </c>
      <c r="L5" s="514">
        <v>1</v>
      </c>
      <c r="M5" s="514">
        <v>1</v>
      </c>
      <c r="N5" s="515">
        <v>61.08</v>
      </c>
      <c r="O5" s="516">
        <v>1.54</v>
      </c>
      <c r="P5" s="516">
        <v>0.14000000000000001</v>
      </c>
      <c r="Q5" s="517">
        <v>0.83</v>
      </c>
    </row>
    <row r="6" spans="1:17" ht="22.5" customHeight="1" x14ac:dyDescent="0.25">
      <c r="A6" s="509">
        <v>3</v>
      </c>
      <c r="B6" s="529" t="s">
        <v>277</v>
      </c>
      <c r="C6" s="511">
        <v>8.8379999999999992</v>
      </c>
      <c r="D6" s="510">
        <v>16</v>
      </c>
      <c r="E6" s="510">
        <v>14</v>
      </c>
      <c r="F6" s="510">
        <v>1</v>
      </c>
      <c r="G6" s="510">
        <v>56</v>
      </c>
      <c r="H6" s="512">
        <v>195.5</v>
      </c>
      <c r="I6" s="512">
        <v>300</v>
      </c>
      <c r="J6" s="512">
        <v>500.5</v>
      </c>
      <c r="K6" s="513">
        <v>0.28570000000000001</v>
      </c>
      <c r="L6" s="514">
        <v>0.9375</v>
      </c>
      <c r="M6" s="514">
        <v>0.5</v>
      </c>
      <c r="N6" s="515">
        <v>56.06</v>
      </c>
      <c r="O6" s="516">
        <v>1.7</v>
      </c>
      <c r="P6" s="516">
        <v>0.11</v>
      </c>
      <c r="Q6" s="517">
        <v>0.79</v>
      </c>
    </row>
    <row r="7" spans="1:17" ht="22.5" customHeight="1" x14ac:dyDescent="0.25">
      <c r="A7" s="509">
        <v>4</v>
      </c>
      <c r="B7" s="529" t="s">
        <v>403</v>
      </c>
      <c r="C7" s="511">
        <v>6.5949999999999998</v>
      </c>
      <c r="D7" s="510">
        <v>11</v>
      </c>
      <c r="E7" s="510">
        <v>4</v>
      </c>
      <c r="F7" s="510">
        <v>4</v>
      </c>
      <c r="G7" s="510">
        <v>36</v>
      </c>
      <c r="H7" s="512">
        <v>180</v>
      </c>
      <c r="I7" s="512">
        <v>480</v>
      </c>
      <c r="J7" s="512">
        <v>985</v>
      </c>
      <c r="K7" s="513">
        <v>0.30559999999999998</v>
      </c>
      <c r="L7" s="514">
        <v>0.72729999999999995</v>
      </c>
      <c r="M7" s="514">
        <v>0.57140000000000002</v>
      </c>
      <c r="N7" s="515">
        <v>100.08</v>
      </c>
      <c r="O7" s="516">
        <v>1.21</v>
      </c>
      <c r="P7" s="516">
        <v>0.61</v>
      </c>
      <c r="Q7" s="517">
        <v>0.79</v>
      </c>
    </row>
    <row r="8" spans="1:17" ht="22.5" customHeight="1" x14ac:dyDescent="0.25">
      <c r="A8" s="509">
        <v>5</v>
      </c>
      <c r="B8" s="529" t="s">
        <v>402</v>
      </c>
      <c r="C8" s="511">
        <v>5.9020000000000001</v>
      </c>
      <c r="D8" s="510">
        <v>11</v>
      </c>
      <c r="E8" s="510">
        <v>9</v>
      </c>
      <c r="F8" s="510">
        <v>1</v>
      </c>
      <c r="G8" s="510">
        <v>59</v>
      </c>
      <c r="H8" s="512">
        <v>275</v>
      </c>
      <c r="I8" s="512">
        <v>120</v>
      </c>
      <c r="J8" s="512">
        <v>405</v>
      </c>
      <c r="K8" s="513">
        <v>0.18640000000000001</v>
      </c>
      <c r="L8" s="514">
        <v>0.90910000000000002</v>
      </c>
      <c r="M8" s="514">
        <v>0.5</v>
      </c>
      <c r="N8" s="515">
        <v>66.930000000000007</v>
      </c>
      <c r="O8" s="516">
        <v>1.69</v>
      </c>
      <c r="P8" s="516">
        <v>0.17</v>
      </c>
      <c r="Q8" s="517">
        <v>0.76</v>
      </c>
    </row>
    <row r="9" spans="1:17" ht="22.5" customHeight="1" x14ac:dyDescent="0.25">
      <c r="A9" s="509">
        <v>6</v>
      </c>
      <c r="B9" s="529" t="s">
        <v>389</v>
      </c>
      <c r="C9" s="511">
        <v>6.4459999999999997</v>
      </c>
      <c r="D9" s="510">
        <v>12</v>
      </c>
      <c r="E9" s="510">
        <v>9</v>
      </c>
      <c r="F9" s="510">
        <v>2</v>
      </c>
      <c r="G9" s="510">
        <v>65</v>
      </c>
      <c r="H9" s="512">
        <v>58</v>
      </c>
      <c r="I9" s="512">
        <v>240</v>
      </c>
      <c r="J9" s="512">
        <v>318</v>
      </c>
      <c r="K9" s="513">
        <v>0.18459999999999999</v>
      </c>
      <c r="L9" s="514">
        <v>0.91669999999999996</v>
      </c>
      <c r="M9" s="514">
        <v>0.66669999999999996</v>
      </c>
      <c r="N9" s="515">
        <v>46.23</v>
      </c>
      <c r="O9" s="516">
        <v>1.71</v>
      </c>
      <c r="P9" s="516">
        <v>0.31</v>
      </c>
      <c r="Q9" s="517">
        <v>0.76</v>
      </c>
    </row>
    <row r="10" spans="1:17" ht="22.5" customHeight="1" x14ac:dyDescent="0.25">
      <c r="A10" s="509">
        <v>7</v>
      </c>
      <c r="B10" s="529" t="s">
        <v>428</v>
      </c>
      <c r="C10" s="511">
        <v>6.0890000000000004</v>
      </c>
      <c r="D10" s="510">
        <v>6</v>
      </c>
      <c r="E10" s="510">
        <v>5</v>
      </c>
      <c r="F10" s="510">
        <v>1</v>
      </c>
      <c r="G10" s="510">
        <v>25</v>
      </c>
      <c r="H10" s="512">
        <v>185</v>
      </c>
      <c r="I10" s="512">
        <v>120</v>
      </c>
      <c r="J10" s="512">
        <v>305</v>
      </c>
      <c r="K10" s="513">
        <v>0.24</v>
      </c>
      <c r="L10" s="514">
        <v>1</v>
      </c>
      <c r="M10" s="514">
        <v>1</v>
      </c>
      <c r="N10" s="515">
        <v>50.09</v>
      </c>
      <c r="O10" s="516">
        <v>0.99</v>
      </c>
      <c r="P10" s="516">
        <v>0.16</v>
      </c>
      <c r="Q10" s="517">
        <v>0.76</v>
      </c>
    </row>
    <row r="11" spans="1:17" ht="22.5" customHeight="1" x14ac:dyDescent="0.25">
      <c r="A11" s="509">
        <v>8</v>
      </c>
      <c r="B11" s="529" t="s">
        <v>272</v>
      </c>
      <c r="C11" s="511">
        <v>9.8889999999999993</v>
      </c>
      <c r="D11" s="510">
        <v>15</v>
      </c>
      <c r="E11" s="510">
        <v>10</v>
      </c>
      <c r="F11" s="510">
        <v>4</v>
      </c>
      <c r="G11" s="510">
        <v>117</v>
      </c>
      <c r="H11" s="512">
        <v>150</v>
      </c>
      <c r="I11" s="512">
        <v>420</v>
      </c>
      <c r="J11" s="512">
        <v>620</v>
      </c>
      <c r="K11" s="513">
        <v>0.12820000000000001</v>
      </c>
      <c r="L11" s="514">
        <v>0.93330000000000002</v>
      </c>
      <c r="M11" s="514">
        <v>0.8</v>
      </c>
      <c r="N11" s="515">
        <v>57.64</v>
      </c>
      <c r="O11" s="516">
        <v>1.42</v>
      </c>
      <c r="P11" s="516">
        <v>0.4</v>
      </c>
      <c r="Q11" s="517">
        <v>0.73</v>
      </c>
    </row>
    <row r="12" spans="1:17" ht="22.5" customHeight="1" x14ac:dyDescent="0.25">
      <c r="A12" s="509">
        <v>9</v>
      </c>
      <c r="B12" s="529" t="s">
        <v>414</v>
      </c>
      <c r="C12" s="511">
        <v>3.875</v>
      </c>
      <c r="D12" s="510">
        <v>5</v>
      </c>
      <c r="E12" s="510">
        <v>3</v>
      </c>
      <c r="F12" s="510">
        <v>2</v>
      </c>
      <c r="G12" s="510">
        <v>41</v>
      </c>
      <c r="H12" s="512">
        <v>25</v>
      </c>
      <c r="I12" s="512">
        <v>240</v>
      </c>
      <c r="J12" s="512">
        <v>265</v>
      </c>
      <c r="K12" s="513">
        <v>0.122</v>
      </c>
      <c r="L12" s="514">
        <v>1</v>
      </c>
      <c r="M12" s="514">
        <v>1</v>
      </c>
      <c r="N12" s="515">
        <v>68.39</v>
      </c>
      <c r="O12" s="516">
        <v>1.29</v>
      </c>
      <c r="P12" s="516">
        <v>0.52</v>
      </c>
      <c r="Q12" s="517">
        <v>0.73</v>
      </c>
    </row>
    <row r="13" spans="1:17" ht="22.5" customHeight="1" x14ac:dyDescent="0.25">
      <c r="A13" s="509">
        <v>10</v>
      </c>
      <c r="B13" s="529" t="s">
        <v>337</v>
      </c>
      <c r="C13" s="511">
        <v>5.9850000000000003</v>
      </c>
      <c r="D13" s="510">
        <v>5</v>
      </c>
      <c r="E13" s="510">
        <v>4</v>
      </c>
      <c r="F13" s="510">
        <v>1</v>
      </c>
      <c r="G13" s="510">
        <v>23</v>
      </c>
      <c r="H13" s="512">
        <v>150</v>
      </c>
      <c r="I13" s="512">
        <v>120</v>
      </c>
      <c r="J13" s="512">
        <v>270</v>
      </c>
      <c r="K13" s="513">
        <v>0.21740000000000001</v>
      </c>
      <c r="L13" s="514">
        <v>1</v>
      </c>
      <c r="M13" s="514">
        <v>1</v>
      </c>
      <c r="N13" s="515">
        <v>45.11</v>
      </c>
      <c r="O13" s="516">
        <v>0.84</v>
      </c>
      <c r="P13" s="516">
        <v>0.17</v>
      </c>
      <c r="Q13" s="517">
        <v>0.72</v>
      </c>
    </row>
    <row r="14" spans="1:17" ht="22.5" customHeight="1" x14ac:dyDescent="0.25">
      <c r="A14" s="509">
        <v>11</v>
      </c>
      <c r="B14" s="529" t="s">
        <v>383</v>
      </c>
      <c r="C14" s="511">
        <v>6.3239999999999998</v>
      </c>
      <c r="D14" s="510">
        <v>5</v>
      </c>
      <c r="E14" s="510">
        <v>3</v>
      </c>
      <c r="F14" s="510">
        <v>2</v>
      </c>
      <c r="G14" s="510">
        <v>31</v>
      </c>
      <c r="H14" s="512">
        <v>250</v>
      </c>
      <c r="I14" s="512">
        <v>240</v>
      </c>
      <c r="J14" s="512">
        <v>490</v>
      </c>
      <c r="K14" s="513">
        <v>0.1613</v>
      </c>
      <c r="L14" s="514">
        <v>1</v>
      </c>
      <c r="M14" s="514">
        <v>1</v>
      </c>
      <c r="N14" s="515">
        <v>77.48</v>
      </c>
      <c r="O14" s="516">
        <v>0.79</v>
      </c>
      <c r="P14" s="516">
        <v>0.32</v>
      </c>
      <c r="Q14" s="517">
        <v>0.7</v>
      </c>
    </row>
    <row r="15" spans="1:17" ht="22.5" customHeight="1" x14ac:dyDescent="0.25">
      <c r="A15" s="509">
        <v>12</v>
      </c>
      <c r="B15" s="529" t="s">
        <v>325</v>
      </c>
      <c r="C15" s="511">
        <v>5.524</v>
      </c>
      <c r="D15" s="510">
        <v>6</v>
      </c>
      <c r="E15" s="510">
        <v>4</v>
      </c>
      <c r="F15" s="510">
        <v>1</v>
      </c>
      <c r="G15" s="510">
        <v>20</v>
      </c>
      <c r="H15" s="512">
        <v>120</v>
      </c>
      <c r="I15" s="512">
        <v>60</v>
      </c>
      <c r="J15" s="512">
        <v>200</v>
      </c>
      <c r="K15" s="513">
        <v>0.3</v>
      </c>
      <c r="L15" s="514">
        <v>0.83330000000000004</v>
      </c>
      <c r="M15" s="514">
        <v>0.5</v>
      </c>
      <c r="N15" s="515">
        <v>32.590000000000003</v>
      </c>
      <c r="O15" s="516">
        <v>0.91</v>
      </c>
      <c r="P15" s="516">
        <v>0.18</v>
      </c>
      <c r="Q15" s="517">
        <v>0.69</v>
      </c>
    </row>
    <row r="16" spans="1:17" ht="22.5" customHeight="1" x14ac:dyDescent="0.25">
      <c r="A16" s="509">
        <v>13</v>
      </c>
      <c r="B16" s="529" t="s">
        <v>300</v>
      </c>
      <c r="C16" s="511">
        <v>5.4720000000000004</v>
      </c>
      <c r="D16" s="510">
        <v>7</v>
      </c>
      <c r="E16" s="510">
        <v>4</v>
      </c>
      <c r="F16" s="510">
        <v>1</v>
      </c>
      <c r="G16" s="510">
        <v>32</v>
      </c>
      <c r="H16" s="512">
        <v>140</v>
      </c>
      <c r="I16" s="512">
        <v>120</v>
      </c>
      <c r="J16" s="512">
        <v>300</v>
      </c>
      <c r="K16" s="513">
        <v>0.21879999999999999</v>
      </c>
      <c r="L16" s="514">
        <v>0.71430000000000005</v>
      </c>
      <c r="M16" s="514">
        <v>0.33329999999999999</v>
      </c>
      <c r="N16" s="515">
        <v>47.51</v>
      </c>
      <c r="O16" s="516">
        <v>0.91</v>
      </c>
      <c r="P16" s="516">
        <v>0.18</v>
      </c>
      <c r="Q16" s="517">
        <v>0.66</v>
      </c>
    </row>
    <row r="17" spans="1:17" ht="22.5" customHeight="1" x14ac:dyDescent="0.25">
      <c r="A17" s="509">
        <v>14</v>
      </c>
      <c r="B17" s="529" t="s">
        <v>274</v>
      </c>
      <c r="C17" s="511">
        <v>0.87</v>
      </c>
      <c r="D17" s="510">
        <v>1</v>
      </c>
      <c r="E17" s="510">
        <v>1</v>
      </c>
      <c r="F17" s="510">
        <v>0</v>
      </c>
      <c r="G17" s="510">
        <v>2</v>
      </c>
      <c r="H17" s="512">
        <v>100</v>
      </c>
      <c r="I17" s="512">
        <v>0</v>
      </c>
      <c r="J17" s="512">
        <v>100</v>
      </c>
      <c r="K17" s="513">
        <v>0.5</v>
      </c>
      <c r="L17" s="514">
        <v>1</v>
      </c>
      <c r="M17" s="514">
        <v>0</v>
      </c>
      <c r="N17" s="515">
        <v>114.94</v>
      </c>
      <c r="O17" s="516">
        <v>1.1499999999999999</v>
      </c>
      <c r="P17" s="516">
        <v>0</v>
      </c>
      <c r="Q17" s="517">
        <v>0.65</v>
      </c>
    </row>
    <row r="18" spans="1:17" ht="22.5" customHeight="1" x14ac:dyDescent="0.25">
      <c r="A18" s="509">
        <v>15</v>
      </c>
      <c r="B18" s="529" t="s">
        <v>422</v>
      </c>
      <c r="C18" s="511">
        <v>12.198</v>
      </c>
      <c r="D18" s="510">
        <v>18</v>
      </c>
      <c r="E18" s="510">
        <v>10</v>
      </c>
      <c r="F18" s="510">
        <v>2</v>
      </c>
      <c r="G18" s="510">
        <v>79</v>
      </c>
      <c r="H18" s="512">
        <v>206</v>
      </c>
      <c r="I18" s="512">
        <v>240</v>
      </c>
      <c r="J18" s="512">
        <v>756</v>
      </c>
      <c r="K18" s="513">
        <v>0.2278</v>
      </c>
      <c r="L18" s="514">
        <v>0.66669999999999996</v>
      </c>
      <c r="M18" s="514">
        <v>0.25</v>
      </c>
      <c r="N18" s="515">
        <v>36.56</v>
      </c>
      <c r="O18" s="516">
        <v>0.98</v>
      </c>
      <c r="P18" s="516">
        <v>0.16</v>
      </c>
      <c r="Q18" s="517">
        <v>0.64</v>
      </c>
    </row>
    <row r="19" spans="1:17" ht="22.5" customHeight="1" x14ac:dyDescent="0.25">
      <c r="A19" s="509">
        <v>16</v>
      </c>
      <c r="B19" s="529" t="s">
        <v>330</v>
      </c>
      <c r="C19" s="511">
        <v>2.2629999999999999</v>
      </c>
      <c r="D19" s="510">
        <v>3</v>
      </c>
      <c r="E19" s="510">
        <v>3</v>
      </c>
      <c r="F19" s="510">
        <v>0</v>
      </c>
      <c r="G19" s="510">
        <v>11</v>
      </c>
      <c r="H19" s="512">
        <v>180</v>
      </c>
      <c r="I19" s="512">
        <v>0</v>
      </c>
      <c r="J19" s="512">
        <v>180</v>
      </c>
      <c r="K19" s="513">
        <v>0.2727</v>
      </c>
      <c r="L19" s="514">
        <v>1</v>
      </c>
      <c r="M19" s="514">
        <v>0</v>
      </c>
      <c r="N19" s="515">
        <v>79.540000000000006</v>
      </c>
      <c r="O19" s="516">
        <v>1.33</v>
      </c>
      <c r="P19" s="516">
        <v>0</v>
      </c>
      <c r="Q19" s="517">
        <v>0.63</v>
      </c>
    </row>
    <row r="20" spans="1:17" ht="22.5" customHeight="1" x14ac:dyDescent="0.25">
      <c r="A20" s="509">
        <v>17</v>
      </c>
      <c r="B20" s="529" t="s">
        <v>435</v>
      </c>
      <c r="C20" s="511">
        <v>6.5309999999999997</v>
      </c>
      <c r="D20" s="510">
        <v>6</v>
      </c>
      <c r="E20" s="510">
        <v>3</v>
      </c>
      <c r="F20" s="510">
        <v>2</v>
      </c>
      <c r="G20" s="510">
        <v>35</v>
      </c>
      <c r="H20" s="512">
        <v>110</v>
      </c>
      <c r="I20" s="512">
        <v>144</v>
      </c>
      <c r="J20" s="512">
        <v>274</v>
      </c>
      <c r="K20" s="513">
        <v>0.1714</v>
      </c>
      <c r="L20" s="514">
        <v>0.83330000000000004</v>
      </c>
      <c r="M20" s="514">
        <v>0.66669999999999996</v>
      </c>
      <c r="N20" s="515">
        <v>38.89</v>
      </c>
      <c r="O20" s="516">
        <v>0.77</v>
      </c>
      <c r="P20" s="516">
        <v>0.31</v>
      </c>
      <c r="Q20" s="517">
        <v>0.62</v>
      </c>
    </row>
    <row r="21" spans="1:17" ht="22.5" customHeight="1" x14ac:dyDescent="0.25">
      <c r="A21" s="509">
        <v>18</v>
      </c>
      <c r="B21" s="529" t="s">
        <v>426</v>
      </c>
      <c r="C21" s="511">
        <v>6.6340000000000003</v>
      </c>
      <c r="D21" s="510">
        <v>10</v>
      </c>
      <c r="E21" s="510">
        <v>9</v>
      </c>
      <c r="F21" s="510">
        <v>0</v>
      </c>
      <c r="G21" s="510">
        <v>30</v>
      </c>
      <c r="H21" s="512">
        <v>325</v>
      </c>
      <c r="I21" s="512">
        <v>0</v>
      </c>
      <c r="J21" s="512">
        <v>345</v>
      </c>
      <c r="K21" s="513">
        <v>0.33329999999999999</v>
      </c>
      <c r="L21" s="514">
        <v>0.9</v>
      </c>
      <c r="M21" s="514">
        <v>0</v>
      </c>
      <c r="N21" s="515">
        <v>48.99</v>
      </c>
      <c r="O21" s="516">
        <v>1.36</v>
      </c>
      <c r="P21" s="516">
        <v>0</v>
      </c>
      <c r="Q21" s="517">
        <v>0.61</v>
      </c>
    </row>
    <row r="22" spans="1:17" ht="22.5" customHeight="1" x14ac:dyDescent="0.25">
      <c r="A22" s="509">
        <v>19</v>
      </c>
      <c r="B22" s="529" t="s">
        <v>367</v>
      </c>
      <c r="C22" s="511">
        <v>8.3640000000000008</v>
      </c>
      <c r="D22" s="510">
        <v>6</v>
      </c>
      <c r="E22" s="510">
        <v>4</v>
      </c>
      <c r="F22" s="510">
        <v>1</v>
      </c>
      <c r="G22" s="510">
        <v>35</v>
      </c>
      <c r="H22" s="512">
        <v>317</v>
      </c>
      <c r="I22" s="512">
        <v>120</v>
      </c>
      <c r="J22" s="512">
        <v>462</v>
      </c>
      <c r="K22" s="513">
        <v>0.1714</v>
      </c>
      <c r="L22" s="514">
        <v>0.83330000000000004</v>
      </c>
      <c r="M22" s="514">
        <v>0.5</v>
      </c>
      <c r="N22" s="515">
        <v>52.25</v>
      </c>
      <c r="O22" s="516">
        <v>0.6</v>
      </c>
      <c r="P22" s="516">
        <v>0.12</v>
      </c>
      <c r="Q22" s="517">
        <v>0.57999999999999996</v>
      </c>
    </row>
    <row r="23" spans="1:17" ht="22.5" customHeight="1" x14ac:dyDescent="0.25">
      <c r="A23" s="509">
        <v>20</v>
      </c>
      <c r="B23" s="529" t="s">
        <v>365</v>
      </c>
      <c r="C23" s="511">
        <v>4.9420000000000002</v>
      </c>
      <c r="D23" s="510">
        <v>4</v>
      </c>
      <c r="E23" s="510">
        <v>3</v>
      </c>
      <c r="F23" s="510">
        <v>1</v>
      </c>
      <c r="G23" s="510">
        <v>45</v>
      </c>
      <c r="H23" s="512">
        <v>21</v>
      </c>
      <c r="I23" s="512">
        <v>120</v>
      </c>
      <c r="J23" s="512">
        <v>141</v>
      </c>
      <c r="K23" s="513">
        <v>8.8900000000000007E-2</v>
      </c>
      <c r="L23" s="514">
        <v>1</v>
      </c>
      <c r="M23" s="514">
        <v>1</v>
      </c>
      <c r="N23" s="515">
        <v>28.53</v>
      </c>
      <c r="O23" s="516">
        <v>0.81</v>
      </c>
      <c r="P23" s="516">
        <v>0.2</v>
      </c>
      <c r="Q23" s="517">
        <v>0.57999999999999996</v>
      </c>
    </row>
    <row r="24" spans="1:17" ht="22.5" customHeight="1" x14ac:dyDescent="0.25">
      <c r="A24" s="509">
        <v>21</v>
      </c>
      <c r="B24" s="529" t="s">
        <v>308</v>
      </c>
      <c r="C24" s="511">
        <v>5.66</v>
      </c>
      <c r="D24" s="510">
        <v>6</v>
      </c>
      <c r="E24" s="510">
        <v>2</v>
      </c>
      <c r="F24" s="510">
        <v>2</v>
      </c>
      <c r="G24" s="510">
        <v>30</v>
      </c>
      <c r="H24" s="512">
        <v>25</v>
      </c>
      <c r="I24" s="512">
        <v>132</v>
      </c>
      <c r="J24" s="512">
        <v>207</v>
      </c>
      <c r="K24" s="513">
        <v>0.2</v>
      </c>
      <c r="L24" s="514">
        <v>0.66669999999999996</v>
      </c>
      <c r="M24" s="514">
        <v>0.5</v>
      </c>
      <c r="N24" s="515">
        <v>27.74</v>
      </c>
      <c r="O24" s="516">
        <v>0.71</v>
      </c>
      <c r="P24" s="516">
        <v>0.35</v>
      </c>
      <c r="Q24" s="517">
        <v>0.57999999999999996</v>
      </c>
    </row>
    <row r="25" spans="1:17" ht="22.5" customHeight="1" x14ac:dyDescent="0.25">
      <c r="A25" s="509">
        <v>22</v>
      </c>
      <c r="B25" s="529" t="s">
        <v>302</v>
      </c>
      <c r="C25" s="511">
        <v>7.4939999999999998</v>
      </c>
      <c r="D25" s="510">
        <v>11</v>
      </c>
      <c r="E25" s="510">
        <v>6</v>
      </c>
      <c r="F25" s="510">
        <v>1</v>
      </c>
      <c r="G25" s="510">
        <v>56</v>
      </c>
      <c r="H25" s="512">
        <v>192</v>
      </c>
      <c r="I25" s="512">
        <v>50</v>
      </c>
      <c r="J25" s="512">
        <v>422</v>
      </c>
      <c r="K25" s="513">
        <v>0.19639999999999999</v>
      </c>
      <c r="L25" s="514">
        <v>0.63639999999999997</v>
      </c>
      <c r="M25" s="514">
        <v>0.2</v>
      </c>
      <c r="N25" s="515">
        <v>32.29</v>
      </c>
      <c r="O25" s="516">
        <v>0.93</v>
      </c>
      <c r="P25" s="516">
        <v>0.13</v>
      </c>
      <c r="Q25" s="517">
        <v>0.56999999999999995</v>
      </c>
    </row>
    <row r="26" spans="1:17" ht="22.5" customHeight="1" x14ac:dyDescent="0.25">
      <c r="A26" s="509">
        <v>23</v>
      </c>
      <c r="B26" s="529" t="s">
        <v>335</v>
      </c>
      <c r="C26" s="511">
        <v>10.56</v>
      </c>
      <c r="D26" s="510">
        <v>8</v>
      </c>
      <c r="E26" s="510">
        <v>5</v>
      </c>
      <c r="F26" s="510">
        <v>2</v>
      </c>
      <c r="G26" s="510">
        <v>93</v>
      </c>
      <c r="H26" s="512">
        <v>335</v>
      </c>
      <c r="I26" s="512">
        <v>180</v>
      </c>
      <c r="J26" s="512">
        <v>535</v>
      </c>
      <c r="K26" s="513">
        <v>8.5999999999999993E-2</v>
      </c>
      <c r="L26" s="514">
        <v>0.875</v>
      </c>
      <c r="M26" s="514">
        <v>0.66669999999999996</v>
      </c>
      <c r="N26" s="515">
        <v>48.77</v>
      </c>
      <c r="O26" s="516">
        <v>0.66</v>
      </c>
      <c r="P26" s="516">
        <v>0.19</v>
      </c>
      <c r="Q26" s="517">
        <v>0.56999999999999995</v>
      </c>
    </row>
    <row r="27" spans="1:17" ht="22.5" customHeight="1" x14ac:dyDescent="0.25">
      <c r="A27" s="509">
        <v>24</v>
      </c>
      <c r="B27" s="529" t="s">
        <v>317</v>
      </c>
      <c r="C27" s="511">
        <v>6.8650000000000002</v>
      </c>
      <c r="D27" s="510">
        <v>4</v>
      </c>
      <c r="E27" s="510">
        <v>2</v>
      </c>
      <c r="F27" s="510">
        <v>2</v>
      </c>
      <c r="G27" s="510">
        <v>41</v>
      </c>
      <c r="H27" s="512">
        <v>20</v>
      </c>
      <c r="I27" s="512">
        <v>180</v>
      </c>
      <c r="J27" s="512">
        <v>200</v>
      </c>
      <c r="K27" s="513">
        <v>9.7600000000000006E-2</v>
      </c>
      <c r="L27" s="514">
        <v>1</v>
      </c>
      <c r="M27" s="514">
        <v>1</v>
      </c>
      <c r="N27" s="515">
        <v>29.13</v>
      </c>
      <c r="O27" s="516">
        <v>0.57999999999999996</v>
      </c>
      <c r="P27" s="516">
        <v>0.28999999999999998</v>
      </c>
      <c r="Q27" s="517">
        <v>0.56999999999999995</v>
      </c>
    </row>
    <row r="28" spans="1:17" ht="22.5" customHeight="1" x14ac:dyDescent="0.25">
      <c r="A28" s="509">
        <v>25</v>
      </c>
      <c r="B28" s="529" t="s">
        <v>360</v>
      </c>
      <c r="C28" s="511">
        <v>7.5309999999999997</v>
      </c>
      <c r="D28" s="510">
        <v>7</v>
      </c>
      <c r="E28" s="510">
        <v>4</v>
      </c>
      <c r="F28" s="510">
        <v>1</v>
      </c>
      <c r="G28" s="510">
        <v>37</v>
      </c>
      <c r="H28" s="512">
        <v>45</v>
      </c>
      <c r="I28" s="512">
        <v>120</v>
      </c>
      <c r="J28" s="512">
        <v>290</v>
      </c>
      <c r="K28" s="513">
        <v>0.18920000000000001</v>
      </c>
      <c r="L28" s="514">
        <v>0.71430000000000005</v>
      </c>
      <c r="M28" s="514">
        <v>0.33329999999999999</v>
      </c>
      <c r="N28" s="515">
        <v>21.91</v>
      </c>
      <c r="O28" s="516">
        <v>0.66</v>
      </c>
      <c r="P28" s="516">
        <v>0.13</v>
      </c>
      <c r="Q28" s="517">
        <v>0.53</v>
      </c>
    </row>
    <row r="29" spans="1:17" ht="22.5" customHeight="1" x14ac:dyDescent="0.25">
      <c r="A29" s="509">
        <v>26</v>
      </c>
      <c r="B29" s="529" t="s">
        <v>329</v>
      </c>
      <c r="C29" s="511">
        <v>4.5430000000000001</v>
      </c>
      <c r="D29" s="510">
        <v>6</v>
      </c>
      <c r="E29" s="510">
        <v>5</v>
      </c>
      <c r="F29" s="510">
        <v>0</v>
      </c>
      <c r="G29" s="510">
        <v>30</v>
      </c>
      <c r="H29" s="512">
        <v>240</v>
      </c>
      <c r="I29" s="512">
        <v>0</v>
      </c>
      <c r="J29" s="512">
        <v>260</v>
      </c>
      <c r="K29" s="513">
        <v>0.2</v>
      </c>
      <c r="L29" s="514">
        <v>0.83330000000000004</v>
      </c>
      <c r="M29" s="514">
        <v>0</v>
      </c>
      <c r="N29" s="515">
        <v>52.83</v>
      </c>
      <c r="O29" s="516">
        <v>1.1000000000000001</v>
      </c>
      <c r="P29" s="516">
        <v>0</v>
      </c>
      <c r="Q29" s="517">
        <v>0.52</v>
      </c>
    </row>
    <row r="30" spans="1:17" ht="22.5" customHeight="1" x14ac:dyDescent="0.25">
      <c r="A30" s="509">
        <v>27</v>
      </c>
      <c r="B30" s="529" t="s">
        <v>373</v>
      </c>
      <c r="C30" s="511">
        <v>6.0549999999999997</v>
      </c>
      <c r="D30" s="510">
        <v>9</v>
      </c>
      <c r="E30" s="510">
        <v>7</v>
      </c>
      <c r="F30" s="510">
        <v>0</v>
      </c>
      <c r="G30" s="510">
        <v>54</v>
      </c>
      <c r="H30" s="512">
        <v>805</v>
      </c>
      <c r="I30" s="512">
        <v>0</v>
      </c>
      <c r="J30" s="512">
        <v>1105</v>
      </c>
      <c r="K30" s="513">
        <v>0.16669999999999999</v>
      </c>
      <c r="L30" s="514">
        <v>0.77780000000000005</v>
      </c>
      <c r="M30" s="514">
        <v>0</v>
      </c>
      <c r="N30" s="515">
        <v>132.94999999999999</v>
      </c>
      <c r="O30" s="516">
        <v>1.1599999999999999</v>
      </c>
      <c r="P30" s="516">
        <v>0</v>
      </c>
      <c r="Q30" s="517">
        <v>0.51</v>
      </c>
    </row>
    <row r="31" spans="1:17" ht="22.5" customHeight="1" x14ac:dyDescent="0.25">
      <c r="A31" s="509">
        <v>28</v>
      </c>
      <c r="B31" s="529" t="s">
        <v>417</v>
      </c>
      <c r="C31" s="511">
        <v>7.7679999999999998</v>
      </c>
      <c r="D31" s="510">
        <v>8</v>
      </c>
      <c r="E31" s="510">
        <v>2</v>
      </c>
      <c r="F31" s="510">
        <v>1</v>
      </c>
      <c r="G31" s="510">
        <v>33</v>
      </c>
      <c r="H31" s="512">
        <v>160</v>
      </c>
      <c r="I31" s="512">
        <v>240</v>
      </c>
      <c r="J31" s="512">
        <v>775</v>
      </c>
      <c r="K31" s="513">
        <v>0.2424</v>
      </c>
      <c r="L31" s="514">
        <v>0.375</v>
      </c>
      <c r="M31" s="514">
        <v>0.16669999999999999</v>
      </c>
      <c r="N31" s="515">
        <v>51.49</v>
      </c>
      <c r="O31" s="516">
        <v>0.39</v>
      </c>
      <c r="P31" s="516">
        <v>0.13</v>
      </c>
      <c r="Q31" s="517">
        <v>0.51</v>
      </c>
    </row>
    <row r="32" spans="1:17" ht="22.5" customHeight="1" x14ac:dyDescent="0.25">
      <c r="A32" s="509">
        <v>29</v>
      </c>
      <c r="B32" s="529" t="s">
        <v>364</v>
      </c>
      <c r="C32" s="511">
        <v>7.1070000000000002</v>
      </c>
      <c r="D32" s="510">
        <v>3</v>
      </c>
      <c r="E32" s="510">
        <v>2</v>
      </c>
      <c r="F32" s="510">
        <v>1</v>
      </c>
      <c r="G32" s="510">
        <v>29</v>
      </c>
      <c r="H32" s="512">
        <v>35</v>
      </c>
      <c r="I32" s="512">
        <v>120</v>
      </c>
      <c r="J32" s="512">
        <v>155</v>
      </c>
      <c r="K32" s="513">
        <v>0.10340000000000001</v>
      </c>
      <c r="L32" s="514">
        <v>1</v>
      </c>
      <c r="M32" s="514">
        <v>1</v>
      </c>
      <c r="N32" s="515">
        <v>21.81</v>
      </c>
      <c r="O32" s="516">
        <v>0.42</v>
      </c>
      <c r="P32" s="516">
        <v>0.14000000000000001</v>
      </c>
      <c r="Q32" s="517">
        <v>0.5</v>
      </c>
    </row>
    <row r="33" spans="1:17" ht="22.5" customHeight="1" x14ac:dyDescent="0.25">
      <c r="A33" s="509">
        <v>30</v>
      </c>
      <c r="B33" s="529" t="s">
        <v>271</v>
      </c>
      <c r="C33" s="511">
        <v>5.7690000000000001</v>
      </c>
      <c r="D33" s="510">
        <v>5</v>
      </c>
      <c r="E33" s="510">
        <v>5</v>
      </c>
      <c r="F33" s="510">
        <v>0</v>
      </c>
      <c r="G33" s="510">
        <v>27</v>
      </c>
      <c r="H33" s="512">
        <v>270</v>
      </c>
      <c r="I33" s="512">
        <v>0</v>
      </c>
      <c r="J33" s="512">
        <v>270</v>
      </c>
      <c r="K33" s="513">
        <v>0.1852</v>
      </c>
      <c r="L33" s="514">
        <v>1</v>
      </c>
      <c r="M33" s="514">
        <v>0</v>
      </c>
      <c r="N33" s="515">
        <v>46.8</v>
      </c>
      <c r="O33" s="516">
        <v>0.87</v>
      </c>
      <c r="P33" s="516">
        <v>0</v>
      </c>
      <c r="Q33" s="517">
        <v>0.5</v>
      </c>
    </row>
    <row r="34" spans="1:17" ht="22.5" customHeight="1" x14ac:dyDescent="0.25">
      <c r="A34" s="509">
        <v>31</v>
      </c>
      <c r="B34" s="529" t="s">
        <v>290</v>
      </c>
      <c r="C34" s="511">
        <v>3.44</v>
      </c>
      <c r="D34" s="510">
        <v>4</v>
      </c>
      <c r="E34" s="510">
        <v>3</v>
      </c>
      <c r="F34" s="510">
        <v>0</v>
      </c>
      <c r="G34" s="510">
        <v>11</v>
      </c>
      <c r="H34" s="512">
        <v>120</v>
      </c>
      <c r="I34" s="512">
        <v>0</v>
      </c>
      <c r="J34" s="512">
        <v>170</v>
      </c>
      <c r="K34" s="513">
        <v>0.36359999999999998</v>
      </c>
      <c r="L34" s="514">
        <v>0.75</v>
      </c>
      <c r="M34" s="514">
        <v>0</v>
      </c>
      <c r="N34" s="515">
        <v>34.880000000000003</v>
      </c>
      <c r="O34" s="516">
        <v>0.87</v>
      </c>
      <c r="P34" s="516">
        <v>0</v>
      </c>
      <c r="Q34" s="517">
        <v>0.5</v>
      </c>
    </row>
    <row r="35" spans="1:17" ht="22.5" customHeight="1" x14ac:dyDescent="0.25">
      <c r="A35" s="509">
        <v>32</v>
      </c>
      <c r="B35" s="529" t="s">
        <v>333</v>
      </c>
      <c r="C35" s="511">
        <v>4.4080000000000004</v>
      </c>
      <c r="D35" s="510">
        <v>5</v>
      </c>
      <c r="E35" s="510">
        <v>5</v>
      </c>
      <c r="F35" s="510">
        <v>0</v>
      </c>
      <c r="G35" s="510">
        <v>23</v>
      </c>
      <c r="H35" s="512">
        <v>42</v>
      </c>
      <c r="I35" s="512">
        <v>0</v>
      </c>
      <c r="J35" s="512">
        <v>42</v>
      </c>
      <c r="K35" s="513">
        <v>0.21740000000000001</v>
      </c>
      <c r="L35" s="514">
        <v>1</v>
      </c>
      <c r="M35" s="514">
        <v>0</v>
      </c>
      <c r="N35" s="515">
        <v>9.5299999999999994</v>
      </c>
      <c r="O35" s="516">
        <v>1.1299999999999999</v>
      </c>
      <c r="P35" s="516">
        <v>0</v>
      </c>
      <c r="Q35" s="517">
        <v>0.48</v>
      </c>
    </row>
    <row r="36" spans="1:17" ht="22.5" customHeight="1" x14ac:dyDescent="0.25">
      <c r="A36" s="509">
        <v>33</v>
      </c>
      <c r="B36" s="529" t="s">
        <v>399</v>
      </c>
      <c r="C36" s="511">
        <v>5.9710000000000001</v>
      </c>
      <c r="D36" s="510">
        <v>7</v>
      </c>
      <c r="E36" s="510">
        <v>6</v>
      </c>
      <c r="F36" s="510">
        <v>0</v>
      </c>
      <c r="G36" s="510">
        <v>34</v>
      </c>
      <c r="H36" s="512">
        <v>142</v>
      </c>
      <c r="I36" s="512">
        <v>0</v>
      </c>
      <c r="J36" s="512">
        <v>262</v>
      </c>
      <c r="K36" s="513">
        <v>0.2059</v>
      </c>
      <c r="L36" s="514">
        <v>0.85709999999999997</v>
      </c>
      <c r="M36" s="514">
        <v>0</v>
      </c>
      <c r="N36" s="515">
        <v>23.78</v>
      </c>
      <c r="O36" s="516">
        <v>1</v>
      </c>
      <c r="P36" s="516">
        <v>0</v>
      </c>
      <c r="Q36" s="517">
        <v>0.48</v>
      </c>
    </row>
    <row r="37" spans="1:17" ht="22.5" customHeight="1" x14ac:dyDescent="0.25">
      <c r="A37" s="509">
        <v>34</v>
      </c>
      <c r="B37" s="529" t="s">
        <v>276</v>
      </c>
      <c r="C37" s="511">
        <v>7.5679999999999996</v>
      </c>
      <c r="D37" s="510">
        <v>4</v>
      </c>
      <c r="E37" s="510">
        <v>3</v>
      </c>
      <c r="F37" s="510">
        <v>1</v>
      </c>
      <c r="G37" s="510">
        <v>65</v>
      </c>
      <c r="H37" s="512">
        <v>30</v>
      </c>
      <c r="I37" s="512">
        <v>120</v>
      </c>
      <c r="J37" s="512">
        <v>150</v>
      </c>
      <c r="K37" s="513">
        <v>6.1499999999999999E-2</v>
      </c>
      <c r="L37" s="514">
        <v>1</v>
      </c>
      <c r="M37" s="514">
        <v>1</v>
      </c>
      <c r="N37" s="515">
        <v>19.82</v>
      </c>
      <c r="O37" s="516">
        <v>0.53</v>
      </c>
      <c r="P37" s="516">
        <v>0.13</v>
      </c>
      <c r="Q37" s="517">
        <v>0.48</v>
      </c>
    </row>
    <row r="38" spans="1:17" ht="22.5" customHeight="1" x14ac:dyDescent="0.25">
      <c r="A38" s="509">
        <v>35</v>
      </c>
      <c r="B38" s="529" t="s">
        <v>341</v>
      </c>
      <c r="C38" s="511">
        <v>4.6180000000000003</v>
      </c>
      <c r="D38" s="510">
        <v>5</v>
      </c>
      <c r="E38" s="510">
        <v>3</v>
      </c>
      <c r="F38" s="510">
        <v>0</v>
      </c>
      <c r="G38" s="510">
        <v>16</v>
      </c>
      <c r="H38" s="512">
        <v>245</v>
      </c>
      <c r="I38" s="512">
        <v>0</v>
      </c>
      <c r="J38" s="512">
        <v>315</v>
      </c>
      <c r="K38" s="513">
        <v>0.3125</v>
      </c>
      <c r="L38" s="514">
        <v>0.6</v>
      </c>
      <c r="M38" s="514">
        <v>0</v>
      </c>
      <c r="N38" s="515">
        <v>53.05</v>
      </c>
      <c r="O38" s="516">
        <v>0.65</v>
      </c>
      <c r="P38" s="516">
        <v>0</v>
      </c>
      <c r="Q38" s="517">
        <v>0.47</v>
      </c>
    </row>
    <row r="39" spans="1:17" ht="22.5" customHeight="1" x14ac:dyDescent="0.25">
      <c r="A39" s="509">
        <v>36</v>
      </c>
      <c r="B39" s="529" t="s">
        <v>355</v>
      </c>
      <c r="C39" s="511">
        <v>0.80600000000000005</v>
      </c>
      <c r="D39" s="510">
        <v>1</v>
      </c>
      <c r="E39" s="510">
        <v>1</v>
      </c>
      <c r="F39" s="510">
        <v>0</v>
      </c>
      <c r="G39" s="510">
        <v>7</v>
      </c>
      <c r="H39" s="512">
        <v>25</v>
      </c>
      <c r="I39" s="512">
        <v>0</v>
      </c>
      <c r="J39" s="512">
        <v>25</v>
      </c>
      <c r="K39" s="513">
        <v>0.1429</v>
      </c>
      <c r="L39" s="514">
        <v>1</v>
      </c>
      <c r="M39" s="514">
        <v>0</v>
      </c>
      <c r="N39" s="515">
        <v>31.02</v>
      </c>
      <c r="O39" s="516">
        <v>1.24</v>
      </c>
      <c r="P39" s="516">
        <v>0</v>
      </c>
      <c r="Q39" s="517">
        <v>0.47</v>
      </c>
    </row>
    <row r="40" spans="1:17" ht="22.5" customHeight="1" x14ac:dyDescent="0.25">
      <c r="A40" s="509">
        <v>37</v>
      </c>
      <c r="B40" s="529" t="s">
        <v>342</v>
      </c>
      <c r="C40" s="511">
        <v>8.9849999999999994</v>
      </c>
      <c r="D40" s="510">
        <v>7</v>
      </c>
      <c r="E40" s="510">
        <v>6</v>
      </c>
      <c r="F40" s="510">
        <v>0</v>
      </c>
      <c r="G40" s="510">
        <v>38</v>
      </c>
      <c r="H40" s="512">
        <v>530</v>
      </c>
      <c r="I40" s="512">
        <v>0</v>
      </c>
      <c r="J40" s="512">
        <v>565</v>
      </c>
      <c r="K40" s="513">
        <v>0.1842</v>
      </c>
      <c r="L40" s="514">
        <v>0.85709999999999997</v>
      </c>
      <c r="M40" s="514">
        <v>0</v>
      </c>
      <c r="N40" s="515">
        <v>58.99</v>
      </c>
      <c r="O40" s="516">
        <v>0.67</v>
      </c>
      <c r="P40" s="516">
        <v>0</v>
      </c>
      <c r="Q40" s="517">
        <v>0.47</v>
      </c>
    </row>
    <row r="41" spans="1:17" ht="22.5" customHeight="1" x14ac:dyDescent="0.25">
      <c r="A41" s="509">
        <v>38</v>
      </c>
      <c r="B41" s="529" t="s">
        <v>351</v>
      </c>
      <c r="C41" s="511">
        <v>3.4929999999999999</v>
      </c>
      <c r="D41" s="510">
        <v>5</v>
      </c>
      <c r="E41" s="510">
        <v>3</v>
      </c>
      <c r="F41" s="510">
        <v>0</v>
      </c>
      <c r="G41" s="510">
        <v>12</v>
      </c>
      <c r="H41" s="512">
        <v>125</v>
      </c>
      <c r="I41" s="512">
        <v>0</v>
      </c>
      <c r="J41" s="512">
        <v>175</v>
      </c>
      <c r="K41" s="513">
        <v>0.41670000000000001</v>
      </c>
      <c r="L41" s="514">
        <v>0.6</v>
      </c>
      <c r="M41" s="514">
        <v>0</v>
      </c>
      <c r="N41" s="515">
        <v>35.79</v>
      </c>
      <c r="O41" s="516">
        <v>0.86</v>
      </c>
      <c r="P41" s="516">
        <v>0</v>
      </c>
      <c r="Q41" s="517">
        <v>0.47</v>
      </c>
    </row>
    <row r="42" spans="1:17" ht="22.5" customHeight="1" x14ac:dyDescent="0.25">
      <c r="A42" s="509">
        <v>39</v>
      </c>
      <c r="B42" s="529" t="s">
        <v>400</v>
      </c>
      <c r="C42" s="511">
        <v>1.4470000000000001</v>
      </c>
      <c r="D42" s="510">
        <v>1</v>
      </c>
      <c r="E42" s="510">
        <v>1</v>
      </c>
      <c r="F42" s="510">
        <v>0</v>
      </c>
      <c r="G42" s="510">
        <v>3</v>
      </c>
      <c r="H42" s="512">
        <v>10</v>
      </c>
      <c r="I42" s="512">
        <v>0</v>
      </c>
      <c r="J42" s="512">
        <v>10</v>
      </c>
      <c r="K42" s="513">
        <v>0.33329999999999999</v>
      </c>
      <c r="L42" s="514">
        <v>1</v>
      </c>
      <c r="M42" s="514">
        <v>0</v>
      </c>
      <c r="N42" s="515">
        <v>6.91</v>
      </c>
      <c r="O42" s="516">
        <v>0.69</v>
      </c>
      <c r="P42" s="516">
        <v>0</v>
      </c>
      <c r="Q42" s="517">
        <v>0.46</v>
      </c>
    </row>
    <row r="43" spans="1:17" ht="22.5" customHeight="1" x14ac:dyDescent="0.25">
      <c r="A43" s="509">
        <v>40</v>
      </c>
      <c r="B43" s="529" t="s">
        <v>432</v>
      </c>
      <c r="C43" s="511">
        <v>4.0830000000000002</v>
      </c>
      <c r="D43" s="510">
        <v>6</v>
      </c>
      <c r="E43" s="510">
        <v>6</v>
      </c>
      <c r="F43" s="510">
        <v>0</v>
      </c>
      <c r="G43" s="510">
        <v>35</v>
      </c>
      <c r="H43" s="512">
        <v>60</v>
      </c>
      <c r="I43" s="512">
        <v>0</v>
      </c>
      <c r="J43" s="512">
        <v>60</v>
      </c>
      <c r="K43" s="513">
        <v>0.1714</v>
      </c>
      <c r="L43" s="514">
        <v>1</v>
      </c>
      <c r="M43" s="514">
        <v>0</v>
      </c>
      <c r="N43" s="515">
        <v>14.7</v>
      </c>
      <c r="O43" s="516">
        <v>1.47</v>
      </c>
      <c r="P43" s="516">
        <v>0</v>
      </c>
      <c r="Q43" s="517">
        <v>0.46</v>
      </c>
    </row>
    <row r="44" spans="1:17" ht="22.5" customHeight="1" x14ac:dyDescent="0.25">
      <c r="A44" s="509">
        <v>41</v>
      </c>
      <c r="B44" s="529" t="s">
        <v>356</v>
      </c>
      <c r="C44" s="511">
        <v>8.3829999999999991</v>
      </c>
      <c r="D44" s="510">
        <v>7</v>
      </c>
      <c r="E44" s="510">
        <v>3</v>
      </c>
      <c r="F44" s="510">
        <v>1</v>
      </c>
      <c r="G44" s="510">
        <v>35</v>
      </c>
      <c r="H44" s="512">
        <v>45</v>
      </c>
      <c r="I44" s="512">
        <v>100</v>
      </c>
      <c r="J44" s="512">
        <v>215</v>
      </c>
      <c r="K44" s="513">
        <v>0.2</v>
      </c>
      <c r="L44" s="514">
        <v>0.57140000000000002</v>
      </c>
      <c r="M44" s="514">
        <v>0.25</v>
      </c>
      <c r="N44" s="515">
        <v>17.3</v>
      </c>
      <c r="O44" s="516">
        <v>0.48</v>
      </c>
      <c r="P44" s="516">
        <v>0.12</v>
      </c>
      <c r="Q44" s="517">
        <v>0.45</v>
      </c>
    </row>
    <row r="45" spans="1:17" ht="22.5" customHeight="1" x14ac:dyDescent="0.25">
      <c r="A45" s="509">
        <v>42</v>
      </c>
      <c r="B45" s="529" t="s">
        <v>393</v>
      </c>
      <c r="C45" s="511">
        <v>7.2880000000000003</v>
      </c>
      <c r="D45" s="510">
        <v>9</v>
      </c>
      <c r="E45" s="510">
        <v>9</v>
      </c>
      <c r="F45" s="510">
        <v>0</v>
      </c>
      <c r="G45" s="510">
        <v>67</v>
      </c>
      <c r="H45" s="512">
        <v>108</v>
      </c>
      <c r="I45" s="512">
        <v>0</v>
      </c>
      <c r="J45" s="512">
        <v>108</v>
      </c>
      <c r="K45" s="513">
        <v>0.1343</v>
      </c>
      <c r="L45" s="514">
        <v>1</v>
      </c>
      <c r="M45" s="514">
        <v>0</v>
      </c>
      <c r="N45" s="515">
        <v>14.82</v>
      </c>
      <c r="O45" s="516">
        <v>1.23</v>
      </c>
      <c r="P45" s="516">
        <v>0</v>
      </c>
      <c r="Q45" s="517">
        <v>0.42</v>
      </c>
    </row>
    <row r="46" spans="1:17" ht="22.5" customHeight="1" x14ac:dyDescent="0.25">
      <c r="A46" s="509">
        <v>43</v>
      </c>
      <c r="B46" s="529" t="s">
        <v>269</v>
      </c>
      <c r="C46" s="511">
        <v>3.5190000000000001</v>
      </c>
      <c r="D46" s="510">
        <v>2</v>
      </c>
      <c r="E46" s="510">
        <v>2</v>
      </c>
      <c r="F46" s="510">
        <v>0</v>
      </c>
      <c r="G46" s="510">
        <v>11</v>
      </c>
      <c r="H46" s="512">
        <v>105</v>
      </c>
      <c r="I46" s="512">
        <v>0</v>
      </c>
      <c r="J46" s="512">
        <v>105</v>
      </c>
      <c r="K46" s="513">
        <v>0.18179999999999999</v>
      </c>
      <c r="L46" s="514">
        <v>1</v>
      </c>
      <c r="M46" s="514">
        <v>0</v>
      </c>
      <c r="N46" s="515">
        <v>29.84</v>
      </c>
      <c r="O46" s="516">
        <v>0.56999999999999995</v>
      </c>
      <c r="P46" s="516">
        <v>0</v>
      </c>
      <c r="Q46" s="517">
        <v>0.42</v>
      </c>
    </row>
    <row r="47" spans="1:17" ht="22.5" customHeight="1" x14ac:dyDescent="0.25">
      <c r="A47" s="509">
        <v>44</v>
      </c>
      <c r="B47" s="529" t="s">
        <v>312</v>
      </c>
      <c r="C47" s="511">
        <v>7.68</v>
      </c>
      <c r="D47" s="510">
        <v>4</v>
      </c>
      <c r="E47" s="510">
        <v>2</v>
      </c>
      <c r="F47" s="510">
        <v>1</v>
      </c>
      <c r="G47" s="510">
        <v>41</v>
      </c>
      <c r="H47" s="512">
        <v>84</v>
      </c>
      <c r="I47" s="512">
        <v>120</v>
      </c>
      <c r="J47" s="512">
        <v>304</v>
      </c>
      <c r="K47" s="513">
        <v>9.7600000000000006E-2</v>
      </c>
      <c r="L47" s="514">
        <v>0.75</v>
      </c>
      <c r="M47" s="514">
        <v>0.5</v>
      </c>
      <c r="N47" s="515">
        <v>26.56</v>
      </c>
      <c r="O47" s="516">
        <v>0.39</v>
      </c>
      <c r="P47" s="516">
        <v>0.13</v>
      </c>
      <c r="Q47" s="517">
        <v>0.42</v>
      </c>
    </row>
    <row r="48" spans="1:17" ht="22.5" customHeight="1" x14ac:dyDescent="0.25">
      <c r="A48" s="509">
        <v>45</v>
      </c>
      <c r="B48" s="529" t="s">
        <v>279</v>
      </c>
      <c r="C48" s="511">
        <v>7.9</v>
      </c>
      <c r="D48" s="510">
        <v>4</v>
      </c>
      <c r="E48" s="510">
        <v>0</v>
      </c>
      <c r="F48" s="510">
        <v>2</v>
      </c>
      <c r="G48" s="510">
        <v>44</v>
      </c>
      <c r="H48" s="512">
        <v>0</v>
      </c>
      <c r="I48" s="512">
        <v>360</v>
      </c>
      <c r="J48" s="512">
        <v>540</v>
      </c>
      <c r="K48" s="513">
        <v>9.0899999999999995E-2</v>
      </c>
      <c r="L48" s="514">
        <v>0.5</v>
      </c>
      <c r="M48" s="514">
        <v>0.5</v>
      </c>
      <c r="N48" s="515">
        <v>45.57</v>
      </c>
      <c r="O48" s="516">
        <v>0.25</v>
      </c>
      <c r="P48" s="516">
        <v>0.25</v>
      </c>
      <c r="Q48" s="517">
        <v>0.41</v>
      </c>
    </row>
    <row r="49" spans="1:17" ht="22.5" customHeight="1" x14ac:dyDescent="0.25">
      <c r="A49" s="509">
        <v>46</v>
      </c>
      <c r="B49" s="529" t="s">
        <v>287</v>
      </c>
      <c r="C49" s="511">
        <v>6.3079999999999998</v>
      </c>
      <c r="D49" s="510">
        <v>9</v>
      </c>
      <c r="E49" s="510">
        <v>6</v>
      </c>
      <c r="F49" s="510">
        <v>0</v>
      </c>
      <c r="G49" s="510">
        <v>43</v>
      </c>
      <c r="H49" s="512">
        <v>101</v>
      </c>
      <c r="I49" s="512">
        <v>0</v>
      </c>
      <c r="J49" s="512">
        <v>236</v>
      </c>
      <c r="K49" s="513">
        <v>0.20930000000000001</v>
      </c>
      <c r="L49" s="514">
        <v>0.66669999999999996</v>
      </c>
      <c r="M49" s="514">
        <v>0</v>
      </c>
      <c r="N49" s="515">
        <v>16.010000000000002</v>
      </c>
      <c r="O49" s="516">
        <v>0.95</v>
      </c>
      <c r="P49" s="516">
        <v>0</v>
      </c>
      <c r="Q49" s="517">
        <v>0.4</v>
      </c>
    </row>
    <row r="50" spans="1:17" ht="22.5" customHeight="1" x14ac:dyDescent="0.25">
      <c r="A50" s="509">
        <v>47</v>
      </c>
      <c r="B50" s="529" t="s">
        <v>336</v>
      </c>
      <c r="C50" s="511">
        <v>5.3230000000000004</v>
      </c>
      <c r="D50" s="510">
        <v>7</v>
      </c>
      <c r="E50" s="510">
        <v>5</v>
      </c>
      <c r="F50" s="510">
        <v>0</v>
      </c>
      <c r="G50" s="510">
        <v>39</v>
      </c>
      <c r="H50" s="512">
        <v>155</v>
      </c>
      <c r="I50" s="512">
        <v>0</v>
      </c>
      <c r="J50" s="512">
        <v>260</v>
      </c>
      <c r="K50" s="513">
        <v>0.17949999999999999</v>
      </c>
      <c r="L50" s="514">
        <v>0.71430000000000005</v>
      </c>
      <c r="M50" s="514">
        <v>0</v>
      </c>
      <c r="N50" s="515">
        <v>29.12</v>
      </c>
      <c r="O50" s="516">
        <v>0.94</v>
      </c>
      <c r="P50" s="516">
        <v>0</v>
      </c>
      <c r="Q50" s="517">
        <v>0.4</v>
      </c>
    </row>
    <row r="51" spans="1:17" ht="22.5" customHeight="1" x14ac:dyDescent="0.25">
      <c r="A51" s="509">
        <v>48</v>
      </c>
      <c r="B51" s="529" t="s">
        <v>323</v>
      </c>
      <c r="C51" s="511">
        <v>3.33</v>
      </c>
      <c r="D51" s="510">
        <v>5</v>
      </c>
      <c r="E51" s="510">
        <v>2</v>
      </c>
      <c r="F51" s="510">
        <v>0</v>
      </c>
      <c r="G51" s="510">
        <v>20</v>
      </c>
      <c r="H51" s="512">
        <v>105</v>
      </c>
      <c r="I51" s="512">
        <v>0</v>
      </c>
      <c r="J51" s="512">
        <v>315</v>
      </c>
      <c r="K51" s="513">
        <v>0.25</v>
      </c>
      <c r="L51" s="514">
        <v>0.4</v>
      </c>
      <c r="M51" s="514">
        <v>0</v>
      </c>
      <c r="N51" s="515">
        <v>31.53</v>
      </c>
      <c r="O51" s="516">
        <v>0.6</v>
      </c>
      <c r="P51" s="516">
        <v>0</v>
      </c>
      <c r="Q51" s="517">
        <v>0.37</v>
      </c>
    </row>
    <row r="52" spans="1:17" ht="22.5" customHeight="1" x14ac:dyDescent="0.25">
      <c r="A52" s="509">
        <v>49</v>
      </c>
      <c r="B52" s="529" t="s">
        <v>375</v>
      </c>
      <c r="C52" s="511">
        <v>12.819000000000001</v>
      </c>
      <c r="D52" s="510">
        <v>7</v>
      </c>
      <c r="E52" s="510">
        <v>2</v>
      </c>
      <c r="F52" s="510">
        <v>1</v>
      </c>
      <c r="G52" s="510">
        <v>39</v>
      </c>
      <c r="H52" s="512">
        <v>75</v>
      </c>
      <c r="I52" s="512">
        <v>120</v>
      </c>
      <c r="J52" s="512">
        <v>515</v>
      </c>
      <c r="K52" s="513">
        <v>0.17949999999999999</v>
      </c>
      <c r="L52" s="514">
        <v>0.42859999999999998</v>
      </c>
      <c r="M52" s="514">
        <v>0.2</v>
      </c>
      <c r="N52" s="515">
        <v>15.21</v>
      </c>
      <c r="O52" s="516">
        <v>0.23</v>
      </c>
      <c r="P52" s="516">
        <v>0.08</v>
      </c>
      <c r="Q52" s="517">
        <v>0.36</v>
      </c>
    </row>
    <row r="53" spans="1:17" ht="22.5" customHeight="1" x14ac:dyDescent="0.25">
      <c r="A53" s="509">
        <v>50</v>
      </c>
      <c r="B53" s="529" t="s">
        <v>352</v>
      </c>
      <c r="C53" s="511">
        <v>6.351</v>
      </c>
      <c r="D53" s="510">
        <v>5</v>
      </c>
      <c r="E53" s="510">
        <v>3</v>
      </c>
      <c r="F53" s="510">
        <v>0</v>
      </c>
      <c r="G53" s="510">
        <v>20</v>
      </c>
      <c r="H53" s="512">
        <v>140</v>
      </c>
      <c r="I53" s="512">
        <v>0</v>
      </c>
      <c r="J53" s="512">
        <v>360</v>
      </c>
      <c r="K53" s="513">
        <v>0.25</v>
      </c>
      <c r="L53" s="514">
        <v>0.6</v>
      </c>
      <c r="M53" s="514">
        <v>0</v>
      </c>
      <c r="N53" s="515">
        <v>22.04</v>
      </c>
      <c r="O53" s="516">
        <v>0.47</v>
      </c>
      <c r="P53" s="516">
        <v>0</v>
      </c>
      <c r="Q53" s="517">
        <v>0.34</v>
      </c>
    </row>
    <row r="54" spans="1:17" ht="22.5" customHeight="1" x14ac:dyDescent="0.25">
      <c r="A54" s="509">
        <v>51</v>
      </c>
      <c r="B54" s="529" t="s">
        <v>423</v>
      </c>
      <c r="C54" s="511">
        <v>6.59</v>
      </c>
      <c r="D54" s="510">
        <v>4</v>
      </c>
      <c r="E54" s="510">
        <v>3</v>
      </c>
      <c r="F54" s="510">
        <v>0</v>
      </c>
      <c r="G54" s="510">
        <v>24</v>
      </c>
      <c r="H54" s="512">
        <v>280</v>
      </c>
      <c r="I54" s="512">
        <v>0</v>
      </c>
      <c r="J54" s="512">
        <v>290</v>
      </c>
      <c r="K54" s="513">
        <v>0.16669999999999999</v>
      </c>
      <c r="L54" s="514">
        <v>0.75</v>
      </c>
      <c r="M54" s="514">
        <v>0</v>
      </c>
      <c r="N54" s="515">
        <v>42.49</v>
      </c>
      <c r="O54" s="516">
        <v>0.46</v>
      </c>
      <c r="P54" s="516">
        <v>0</v>
      </c>
      <c r="Q54" s="517">
        <v>0.34</v>
      </c>
    </row>
    <row r="55" spans="1:17" ht="22.5" customHeight="1" x14ac:dyDescent="0.25">
      <c r="A55" s="509">
        <v>52</v>
      </c>
      <c r="B55" s="529" t="s">
        <v>366</v>
      </c>
      <c r="C55" s="511">
        <v>8.9239999999999995</v>
      </c>
      <c r="D55" s="510">
        <v>14</v>
      </c>
      <c r="E55" s="510">
        <v>5</v>
      </c>
      <c r="F55" s="510">
        <v>0</v>
      </c>
      <c r="G55" s="510">
        <v>51</v>
      </c>
      <c r="H55" s="512">
        <v>160</v>
      </c>
      <c r="I55" s="512">
        <v>0</v>
      </c>
      <c r="J55" s="512">
        <v>505</v>
      </c>
      <c r="K55" s="513">
        <v>0.27450000000000002</v>
      </c>
      <c r="L55" s="514">
        <v>0.35709999999999997</v>
      </c>
      <c r="M55" s="514">
        <v>0</v>
      </c>
      <c r="N55" s="515">
        <v>17.93</v>
      </c>
      <c r="O55" s="516">
        <v>0.56000000000000005</v>
      </c>
      <c r="P55" s="516">
        <v>0</v>
      </c>
      <c r="Q55" s="517">
        <v>0.33</v>
      </c>
    </row>
    <row r="56" spans="1:17" ht="22.5" customHeight="1" x14ac:dyDescent="0.25">
      <c r="A56" s="509">
        <v>53</v>
      </c>
      <c r="B56" s="529" t="s">
        <v>362</v>
      </c>
      <c r="C56" s="511">
        <v>6.407</v>
      </c>
      <c r="D56" s="510">
        <v>11</v>
      </c>
      <c r="E56" s="510">
        <v>6</v>
      </c>
      <c r="F56" s="510">
        <v>0</v>
      </c>
      <c r="G56" s="510">
        <v>78</v>
      </c>
      <c r="H56" s="512">
        <v>124</v>
      </c>
      <c r="I56" s="512">
        <v>0</v>
      </c>
      <c r="J56" s="512">
        <v>284</v>
      </c>
      <c r="K56" s="513">
        <v>0.14099999999999999</v>
      </c>
      <c r="L56" s="514">
        <v>0.54549999999999998</v>
      </c>
      <c r="M56" s="514">
        <v>0</v>
      </c>
      <c r="N56" s="515">
        <v>19.350000000000001</v>
      </c>
      <c r="O56" s="516">
        <v>0.94</v>
      </c>
      <c r="P56" s="516">
        <v>0</v>
      </c>
      <c r="Q56" s="517">
        <v>0.32</v>
      </c>
    </row>
    <row r="57" spans="1:17" ht="22.5" customHeight="1" x14ac:dyDescent="0.25">
      <c r="A57" s="509">
        <v>54</v>
      </c>
      <c r="B57" s="529" t="s">
        <v>321</v>
      </c>
      <c r="C57" s="511">
        <v>5.0019999999999998</v>
      </c>
      <c r="D57" s="510">
        <v>3</v>
      </c>
      <c r="E57" s="510">
        <v>3</v>
      </c>
      <c r="F57" s="510">
        <v>0</v>
      </c>
      <c r="G57" s="510">
        <v>28</v>
      </c>
      <c r="H57" s="512">
        <v>45</v>
      </c>
      <c r="I57" s="512">
        <v>0</v>
      </c>
      <c r="J57" s="512">
        <v>45</v>
      </c>
      <c r="K57" s="513">
        <v>0.1071</v>
      </c>
      <c r="L57" s="514">
        <v>1</v>
      </c>
      <c r="M57" s="514">
        <v>0</v>
      </c>
      <c r="N57" s="515">
        <v>9</v>
      </c>
      <c r="O57" s="516">
        <v>0.6</v>
      </c>
      <c r="P57" s="516">
        <v>0</v>
      </c>
      <c r="Q57" s="517">
        <v>0.32</v>
      </c>
    </row>
    <row r="58" spans="1:17" ht="22.5" customHeight="1" x14ac:dyDescent="0.25">
      <c r="A58" s="509">
        <v>55</v>
      </c>
      <c r="B58" s="529" t="s">
        <v>286</v>
      </c>
      <c r="C58" s="511">
        <v>6.3520000000000003</v>
      </c>
      <c r="D58" s="510">
        <v>3</v>
      </c>
      <c r="E58" s="510">
        <v>3</v>
      </c>
      <c r="F58" s="510">
        <v>0</v>
      </c>
      <c r="G58" s="510">
        <v>40</v>
      </c>
      <c r="H58" s="512">
        <v>170</v>
      </c>
      <c r="I58" s="512">
        <v>0</v>
      </c>
      <c r="J58" s="512">
        <v>170</v>
      </c>
      <c r="K58" s="513">
        <v>7.4999999999999997E-2</v>
      </c>
      <c r="L58" s="514">
        <v>1</v>
      </c>
      <c r="M58" s="514">
        <v>0</v>
      </c>
      <c r="N58" s="515">
        <v>26.76</v>
      </c>
      <c r="O58" s="516">
        <v>0.47</v>
      </c>
      <c r="P58" s="516">
        <v>0</v>
      </c>
      <c r="Q58" s="517">
        <v>0.3</v>
      </c>
    </row>
    <row r="59" spans="1:17" ht="22.5" customHeight="1" x14ac:dyDescent="0.25">
      <c r="A59" s="509">
        <v>56</v>
      </c>
      <c r="B59" s="529" t="s">
        <v>332</v>
      </c>
      <c r="C59" s="511">
        <v>5.9690000000000003</v>
      </c>
      <c r="D59" s="510">
        <v>4</v>
      </c>
      <c r="E59" s="510">
        <v>3</v>
      </c>
      <c r="F59" s="510">
        <v>0</v>
      </c>
      <c r="G59" s="510">
        <v>28</v>
      </c>
      <c r="H59" s="512">
        <v>115</v>
      </c>
      <c r="I59" s="512">
        <v>0</v>
      </c>
      <c r="J59" s="512">
        <v>140</v>
      </c>
      <c r="K59" s="513">
        <v>0.1429</v>
      </c>
      <c r="L59" s="514">
        <v>0.75</v>
      </c>
      <c r="M59" s="514">
        <v>0</v>
      </c>
      <c r="N59" s="515">
        <v>19.27</v>
      </c>
      <c r="O59" s="516">
        <v>0.5</v>
      </c>
      <c r="P59" s="516">
        <v>0</v>
      </c>
      <c r="Q59" s="517">
        <v>0.28999999999999998</v>
      </c>
    </row>
    <row r="60" spans="1:17" ht="22.5" customHeight="1" x14ac:dyDescent="0.25">
      <c r="A60" s="509">
        <v>57</v>
      </c>
      <c r="B60" s="529" t="s">
        <v>297</v>
      </c>
      <c r="C60" s="511">
        <v>6.2530000000000001</v>
      </c>
      <c r="D60" s="510">
        <v>4</v>
      </c>
      <c r="E60" s="510">
        <v>3</v>
      </c>
      <c r="F60" s="510">
        <v>0</v>
      </c>
      <c r="G60" s="510">
        <v>49</v>
      </c>
      <c r="H60" s="512">
        <v>210</v>
      </c>
      <c r="I60" s="512">
        <v>0</v>
      </c>
      <c r="J60" s="512">
        <v>260</v>
      </c>
      <c r="K60" s="513">
        <v>8.1600000000000006E-2</v>
      </c>
      <c r="L60" s="514">
        <v>0.75</v>
      </c>
      <c r="M60" s="514">
        <v>0</v>
      </c>
      <c r="N60" s="515">
        <v>33.58</v>
      </c>
      <c r="O60" s="516">
        <v>0.48</v>
      </c>
      <c r="P60" s="516">
        <v>0</v>
      </c>
      <c r="Q60" s="517">
        <v>0.28000000000000003</v>
      </c>
    </row>
    <row r="61" spans="1:17" ht="22.5" customHeight="1" x14ac:dyDescent="0.25">
      <c r="A61" s="509">
        <v>58</v>
      </c>
      <c r="B61" s="529" t="s">
        <v>298</v>
      </c>
      <c r="C61" s="511">
        <v>7.5439999999999996</v>
      </c>
      <c r="D61" s="510">
        <v>5</v>
      </c>
      <c r="E61" s="510">
        <v>4</v>
      </c>
      <c r="F61" s="510">
        <v>0</v>
      </c>
      <c r="G61" s="510">
        <v>42</v>
      </c>
      <c r="H61" s="512">
        <v>120</v>
      </c>
      <c r="I61" s="512">
        <v>0</v>
      </c>
      <c r="J61" s="512">
        <v>170</v>
      </c>
      <c r="K61" s="513">
        <v>0.11899999999999999</v>
      </c>
      <c r="L61" s="514">
        <v>0.8</v>
      </c>
      <c r="M61" s="514">
        <v>0</v>
      </c>
      <c r="N61" s="515">
        <v>15.91</v>
      </c>
      <c r="O61" s="516">
        <v>0.53</v>
      </c>
      <c r="P61" s="516">
        <v>0</v>
      </c>
      <c r="Q61" s="517">
        <v>0.28000000000000003</v>
      </c>
    </row>
    <row r="62" spans="1:17" ht="22.5" customHeight="1" x14ac:dyDescent="0.25">
      <c r="A62" s="509">
        <v>59</v>
      </c>
      <c r="B62" s="529" t="s">
        <v>411</v>
      </c>
      <c r="C62" s="511">
        <v>1.8919999999999999</v>
      </c>
      <c r="D62" s="510">
        <v>2</v>
      </c>
      <c r="E62" s="510">
        <v>1</v>
      </c>
      <c r="F62" s="510">
        <v>0</v>
      </c>
      <c r="G62" s="510">
        <v>10</v>
      </c>
      <c r="H62" s="512">
        <v>10</v>
      </c>
      <c r="I62" s="512">
        <v>0</v>
      </c>
      <c r="J62" s="512">
        <v>15</v>
      </c>
      <c r="K62" s="513">
        <v>0.2</v>
      </c>
      <c r="L62" s="514">
        <v>0.5</v>
      </c>
      <c r="M62" s="514">
        <v>0</v>
      </c>
      <c r="N62" s="515">
        <v>5.29</v>
      </c>
      <c r="O62" s="516">
        <v>0.53</v>
      </c>
      <c r="P62" s="516">
        <v>0</v>
      </c>
      <c r="Q62" s="517">
        <v>0.27</v>
      </c>
    </row>
    <row r="63" spans="1:17" ht="22.5" customHeight="1" x14ac:dyDescent="0.25">
      <c r="A63" s="509">
        <v>60</v>
      </c>
      <c r="B63" s="529" t="s">
        <v>318</v>
      </c>
      <c r="C63" s="511">
        <v>2.1989999999999998</v>
      </c>
      <c r="D63" s="510">
        <v>1</v>
      </c>
      <c r="E63" s="510">
        <v>1</v>
      </c>
      <c r="F63" s="510">
        <v>0</v>
      </c>
      <c r="G63" s="510">
        <v>11</v>
      </c>
      <c r="H63" s="512">
        <v>5</v>
      </c>
      <c r="I63" s="512">
        <v>0</v>
      </c>
      <c r="J63" s="512">
        <v>5</v>
      </c>
      <c r="K63" s="513">
        <v>9.0899999999999995E-2</v>
      </c>
      <c r="L63" s="514">
        <v>1</v>
      </c>
      <c r="M63" s="514">
        <v>0</v>
      </c>
      <c r="N63" s="515">
        <v>2.27</v>
      </c>
      <c r="O63" s="516">
        <v>0.45</v>
      </c>
      <c r="P63" s="516">
        <v>0</v>
      </c>
      <c r="Q63" s="517">
        <v>0.26</v>
      </c>
    </row>
    <row r="64" spans="1:17" ht="22.5" customHeight="1" x14ac:dyDescent="0.25">
      <c r="A64" s="509">
        <v>61</v>
      </c>
      <c r="B64" s="529" t="s">
        <v>280</v>
      </c>
      <c r="C64" s="511">
        <v>5.569</v>
      </c>
      <c r="D64" s="510">
        <v>3</v>
      </c>
      <c r="E64" s="510">
        <v>2</v>
      </c>
      <c r="F64" s="510">
        <v>0</v>
      </c>
      <c r="G64" s="510">
        <v>21</v>
      </c>
      <c r="H64" s="512">
        <v>125</v>
      </c>
      <c r="I64" s="512">
        <v>0</v>
      </c>
      <c r="J64" s="512">
        <v>245</v>
      </c>
      <c r="K64" s="513">
        <v>0.1429</v>
      </c>
      <c r="L64" s="514">
        <v>0.66669999999999996</v>
      </c>
      <c r="M64" s="514">
        <v>0</v>
      </c>
      <c r="N64" s="515">
        <v>22.45</v>
      </c>
      <c r="O64" s="516">
        <v>0.36</v>
      </c>
      <c r="P64" s="516">
        <v>0</v>
      </c>
      <c r="Q64" s="517">
        <v>0.25</v>
      </c>
    </row>
    <row r="65" spans="1:17" ht="22.5" customHeight="1" x14ac:dyDescent="0.25">
      <c r="A65" s="509">
        <v>62</v>
      </c>
      <c r="B65" s="529" t="s">
        <v>379</v>
      </c>
      <c r="C65" s="511">
        <v>6.569</v>
      </c>
      <c r="D65" s="510">
        <v>2</v>
      </c>
      <c r="E65" s="510">
        <v>2</v>
      </c>
      <c r="F65" s="510">
        <v>0</v>
      </c>
      <c r="G65" s="510">
        <v>26</v>
      </c>
      <c r="H65" s="512">
        <v>12</v>
      </c>
      <c r="I65" s="512">
        <v>0</v>
      </c>
      <c r="J65" s="512">
        <v>12</v>
      </c>
      <c r="K65" s="513">
        <v>7.6899999999999996E-2</v>
      </c>
      <c r="L65" s="514">
        <v>1</v>
      </c>
      <c r="M65" s="514">
        <v>0</v>
      </c>
      <c r="N65" s="515">
        <v>1.83</v>
      </c>
      <c r="O65" s="516">
        <v>0.3</v>
      </c>
      <c r="P65" s="516">
        <v>0</v>
      </c>
      <c r="Q65" s="517">
        <v>0.23</v>
      </c>
    </row>
    <row r="66" spans="1:17" ht="22.5" customHeight="1" x14ac:dyDescent="0.25">
      <c r="A66" s="509">
        <v>63</v>
      </c>
      <c r="B66" s="529" t="s">
        <v>326</v>
      </c>
      <c r="C66" s="511">
        <v>3.6720000000000002</v>
      </c>
      <c r="D66" s="510">
        <v>1</v>
      </c>
      <c r="E66" s="510">
        <v>1</v>
      </c>
      <c r="F66" s="510">
        <v>0</v>
      </c>
      <c r="G66" s="510">
        <v>27</v>
      </c>
      <c r="H66" s="512">
        <v>10</v>
      </c>
      <c r="I66" s="512">
        <v>0</v>
      </c>
      <c r="J66" s="512">
        <v>10</v>
      </c>
      <c r="K66" s="513">
        <v>3.6999999999999998E-2</v>
      </c>
      <c r="L66" s="514">
        <v>1</v>
      </c>
      <c r="M66" s="514">
        <v>0</v>
      </c>
      <c r="N66" s="515">
        <v>2.72</v>
      </c>
      <c r="O66" s="516">
        <v>0.27</v>
      </c>
      <c r="P66" s="516">
        <v>0</v>
      </c>
      <c r="Q66" s="517">
        <v>0.22</v>
      </c>
    </row>
    <row r="67" spans="1:17" ht="22.5" customHeight="1" x14ac:dyDescent="0.25">
      <c r="A67" s="509">
        <v>64</v>
      </c>
      <c r="B67" s="529" t="s">
        <v>392</v>
      </c>
      <c r="C67" s="511">
        <v>3.9929999999999999</v>
      </c>
      <c r="D67" s="510">
        <v>3</v>
      </c>
      <c r="E67" s="510">
        <v>2</v>
      </c>
      <c r="F67" s="510">
        <v>0</v>
      </c>
      <c r="G67" s="510">
        <v>23</v>
      </c>
      <c r="H67" s="512">
        <v>20</v>
      </c>
      <c r="I67" s="512">
        <v>0</v>
      </c>
      <c r="J67" s="512">
        <v>45</v>
      </c>
      <c r="K67" s="513">
        <v>0.13039999999999999</v>
      </c>
      <c r="L67" s="514">
        <v>0.66669999999999996</v>
      </c>
      <c r="M67" s="514">
        <v>0</v>
      </c>
      <c r="N67" s="515">
        <v>5.01</v>
      </c>
      <c r="O67" s="516">
        <v>0.5</v>
      </c>
      <c r="P67" s="516">
        <v>0</v>
      </c>
      <c r="Q67" s="517">
        <v>0.22</v>
      </c>
    </row>
    <row r="68" spans="1:17" ht="22.5" customHeight="1" x14ac:dyDescent="0.25">
      <c r="A68" s="509">
        <v>65</v>
      </c>
      <c r="B68" s="529" t="s">
        <v>385</v>
      </c>
      <c r="C68" s="511">
        <v>4.5179999999999998</v>
      </c>
      <c r="D68" s="510">
        <v>2</v>
      </c>
      <c r="E68" s="510">
        <v>1</v>
      </c>
      <c r="F68" s="510">
        <v>0</v>
      </c>
      <c r="G68" s="510">
        <v>10</v>
      </c>
      <c r="H68" s="512">
        <v>5</v>
      </c>
      <c r="I68" s="512">
        <v>0</v>
      </c>
      <c r="J68" s="512">
        <v>15</v>
      </c>
      <c r="K68" s="513">
        <v>0.2</v>
      </c>
      <c r="L68" s="514">
        <v>0.5</v>
      </c>
      <c r="M68" s="514">
        <v>0</v>
      </c>
      <c r="N68" s="515">
        <v>1.1100000000000001</v>
      </c>
      <c r="O68" s="516">
        <v>0.22</v>
      </c>
      <c r="P68" s="516">
        <v>0</v>
      </c>
      <c r="Q68" s="517">
        <v>0.21</v>
      </c>
    </row>
    <row r="69" spans="1:17" ht="22.5" customHeight="1" x14ac:dyDescent="0.25">
      <c r="A69" s="509">
        <v>66</v>
      </c>
      <c r="B69" s="529" t="s">
        <v>357</v>
      </c>
      <c r="C69" s="511">
        <v>2.2330000000000001</v>
      </c>
      <c r="D69" s="510">
        <v>4</v>
      </c>
      <c r="E69" s="510">
        <v>0</v>
      </c>
      <c r="F69" s="510">
        <v>0</v>
      </c>
      <c r="G69" s="510">
        <v>7</v>
      </c>
      <c r="H69" s="512">
        <v>0</v>
      </c>
      <c r="I69" s="512">
        <v>0</v>
      </c>
      <c r="J69" s="512">
        <v>150</v>
      </c>
      <c r="K69" s="513">
        <v>0.57140000000000002</v>
      </c>
      <c r="L69" s="514">
        <v>0</v>
      </c>
      <c r="M69" s="514">
        <v>0</v>
      </c>
      <c r="N69" s="515">
        <v>0</v>
      </c>
      <c r="O69" s="516">
        <v>0</v>
      </c>
      <c r="P69" s="516">
        <v>0</v>
      </c>
      <c r="Q69" s="517">
        <v>0.21</v>
      </c>
    </row>
    <row r="70" spans="1:17" ht="22.5" customHeight="1" x14ac:dyDescent="0.25">
      <c r="A70" s="509">
        <v>67</v>
      </c>
      <c r="B70" s="529" t="s">
        <v>374</v>
      </c>
      <c r="C70" s="511">
        <v>6.548</v>
      </c>
      <c r="D70" s="510">
        <v>5</v>
      </c>
      <c r="E70" s="510">
        <v>2</v>
      </c>
      <c r="F70" s="510">
        <v>0</v>
      </c>
      <c r="G70" s="510">
        <v>29</v>
      </c>
      <c r="H70" s="512">
        <v>51</v>
      </c>
      <c r="I70" s="512">
        <v>0</v>
      </c>
      <c r="J70" s="512">
        <v>116</v>
      </c>
      <c r="K70" s="513">
        <v>0.1724</v>
      </c>
      <c r="L70" s="514">
        <v>0.4</v>
      </c>
      <c r="M70" s="514">
        <v>0</v>
      </c>
      <c r="N70" s="515">
        <v>7.79</v>
      </c>
      <c r="O70" s="516">
        <v>0.31</v>
      </c>
      <c r="P70" s="516">
        <v>0</v>
      </c>
      <c r="Q70" s="517">
        <v>0.21</v>
      </c>
    </row>
    <row r="71" spans="1:17" ht="22.5" customHeight="1" x14ac:dyDescent="0.25">
      <c r="A71" s="509">
        <v>68</v>
      </c>
      <c r="B71" s="529" t="s">
        <v>371</v>
      </c>
      <c r="C71" s="511">
        <v>6.1440000000000001</v>
      </c>
      <c r="D71" s="510">
        <v>1</v>
      </c>
      <c r="E71" s="510">
        <v>1</v>
      </c>
      <c r="F71" s="510">
        <v>0</v>
      </c>
      <c r="G71" s="510">
        <v>27</v>
      </c>
      <c r="H71" s="512">
        <v>5</v>
      </c>
      <c r="I71" s="512">
        <v>0</v>
      </c>
      <c r="J71" s="512">
        <v>5</v>
      </c>
      <c r="K71" s="513">
        <v>3.6999999999999998E-2</v>
      </c>
      <c r="L71" s="514">
        <v>1</v>
      </c>
      <c r="M71" s="514">
        <v>0</v>
      </c>
      <c r="N71" s="515">
        <v>0.81</v>
      </c>
      <c r="O71" s="516">
        <v>0.16</v>
      </c>
      <c r="P71" s="516">
        <v>0</v>
      </c>
      <c r="Q71" s="517">
        <v>0.19</v>
      </c>
    </row>
    <row r="72" spans="1:17" ht="22.5" customHeight="1" x14ac:dyDescent="0.25">
      <c r="A72" s="509">
        <v>69</v>
      </c>
      <c r="B72" s="529" t="s">
        <v>354</v>
      </c>
      <c r="C72" s="511">
        <v>5.6029999999999998</v>
      </c>
      <c r="D72" s="510">
        <v>3</v>
      </c>
      <c r="E72" s="510">
        <v>1</v>
      </c>
      <c r="F72" s="510">
        <v>0</v>
      </c>
      <c r="G72" s="510">
        <v>19</v>
      </c>
      <c r="H72" s="512">
        <v>100</v>
      </c>
      <c r="I72" s="512">
        <v>0</v>
      </c>
      <c r="J72" s="512">
        <v>180</v>
      </c>
      <c r="K72" s="513">
        <v>0.15790000000000001</v>
      </c>
      <c r="L72" s="514">
        <v>0.33329999999999999</v>
      </c>
      <c r="M72" s="514">
        <v>0</v>
      </c>
      <c r="N72" s="515">
        <v>17.850000000000001</v>
      </c>
      <c r="O72" s="516">
        <v>0.18</v>
      </c>
      <c r="P72" s="516">
        <v>0</v>
      </c>
      <c r="Q72" s="517">
        <v>0.18</v>
      </c>
    </row>
    <row r="73" spans="1:17" ht="22.5" customHeight="1" x14ac:dyDescent="0.25">
      <c r="A73" s="509">
        <v>70</v>
      </c>
      <c r="B73" s="529" t="s">
        <v>324</v>
      </c>
      <c r="C73" s="511">
        <v>4.2149999999999999</v>
      </c>
      <c r="D73" s="510">
        <v>3</v>
      </c>
      <c r="E73" s="510">
        <v>1</v>
      </c>
      <c r="F73" s="510">
        <v>0</v>
      </c>
      <c r="G73" s="510">
        <v>20</v>
      </c>
      <c r="H73" s="512">
        <v>5</v>
      </c>
      <c r="I73" s="512">
        <v>0</v>
      </c>
      <c r="J73" s="512">
        <v>125</v>
      </c>
      <c r="K73" s="513">
        <v>0.15</v>
      </c>
      <c r="L73" s="514">
        <v>0.33329999999999999</v>
      </c>
      <c r="M73" s="514">
        <v>0</v>
      </c>
      <c r="N73" s="515">
        <v>1.19</v>
      </c>
      <c r="O73" s="516">
        <v>0.24</v>
      </c>
      <c r="P73" s="516">
        <v>0</v>
      </c>
      <c r="Q73" s="517">
        <v>0.15</v>
      </c>
    </row>
    <row r="74" spans="1:17" ht="22.5" customHeight="1" x14ac:dyDescent="0.25">
      <c r="A74" s="509">
        <v>71</v>
      </c>
      <c r="B74" s="529" t="s">
        <v>314</v>
      </c>
      <c r="C74" s="511">
        <v>2.323</v>
      </c>
      <c r="D74" s="510">
        <v>2</v>
      </c>
      <c r="E74" s="510">
        <v>0</v>
      </c>
      <c r="F74" s="510">
        <v>0</v>
      </c>
      <c r="G74" s="510">
        <v>15</v>
      </c>
      <c r="H74" s="512">
        <v>0</v>
      </c>
      <c r="I74" s="512">
        <v>0</v>
      </c>
      <c r="J74" s="512">
        <v>225</v>
      </c>
      <c r="K74" s="513">
        <v>0.1333</v>
      </c>
      <c r="L74" s="514">
        <v>0</v>
      </c>
      <c r="M74" s="514">
        <v>0</v>
      </c>
      <c r="N74" s="515">
        <v>0</v>
      </c>
      <c r="O74" s="516">
        <v>0</v>
      </c>
      <c r="P74" s="516">
        <v>0</v>
      </c>
      <c r="Q74" s="517">
        <v>7.0000000000000007E-2</v>
      </c>
    </row>
    <row r="75" spans="1:17" ht="22.5" customHeight="1" x14ac:dyDescent="0.25">
      <c r="A75" s="509">
        <v>72</v>
      </c>
      <c r="B75" s="529" t="s">
        <v>305</v>
      </c>
      <c r="C75" s="511">
        <v>5.6470000000000002</v>
      </c>
      <c r="D75" s="510">
        <v>1</v>
      </c>
      <c r="E75" s="510">
        <v>0</v>
      </c>
      <c r="F75" s="510">
        <v>0</v>
      </c>
      <c r="G75" s="510">
        <v>19</v>
      </c>
      <c r="H75" s="512">
        <v>0</v>
      </c>
      <c r="I75" s="512">
        <v>0</v>
      </c>
      <c r="J75" s="512">
        <v>25</v>
      </c>
      <c r="K75" s="513">
        <v>5.2600000000000001E-2</v>
      </c>
      <c r="L75" s="514">
        <v>0</v>
      </c>
      <c r="M75" s="514">
        <v>0</v>
      </c>
      <c r="N75" s="515">
        <v>0</v>
      </c>
      <c r="O75" s="516">
        <v>0</v>
      </c>
      <c r="P75" s="516">
        <v>0</v>
      </c>
      <c r="Q75" s="517">
        <v>0.03</v>
      </c>
    </row>
    <row r="76" spans="1:17" ht="22.5" customHeight="1" x14ac:dyDescent="0.25">
      <c r="A76" s="509">
        <v>73</v>
      </c>
      <c r="B76" s="529" t="s">
        <v>291</v>
      </c>
      <c r="C76" s="511">
        <v>1.6140000000000001</v>
      </c>
      <c r="D76" s="510">
        <v>0</v>
      </c>
      <c r="E76" s="510">
        <v>0</v>
      </c>
      <c r="F76" s="510">
        <v>0</v>
      </c>
      <c r="G76" s="510">
        <v>13</v>
      </c>
      <c r="H76" s="512">
        <v>0</v>
      </c>
      <c r="I76" s="512">
        <v>0</v>
      </c>
      <c r="J76" s="512">
        <v>0</v>
      </c>
      <c r="K76" s="513">
        <v>0</v>
      </c>
      <c r="L76" s="514">
        <v>0</v>
      </c>
      <c r="M76" s="514">
        <v>0</v>
      </c>
      <c r="N76" s="515">
        <v>0</v>
      </c>
      <c r="O76" s="516">
        <v>0</v>
      </c>
      <c r="P76" s="516">
        <v>0</v>
      </c>
      <c r="Q76" s="517">
        <v>0.01</v>
      </c>
    </row>
    <row r="77" spans="1:17" ht="22.5" customHeight="1" x14ac:dyDescent="0.25">
      <c r="A77" s="509">
        <v>74</v>
      </c>
      <c r="B77" s="529" t="s">
        <v>397</v>
      </c>
      <c r="C77" s="511">
        <v>2.3290000000000002</v>
      </c>
      <c r="D77" s="510">
        <v>0</v>
      </c>
      <c r="E77" s="510">
        <v>0</v>
      </c>
      <c r="F77" s="510">
        <v>0</v>
      </c>
      <c r="G77" s="510">
        <v>3</v>
      </c>
      <c r="H77" s="512">
        <v>0</v>
      </c>
      <c r="I77" s="512">
        <v>0</v>
      </c>
      <c r="J77" s="512">
        <v>0</v>
      </c>
      <c r="K77" s="513">
        <v>0</v>
      </c>
      <c r="L77" s="514">
        <v>0</v>
      </c>
      <c r="M77" s="514">
        <v>0</v>
      </c>
      <c r="N77" s="515">
        <v>0</v>
      </c>
      <c r="O77" s="516">
        <v>0</v>
      </c>
      <c r="P77" s="516">
        <v>0</v>
      </c>
      <c r="Q77" s="517">
        <v>0.01</v>
      </c>
    </row>
    <row r="78" spans="1:17" ht="22.5" customHeight="1" x14ac:dyDescent="0.25">
      <c r="A78" s="509">
        <v>75</v>
      </c>
      <c r="B78" s="529" t="s">
        <v>283</v>
      </c>
      <c r="C78" s="511">
        <v>6.5380000000000003</v>
      </c>
      <c r="D78" s="510">
        <v>0</v>
      </c>
      <c r="E78" s="510">
        <v>0</v>
      </c>
      <c r="F78" s="510">
        <v>0</v>
      </c>
      <c r="G78" s="510">
        <v>46</v>
      </c>
      <c r="H78" s="512">
        <v>0</v>
      </c>
      <c r="I78" s="512">
        <v>0</v>
      </c>
      <c r="J78" s="512">
        <v>0</v>
      </c>
      <c r="K78" s="513">
        <v>0</v>
      </c>
      <c r="L78" s="514">
        <v>0</v>
      </c>
      <c r="M78" s="514">
        <v>0</v>
      </c>
      <c r="N78" s="515">
        <v>0</v>
      </c>
      <c r="O78" s="516">
        <v>0</v>
      </c>
      <c r="P78" s="516">
        <v>0</v>
      </c>
      <c r="Q78" s="517">
        <v>0.01</v>
      </c>
    </row>
    <row r="79" spans="1:17" ht="22.5" customHeight="1" x14ac:dyDescent="0.25">
      <c r="A79" s="509">
        <v>76</v>
      </c>
      <c r="B79" s="529" t="s">
        <v>282</v>
      </c>
      <c r="C79" s="511">
        <v>1.3120000000000001</v>
      </c>
      <c r="D79" s="510">
        <v>0</v>
      </c>
      <c r="E79" s="510">
        <v>0</v>
      </c>
      <c r="F79" s="510">
        <v>0</v>
      </c>
      <c r="G79" s="510">
        <v>4</v>
      </c>
      <c r="H79" s="512">
        <v>0</v>
      </c>
      <c r="I79" s="512">
        <v>0</v>
      </c>
      <c r="J79" s="512">
        <v>0</v>
      </c>
      <c r="K79" s="513">
        <v>0</v>
      </c>
      <c r="L79" s="514">
        <v>0</v>
      </c>
      <c r="M79" s="514">
        <v>0</v>
      </c>
      <c r="N79" s="515">
        <v>0</v>
      </c>
      <c r="O79" s="516">
        <v>0</v>
      </c>
      <c r="P79" s="516">
        <v>0</v>
      </c>
      <c r="Q79" s="517">
        <v>0.01</v>
      </c>
    </row>
    <row r="80" spans="1:17" ht="22.5" customHeight="1" x14ac:dyDescent="0.25">
      <c r="A80" s="509" t="s">
        <v>171</v>
      </c>
      <c r="B80" s="530" t="s">
        <v>3</v>
      </c>
      <c r="C80" s="519">
        <v>435.13799999999998</v>
      </c>
      <c r="D80" s="518">
        <v>424</v>
      </c>
      <c r="E80" s="518">
        <v>280</v>
      </c>
      <c r="F80" s="518">
        <v>44</v>
      </c>
      <c r="G80" s="520">
        <v>2517</v>
      </c>
      <c r="H80" s="521">
        <v>9749.5</v>
      </c>
      <c r="I80" s="521">
        <v>5166</v>
      </c>
      <c r="J80" s="521">
        <v>19980.5</v>
      </c>
      <c r="K80" s="522">
        <v>0.16850000000000001</v>
      </c>
      <c r="L80" s="531">
        <v>0.76419999999999999</v>
      </c>
      <c r="M80" s="531">
        <v>0.30559999999999998</v>
      </c>
      <c r="N80" s="532">
        <v>34.28</v>
      </c>
      <c r="O80" s="533">
        <v>0.74</v>
      </c>
      <c r="P80" s="533">
        <v>0.1</v>
      </c>
      <c r="Q80" s="534" t="s">
        <v>171</v>
      </c>
    </row>
  </sheetData>
  <sortState ref="B3:R78">
    <sortCondition descending="1" ref="Q3"/>
  </sortState>
  <mergeCells count="3">
    <mergeCell ref="A2:A3"/>
    <mergeCell ref="B2:B3"/>
    <mergeCell ref="F1:L1"/>
  </mergeCells>
  <pageMargins left="0.25" right="0.25" top="0.25" bottom="0.5" header="0.25" footer="0.25"/>
  <pageSetup orientation="portrait" cellComments="atEnd"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tabColor rgb="FF0070C0"/>
  </sheetPr>
  <dimension ref="A1"/>
  <sheetViews>
    <sheetView workbookViewId="0">
      <selection activeCell="Y38" sqref="Y38"/>
    </sheetView>
  </sheetViews>
  <sheetFormatPr defaultRowHeight="15" x14ac:dyDescent="0.25"/>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tabColor rgb="FF0070C0"/>
  </sheetPr>
  <dimension ref="A1"/>
  <sheetViews>
    <sheetView workbookViewId="0">
      <selection activeCell="Y38" sqref="Y38"/>
    </sheetView>
  </sheetViews>
  <sheetFormatPr defaultRowHeight="15" x14ac:dyDescent="0.25"/>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tabColor rgb="FF0070C0"/>
  </sheetPr>
  <dimension ref="A1"/>
  <sheetViews>
    <sheetView workbookViewId="0">
      <selection activeCell="Y38" sqref="Y38"/>
    </sheetView>
  </sheetViews>
  <sheetFormatPr defaultRowHeight="15" x14ac:dyDescent="0.25"/>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tabColor rgb="FF0070C0"/>
  </sheetPr>
  <dimension ref="A1"/>
  <sheetViews>
    <sheetView workbookViewId="0">
      <selection activeCell="Y38" sqref="Y38"/>
    </sheetView>
  </sheetViews>
  <sheetFormatPr defaultRowHeight="15" x14ac:dyDescent="0.25"/>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tabColor rgb="FF0070C0"/>
  </sheetPr>
  <dimension ref="A1"/>
  <sheetViews>
    <sheetView workbookViewId="0">
      <selection activeCell="Y38" sqref="Y38"/>
    </sheetView>
  </sheetViews>
  <sheetFormatPr defaultRowHeight="15" x14ac:dyDescent="0.25"/>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tabColor rgb="FF0070C0"/>
  </sheetPr>
  <dimension ref="A1"/>
  <sheetViews>
    <sheetView workbookViewId="0">
      <selection activeCell="Y38" sqref="Y38"/>
    </sheetView>
  </sheetViews>
  <sheetFormatPr defaultRowHeight="15" x14ac:dyDescent="0.25"/>
  <sheetData/>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tabColor rgb="FF0070C0"/>
  </sheetPr>
  <dimension ref="A1"/>
  <sheetViews>
    <sheetView workbookViewId="0">
      <selection activeCell="Y38" sqref="Y38"/>
    </sheetView>
  </sheetViews>
  <sheetFormatPr defaultRowHeight="15" x14ac:dyDescent="0.25"/>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tabColor rgb="FF0070C0"/>
  </sheetPr>
  <dimension ref="A1"/>
  <sheetViews>
    <sheetView workbookViewId="0">
      <selection activeCell="Y38" sqref="Y38"/>
    </sheetView>
  </sheetViews>
  <sheetFormatPr defaultRowHeight="15" x14ac:dyDescent="0.25"/>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tabColor rgb="FF0070C0"/>
  </sheetPr>
  <dimension ref="A1"/>
  <sheetViews>
    <sheetView workbookViewId="0">
      <selection activeCell="Y38" sqref="Y38"/>
    </sheetView>
  </sheetViews>
  <sheetFormatPr defaultRowHeight="15" x14ac:dyDescent="0.25"/>
  <sheetData/>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tabColor rgb="FF0070C0"/>
  </sheetPr>
  <dimension ref="A1"/>
  <sheetViews>
    <sheetView workbookViewId="0">
      <selection activeCell="Y38" sqref="Y38"/>
    </sheetView>
  </sheetViews>
  <sheetFormatPr defaultRowHeight="15" x14ac:dyDescent="0.25"/>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tabColor rgb="FF0070C0"/>
  </sheetPr>
  <dimension ref="A1"/>
  <sheetViews>
    <sheetView workbookViewId="0">
      <selection activeCell="Y38" sqref="Y38"/>
    </sheetView>
  </sheetViews>
  <sheetFormatPr defaultRowHeight="15" x14ac:dyDescent="0.25"/>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tabColor rgb="FF0070C0"/>
  </sheetPr>
  <dimension ref="A1"/>
  <sheetViews>
    <sheetView workbookViewId="0">
      <selection activeCell="Y38" sqref="Y38"/>
    </sheetView>
  </sheetViews>
  <sheetFormatPr defaultRowHeight="15" x14ac:dyDescent="0.25"/>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tabColor rgb="FF0070C0"/>
  </sheetPr>
  <dimension ref="A1"/>
  <sheetViews>
    <sheetView workbookViewId="0">
      <selection activeCell="Y38" sqref="Y38"/>
    </sheetView>
  </sheetViews>
  <sheetFormatPr defaultRowHeight="15" x14ac:dyDescent="0.25"/>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tabColor rgb="FF0070C0"/>
  </sheetPr>
  <dimension ref="A1"/>
  <sheetViews>
    <sheetView workbookViewId="0">
      <selection activeCell="Y38" sqref="Y38"/>
    </sheetView>
  </sheetViews>
  <sheetFormatPr defaultRowHeight="15" x14ac:dyDescent="0.25"/>
  <sheetData/>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tabColor rgb="FF0070C0"/>
  </sheetPr>
  <dimension ref="A1"/>
  <sheetViews>
    <sheetView workbookViewId="0">
      <selection activeCell="Y38" sqref="Y38"/>
    </sheetView>
  </sheetViews>
  <sheetFormatPr defaultRowHeight="15" x14ac:dyDescent="0.25"/>
  <sheetData/>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tabColor rgb="FF0070C0"/>
  </sheetPr>
  <dimension ref="A1"/>
  <sheetViews>
    <sheetView workbookViewId="0">
      <selection activeCell="Y38" sqref="Y38"/>
    </sheetView>
  </sheetViews>
  <sheetFormatPr defaultRowHeight="15" x14ac:dyDescent="0.25"/>
  <sheetData/>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tabColor rgb="FF0070C0"/>
  </sheetPr>
  <dimension ref="A1"/>
  <sheetViews>
    <sheetView workbookViewId="0">
      <selection activeCell="Y38" sqref="Y38"/>
    </sheetView>
  </sheetViews>
  <sheetFormatPr defaultRowHeight="15" x14ac:dyDescent="0.25"/>
  <sheetData/>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tabColor rgb="FF0070C0"/>
  </sheetPr>
  <dimension ref="A1"/>
  <sheetViews>
    <sheetView workbookViewId="0">
      <selection activeCell="Y38" sqref="Y38"/>
    </sheetView>
  </sheetViews>
  <sheetFormatPr defaultRowHeight="15" x14ac:dyDescent="0.25"/>
  <sheetData/>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tabColor rgb="FF0070C0"/>
  </sheetPr>
  <dimension ref="A1"/>
  <sheetViews>
    <sheetView workbookViewId="0">
      <selection activeCell="Y38" sqref="Y38"/>
    </sheetView>
  </sheetViews>
  <sheetFormatPr defaultRowHeight="15" x14ac:dyDescent="0.25"/>
  <sheetData/>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tabColor rgb="FF0070C0"/>
  </sheetPr>
  <dimension ref="A1"/>
  <sheetViews>
    <sheetView workbookViewId="0">
      <selection activeCell="Y38" sqref="Y38"/>
    </sheetView>
  </sheetViews>
  <sheetFormatPr defaultRowHeight="15" x14ac:dyDescent="0.25"/>
  <sheetData/>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tabColor rgb="FF0070C0"/>
  </sheetPr>
  <dimension ref="A1"/>
  <sheetViews>
    <sheetView workbookViewId="0">
      <selection activeCell="Y38" sqref="Y38"/>
    </sheetView>
  </sheetViews>
  <sheetFormatPr defaultRowHeight="15" x14ac:dyDescent="0.25"/>
  <sheetData/>
  <pageMargins left="0.7" right="0.7" top="0.75" bottom="0.75" header="0.3" footer="0.3"/>
  <pageSetup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tabColor rgb="FF0070C0"/>
  </sheetPr>
  <dimension ref="A1"/>
  <sheetViews>
    <sheetView workbookViewId="0">
      <selection activeCell="Y38" sqref="Y38"/>
    </sheetView>
  </sheetViews>
  <sheetFormatPr defaultRowHeight="15" x14ac:dyDescent="0.25"/>
  <sheetData/>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tabColor rgb="FF0070C0"/>
  </sheetPr>
  <dimension ref="A1"/>
  <sheetViews>
    <sheetView workbookViewId="0">
      <selection activeCell="Y38" sqref="Y38"/>
    </sheetView>
  </sheetViews>
  <sheetFormatPr defaultRowHeight="15" x14ac:dyDescent="0.25"/>
  <sheetData/>
  <pageMargins left="0.7" right="0.7" top="0.75" bottom="0.75" header="0.3" footer="0.3"/>
  <pageSetup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tabColor rgb="FF0070C0"/>
  </sheetPr>
  <dimension ref="A1"/>
  <sheetViews>
    <sheetView workbookViewId="0">
      <selection activeCell="Y38" sqref="Y38"/>
    </sheetView>
  </sheetViews>
  <sheetFormatPr defaultRowHeight="15" x14ac:dyDescent="0.25"/>
  <sheetData/>
  <pageMargins left="0.7" right="0.7" top="0.75" bottom="0.75" header="0.3" footer="0.3"/>
  <pageSetup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tabColor rgb="FF0070C0"/>
  </sheetPr>
  <dimension ref="A1"/>
  <sheetViews>
    <sheetView workbookViewId="0">
      <selection activeCell="Y38" sqref="Y38"/>
    </sheetView>
  </sheetViews>
  <sheetFormatPr defaultRowHeight="15" x14ac:dyDescent="0.25"/>
  <sheetData/>
  <pageMargins left="0.7" right="0.7" top="0.75" bottom="0.75" header="0.3" footer="0.3"/>
  <pageSetup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tabColor rgb="FF0070C0"/>
  </sheetPr>
  <dimension ref="A1"/>
  <sheetViews>
    <sheetView workbookViewId="0">
      <selection activeCell="Y38" sqref="Y38"/>
    </sheetView>
  </sheetViews>
  <sheetFormatPr defaultRowHeight="15" x14ac:dyDescent="0.25"/>
  <sheetData/>
  <pageMargins left="0.7" right="0.7" top="0.75" bottom="0.75" header="0.3" footer="0.3"/>
  <pageSetup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tabColor rgb="FF0070C0"/>
  </sheetPr>
  <dimension ref="A1"/>
  <sheetViews>
    <sheetView workbookViewId="0">
      <selection activeCell="Y38" sqref="Y38"/>
    </sheetView>
  </sheetViews>
  <sheetFormatPr defaultRowHeight="15" x14ac:dyDescent="0.25"/>
  <sheetData/>
  <pageMargins left="0.7" right="0.7" top="0.75" bottom="0.75" header="0.3" footer="0.3"/>
  <pageSetup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0">
    <tabColor rgb="FF0070C0"/>
  </sheetPr>
  <dimension ref="A1"/>
  <sheetViews>
    <sheetView workbookViewId="0">
      <selection activeCell="Y38" sqref="Y38"/>
    </sheetView>
  </sheetViews>
  <sheetFormatPr defaultRowHeight="15" x14ac:dyDescent="0.25"/>
  <sheetData/>
  <pageMargins left="0.7" right="0.7" top="0.75" bottom="0.75" header="0.3" footer="0.3"/>
  <pageSetup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1">
    <tabColor rgb="FF0070C0"/>
  </sheetPr>
  <dimension ref="A1"/>
  <sheetViews>
    <sheetView workbookViewId="0">
      <selection activeCell="Y38" sqref="Y38"/>
    </sheetView>
  </sheetViews>
  <sheetFormatPr defaultRowHeight="15" x14ac:dyDescent="0.25"/>
  <sheetData/>
  <pageMargins left="0.7" right="0.7" top="0.75" bottom="0.75" header="0.3" footer="0.3"/>
  <pageSetup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2">
    <tabColor rgb="FF0070C0"/>
  </sheetPr>
  <dimension ref="A1"/>
  <sheetViews>
    <sheetView workbookViewId="0">
      <selection activeCell="Y38" sqref="Y38"/>
    </sheetView>
  </sheetViews>
  <sheetFormatPr defaultRowHeight="15" x14ac:dyDescent="0.25"/>
  <sheetData/>
  <pageMargins left="0.7" right="0.7" top="0.75" bottom="0.75" header="0.3" footer="0.3"/>
  <pageSetup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3">
    <tabColor rgb="FF0070C0"/>
  </sheetPr>
  <dimension ref="A1"/>
  <sheetViews>
    <sheetView workbookViewId="0">
      <selection activeCell="Y38" sqref="Y38"/>
    </sheetView>
  </sheetViews>
  <sheetFormatPr defaultRowHeight="15" x14ac:dyDescent="0.25"/>
  <sheetData/>
  <pageMargins left="0.7" right="0.7" top="0.75" bottom="0.75" header="0.3" footer="0.3"/>
  <pageSetup orientation="portrait"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tabColor rgb="FF0070C0"/>
  </sheetPr>
  <dimension ref="A1"/>
  <sheetViews>
    <sheetView workbookViewId="0">
      <selection activeCell="Y38" sqref="Y38"/>
    </sheetView>
  </sheetViews>
  <sheetFormatPr defaultRowHeight="15" x14ac:dyDescent="0.25"/>
  <sheetData/>
  <pageMargins left="0.7" right="0.7" top="0.75" bottom="0.75" header="0.3" footer="0.3"/>
  <pageSetup orientation="portrait"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5">
    <tabColor rgb="FF0070C0"/>
  </sheetPr>
  <dimension ref="A1"/>
  <sheetViews>
    <sheetView workbookViewId="0">
      <selection activeCell="Y38" sqref="Y38"/>
    </sheetView>
  </sheetViews>
  <sheetFormatPr defaultRowHeight="15" x14ac:dyDescent="0.25"/>
  <sheetData/>
  <pageMargins left="0.7" right="0.7" top="0.75" bottom="0.75" header="0.3" footer="0.3"/>
  <pageSetup orientation="portrait"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6">
    <tabColor rgb="FF0070C0"/>
  </sheetPr>
  <dimension ref="A1"/>
  <sheetViews>
    <sheetView workbookViewId="0">
      <selection activeCell="Y38" sqref="Y38"/>
    </sheetView>
  </sheetViews>
  <sheetFormatPr defaultRowHeight="15" x14ac:dyDescent="0.25"/>
  <sheetData/>
  <pageMargins left="0.7" right="0.7" top="0.75" bottom="0.75" header="0.3" footer="0.3"/>
  <pageSetup orientation="portrait"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7">
    <tabColor rgb="FF0070C0"/>
  </sheetPr>
  <dimension ref="A1"/>
  <sheetViews>
    <sheetView workbookViewId="0">
      <selection activeCell="Y38" sqref="Y38"/>
    </sheetView>
  </sheetViews>
  <sheetFormatPr defaultRowHeight="15" x14ac:dyDescent="0.25"/>
  <sheetData/>
  <pageMargins left="0.7" right="0.7" top="0.75" bottom="0.75" header="0.3" footer="0.3"/>
  <pageSetup orientation="portrait"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8">
    <tabColor rgb="FF0070C0"/>
  </sheetPr>
  <dimension ref="A1"/>
  <sheetViews>
    <sheetView workbookViewId="0">
      <selection activeCell="Y38" sqref="Y38"/>
    </sheetView>
  </sheetViews>
  <sheetFormatPr defaultRowHeight="15" x14ac:dyDescent="0.25"/>
  <sheetData/>
  <pageMargins left="0.7" right="0.7" top="0.75" bottom="0.75" header="0.3" footer="0.3"/>
  <pageSetup orientation="portrait"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9">
    <tabColor rgb="FF0070C0"/>
  </sheetPr>
  <dimension ref="A1"/>
  <sheetViews>
    <sheetView workbookViewId="0">
      <selection activeCell="Y38" sqref="Y38"/>
    </sheetView>
  </sheetViews>
  <sheetFormatPr defaultRowHeight="15" x14ac:dyDescent="0.25"/>
  <sheetData/>
  <pageMargins left="0.7" right="0.7" top="0.75" bottom="0.75" header="0.3" footer="0.3"/>
  <pageSetup orientation="portrait"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0">
    <tabColor rgb="FF0070C0"/>
  </sheetPr>
  <dimension ref="A1"/>
  <sheetViews>
    <sheetView workbookViewId="0">
      <selection activeCell="Y38" sqref="Y38"/>
    </sheetView>
  </sheetViews>
  <sheetFormatPr defaultRowHeight="15" x14ac:dyDescent="0.25"/>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2.xml><?xml version="1.0" encoding="utf-8"?>
<p:properties xmlns:p="http://schemas.microsoft.com/office/2006/metadata/properties" xmlns:xsi="http://www.w3.org/2001/XMLSchema-instance" xmlns:pc="http://schemas.microsoft.com/office/infopath/2007/PartnerControls">
  <documentManagement>
    <_dlc_DocId xmlns="bbf78af1-205c-496f-ab25-5571deccb2a5">AXH6PMJZH7TN-3-5640</_dlc_DocId>
    <_dlc_DocIdUrl xmlns="bbf78af1-205c-496f-ab25-5571deccb2a5">
      <Url>https://spec-admin.ldschurch.org/sites/Telefund/_layouts/15/DocIdRedir.aspx?ID=AXH6PMJZH7TN-3-5640</Url>
      <Description>AXH6PMJZH7TN-3-5640</Description>
    </_dlc_DocIdUr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FB97F45B0455B9429DBD766461079B4E" ma:contentTypeVersion="1" ma:contentTypeDescription="Create a new document." ma:contentTypeScope="" ma:versionID="64afc205494465e6bd7b35292db4c44a">
  <xsd:schema xmlns:xsd="http://www.w3.org/2001/XMLSchema" xmlns:xs="http://www.w3.org/2001/XMLSchema" xmlns:p="http://schemas.microsoft.com/office/2006/metadata/properties" xmlns:ns2="bbf78af1-205c-496f-ab25-5571deccb2a5" targetNamespace="http://schemas.microsoft.com/office/2006/metadata/properties" ma:root="true" ma:fieldsID="9786e42229bbfd79c20adbcaf6bf2a06" ns2:_="">
    <xsd:import namespace="bbf78af1-205c-496f-ab25-5571deccb2a5"/>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f78af1-205c-496f-ab25-5571deccb2a5"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D6003B2-8198-4EF6-8E3B-42D42C30B0D7}">
  <ds:schemaRefs>
    <ds:schemaRef ds:uri="http://schemas.microsoft.com/sharepoint/events"/>
  </ds:schemaRefs>
</ds:datastoreItem>
</file>

<file path=customXml/itemProps2.xml><?xml version="1.0" encoding="utf-8"?>
<ds:datastoreItem xmlns:ds="http://schemas.openxmlformats.org/officeDocument/2006/customXml" ds:itemID="{55DD8DC0-89B5-4D18-8558-3ED4721579BE}">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bbf78af1-205c-496f-ab25-5571deccb2a5"/>
    <ds:schemaRef ds:uri="http://www.w3.org/XML/1998/namespace"/>
    <ds:schemaRef ds:uri="http://purl.org/dc/dcmitype/"/>
  </ds:schemaRefs>
</ds:datastoreItem>
</file>

<file path=customXml/itemProps3.xml><?xml version="1.0" encoding="utf-8"?>
<ds:datastoreItem xmlns:ds="http://schemas.openxmlformats.org/officeDocument/2006/customXml" ds:itemID="{0DAD11EA-3AF5-4CCF-BBCA-308A60CFA515}">
  <ds:schemaRefs>
    <ds:schemaRef ds:uri="http://schemas.microsoft.com/sharepoint/v3/contenttype/forms"/>
  </ds:schemaRefs>
</ds:datastoreItem>
</file>

<file path=customXml/itemProps4.xml><?xml version="1.0" encoding="utf-8"?>
<ds:datastoreItem xmlns:ds="http://schemas.openxmlformats.org/officeDocument/2006/customXml" ds:itemID="{B8D4E86A-84F7-4E5D-A092-ED6E2A2760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f78af1-205c-496f-ab25-5571deccb2a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70</vt:i4>
      </vt:variant>
      <vt:variant>
        <vt:lpstr>Named Ranges</vt:lpstr>
      </vt:variant>
      <vt:variant>
        <vt:i4>2</vt:i4>
      </vt:variant>
    </vt:vector>
  </HeadingPairs>
  <TitlesOfParts>
    <vt:vector size="72" baseType="lpstr">
      <vt:lpstr>CALLER Portal</vt:lpstr>
      <vt:lpstr>Overall</vt:lpstr>
      <vt:lpstr>Caller Portal Instructions</vt:lpstr>
      <vt:lpstr>-</vt:lpstr>
      <vt:lpstr>18.Sep.01</vt:lpstr>
      <vt:lpstr>18.Sep.08</vt:lpstr>
      <vt:lpstr>18.Sep.15</vt:lpstr>
      <vt:lpstr>18.Sep.22</vt:lpstr>
      <vt:lpstr>18.Sep.29</vt:lpstr>
      <vt:lpstr>18.Oct.06</vt:lpstr>
      <vt:lpstr>18.Oct.13</vt:lpstr>
      <vt:lpstr>18.Oct.20</vt:lpstr>
      <vt:lpstr>18.Oct.27</vt:lpstr>
      <vt:lpstr>18.Nov.03</vt:lpstr>
      <vt:lpstr>18.Nov.10</vt:lpstr>
      <vt:lpstr>18.Nov.17</vt:lpstr>
      <vt:lpstr>18.Nov.24</vt:lpstr>
      <vt:lpstr>18.Dec.01</vt:lpstr>
      <vt:lpstr>18.Dec.08</vt:lpstr>
      <vt:lpstr>18.Dec.15</vt:lpstr>
      <vt:lpstr>19.Jan.05</vt:lpstr>
      <vt:lpstr>19.Jan.12</vt:lpstr>
      <vt:lpstr>19.Jan.19</vt:lpstr>
      <vt:lpstr>19.Jan.26</vt:lpstr>
      <vt:lpstr>19.Feb.02</vt:lpstr>
      <vt:lpstr>19.Feb.09</vt:lpstr>
      <vt:lpstr>19.Feb.16</vt:lpstr>
      <vt:lpstr>19.Feb.23</vt:lpstr>
      <vt:lpstr>19.Mar.02</vt:lpstr>
      <vt:lpstr>19.Mar.09</vt:lpstr>
      <vt:lpstr>19.Mar.16</vt:lpstr>
      <vt:lpstr>19.Mar.23</vt:lpstr>
      <vt:lpstr>19.Mar.30</vt:lpstr>
      <vt:lpstr>19.Apr.06</vt:lpstr>
      <vt:lpstr>19.Apr.13</vt:lpstr>
      <vt:lpstr>19.Apr.20</vt:lpstr>
      <vt:lpstr>19.Apr.27</vt:lpstr>
      <vt:lpstr>19.May.04</vt:lpstr>
      <vt:lpstr>19.May.11</vt:lpstr>
      <vt:lpstr>19.May.18</vt:lpstr>
      <vt:lpstr>19.May.25</vt:lpstr>
      <vt:lpstr>19.Jun.01</vt:lpstr>
      <vt:lpstr>19.Jun.08</vt:lpstr>
      <vt:lpstr>19.Jun.15</vt:lpstr>
      <vt:lpstr>19.Jun.22</vt:lpstr>
      <vt:lpstr>19.Jun.29</vt:lpstr>
      <vt:lpstr>19.Jul.06</vt:lpstr>
      <vt:lpstr>19.Jul.13</vt:lpstr>
      <vt:lpstr>19.Jul.20</vt:lpstr>
      <vt:lpstr>19.Jul.27</vt:lpstr>
      <vt:lpstr>19.Aug.03</vt:lpstr>
      <vt:lpstr>19.Aug.10</vt:lpstr>
      <vt:lpstr>19.Aug.17</vt:lpstr>
      <vt:lpstr>19.Aug.24</vt:lpstr>
      <vt:lpstr>19.Aug.31</vt:lpstr>
      <vt:lpstr>19.Sep.07</vt:lpstr>
      <vt:lpstr>19.Sep.14</vt:lpstr>
      <vt:lpstr>19.Sep.21</vt:lpstr>
      <vt:lpstr>19.Sep.28</vt:lpstr>
      <vt:lpstr>19.Oct.05</vt:lpstr>
      <vt:lpstr>19.Oct.12</vt:lpstr>
      <vt:lpstr>19.Oct.19</vt:lpstr>
      <vt:lpstr>19.Oct.26</vt:lpstr>
      <vt:lpstr>19.Nov.02</vt:lpstr>
      <vt:lpstr>19.Nov.09</vt:lpstr>
      <vt:lpstr>19.Nov.16</vt:lpstr>
      <vt:lpstr>19.Nov.23</vt:lpstr>
      <vt:lpstr>19.Nov.30</vt:lpstr>
      <vt:lpstr>19.Dec.07</vt:lpstr>
      <vt:lpstr>19.Dec.14</vt:lpstr>
      <vt:lpstr>SheetList</vt:lpstr>
      <vt:lpstr>ShtList</vt:lpstr>
    </vt:vector>
  </TitlesOfParts>
  <Company>LDS Church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Work in Progress Caller Portal for 2018</dc:title>
  <dc:creator>TelefundSup</dc:creator>
  <cp:lastModifiedBy>telefundsup</cp:lastModifiedBy>
  <cp:lastPrinted>2019-02-11T20:59:50Z</cp:lastPrinted>
  <dcterms:created xsi:type="dcterms:W3CDTF">2017-03-09T00:48:11Z</dcterms:created>
  <dcterms:modified xsi:type="dcterms:W3CDTF">2019-04-03T21:12:17Z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0x010100FB97F45B0455B9429DBD766461079B4E</vt:lpwstr>
  </property>
  <property fmtid="{D5CDD505-2E9C-101B-9397-08002B2CF9AE}" pid="3" name="_dlc_DocIdItemGuid">
    <vt:lpwstr>810bbeec-b311-4c11-92ba-e056745a937c</vt:lpwstr>
  </property>
  <property fmtid="{D5CDD505-2E9C-101B-9397-08002B2CF9AE}" pid="4" name="MSIP_Label_bdc3d3d8-6bdc-485e-b6f2-a0ac58658b4a_Enabled">
    <vt:lpwstr>True</vt:lpwstr>
  </property>
  <property fmtid="{D5CDD505-2E9C-101B-9397-08002B2CF9AE}" pid="5" name="MSIP_Label_bdc3d3d8-6bdc-485e-b6f2-a0ac58658b4a_SiteId">
    <vt:lpwstr>61e6eeb3-5fd7-4aaa-ae3c-61e8deb09b79</vt:lpwstr>
  </property>
  <property fmtid="{D5CDD505-2E9C-101B-9397-08002B2CF9AE}" pid="6" name="MSIP_Label_bdc3d3d8-6bdc-485e-b6f2-a0ac58658b4a_Owner">
    <vt:lpwstr>duncanpurser@ldschurch.org</vt:lpwstr>
  </property>
  <property fmtid="{D5CDD505-2E9C-101B-9397-08002B2CF9AE}" pid="7" name="MSIP_Label_bdc3d3d8-6bdc-485e-b6f2-a0ac58658b4a_SetDate">
    <vt:lpwstr>2018-09-06T21:49:12.9128306Z</vt:lpwstr>
  </property>
  <property fmtid="{D5CDD505-2E9C-101B-9397-08002B2CF9AE}" pid="8" name="MSIP_Label_bdc3d3d8-6bdc-485e-b6f2-a0ac58658b4a_Name">
    <vt:lpwstr>Internal Use</vt:lpwstr>
  </property>
  <property fmtid="{D5CDD505-2E9C-101B-9397-08002B2CF9AE}" pid="9" name="MSIP_Label_bdc3d3d8-6bdc-485e-b6f2-a0ac58658b4a_Application">
    <vt:lpwstr>Microsoft Azure Information Protection</vt:lpwstr>
  </property>
  <property fmtid="{D5CDD505-2E9C-101B-9397-08002B2CF9AE}" pid="10" name="MSIP_Label_bdc3d3d8-6bdc-485e-b6f2-a0ac58658b4a_Extended_MSFT_Method">
    <vt:lpwstr>Automatic</vt:lpwstr>
  </property>
  <property fmtid="{D5CDD505-2E9C-101B-9397-08002B2CF9AE}" pid="11" name="MSIP_Label_03ef5274-90b8-4b3f-8a76-b4c36a43e904_Enabled">
    <vt:lpwstr>True</vt:lpwstr>
  </property>
  <property fmtid="{D5CDD505-2E9C-101B-9397-08002B2CF9AE}" pid="12" name="MSIP_Label_03ef5274-90b8-4b3f-8a76-b4c36a43e904_SiteId">
    <vt:lpwstr>61e6eeb3-5fd7-4aaa-ae3c-61e8deb09b79</vt:lpwstr>
  </property>
  <property fmtid="{D5CDD505-2E9C-101B-9397-08002B2CF9AE}" pid="13" name="MSIP_Label_03ef5274-90b8-4b3f-8a76-b4c36a43e904_Owner">
    <vt:lpwstr>duncanpurser@ldschurch.org</vt:lpwstr>
  </property>
  <property fmtid="{D5CDD505-2E9C-101B-9397-08002B2CF9AE}" pid="14" name="MSIP_Label_03ef5274-90b8-4b3f-8a76-b4c36a43e904_SetDate">
    <vt:lpwstr>2018-09-06T21:49:12.9128306Z</vt:lpwstr>
  </property>
  <property fmtid="{D5CDD505-2E9C-101B-9397-08002B2CF9AE}" pid="15" name="MSIP_Label_03ef5274-90b8-4b3f-8a76-b4c36a43e904_Name">
    <vt:lpwstr>Not Encrypted</vt:lpwstr>
  </property>
  <property fmtid="{D5CDD505-2E9C-101B-9397-08002B2CF9AE}" pid="16" name="MSIP_Label_03ef5274-90b8-4b3f-8a76-b4c36a43e904_Application">
    <vt:lpwstr>Microsoft Azure Information Protection</vt:lpwstr>
  </property>
  <property fmtid="{D5CDD505-2E9C-101B-9397-08002B2CF9AE}" pid="17" name="MSIP_Label_03ef5274-90b8-4b3f-8a76-b4c36a43e904_Parent">
    <vt:lpwstr>bdc3d3d8-6bdc-485e-b6f2-a0ac58658b4a</vt:lpwstr>
  </property>
  <property fmtid="{D5CDD505-2E9C-101B-9397-08002B2CF9AE}" pid="18" name="MSIP_Label_03ef5274-90b8-4b3f-8a76-b4c36a43e904_Extended_MSFT_Method">
    <vt:lpwstr>Automatic</vt:lpwstr>
  </property>
  <property fmtid="{D5CDD505-2E9C-101B-9397-08002B2CF9AE}" pid="19" name="Classification">
    <vt:lpwstr>Internal Use Not Encrypted</vt:lpwstr>
  </property>
</Properties>
</file>