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95" windowWidth="17715" windowHeight="7875" tabRatio="923" firstSheet="10" activeTab="19"/>
  </bookViews>
  <sheets>
    <sheet name="Salarios y carga Prestacional " sheetId="1" r:id="rId1"/>
    <sheet name="Gastos de Puesta en Marcha" sheetId="2" r:id="rId2"/>
    <sheet name="Gastos anuales de Admin" sheetId="3" r:id="rId3"/>
    <sheet name="Mezcla de Mercado" sheetId="7" r:id="rId4"/>
    <sheet name="Cronograma de pagos " sheetId="4" r:id="rId5"/>
    <sheet name="Maquinas y equipos" sheetId="12" r:id="rId6"/>
    <sheet name="Costos total Produccion" sheetId="10" r:id="rId7"/>
    <sheet name="Costos Indirectos produccion" sheetId="11" r:id="rId8"/>
    <sheet name="Aprovisionamiento" sheetId="8" r:id="rId9"/>
    <sheet name="Aportes" sheetId="6" r:id="rId10"/>
    <sheet name="PROYECCIONES DE VTAS EN UND." sheetId="20" r:id="rId11"/>
    <sheet name="Hoja1" sheetId="19" r:id="rId12"/>
    <sheet name="Proyeccion de ventas" sheetId="13" r:id="rId13"/>
    <sheet name="Costos x productos" sheetId="9" r:id="rId14"/>
    <sheet name="Producto Valores" sheetId="14" r:id="rId15"/>
    <sheet name="Plan de Contingencia" sheetId="5" r:id="rId16"/>
    <sheet name="IyE anuales" sheetId="15" r:id="rId17"/>
    <sheet name="Cafe " sheetId="16" r:id="rId18"/>
    <sheet name="Hora" sheetId="17" r:id="rId19"/>
    <sheet name="Capacidad instalada equipo" sheetId="18" r:id="rId20"/>
    <sheet name="Hoja2" sheetId="21" r:id="rId21"/>
  </sheets>
  <externalReferences>
    <externalReference r:id="rId22"/>
  </externalReferences>
  <calcPr calcId="145621"/>
</workbook>
</file>

<file path=xl/calcChain.xml><?xml version="1.0" encoding="utf-8"?>
<calcChain xmlns="http://schemas.openxmlformats.org/spreadsheetml/2006/main">
  <c r="J12" i="9" l="1"/>
  <c r="I10" i="9"/>
  <c r="J10" i="9" s="1"/>
  <c r="I9" i="9"/>
  <c r="J9" i="9" s="1"/>
  <c r="I12" i="9"/>
  <c r="J11" i="9"/>
  <c r="BJ14" i="20"/>
  <c r="BH14" i="20"/>
  <c r="BD14" i="20"/>
  <c r="BE14" i="20" s="1"/>
  <c r="BB14" i="20"/>
  <c r="BB13" i="20"/>
  <c r="BC13" i="20" s="1"/>
  <c r="BD13" i="20" s="1"/>
  <c r="BE13" i="20" s="1"/>
  <c r="BF13" i="20" s="1"/>
  <c r="BG13" i="20" s="1"/>
  <c r="BH13" i="20" s="1"/>
  <c r="BI13" i="20" s="1"/>
  <c r="BJ13" i="20" s="1"/>
  <c r="BK13" i="20" s="1"/>
  <c r="BL13" i="20" s="1"/>
  <c r="BM13" i="20" s="1"/>
  <c r="BC12" i="20"/>
  <c r="BD12" i="20" s="1"/>
  <c r="BE12" i="20" s="1"/>
  <c r="BF12" i="20" s="1"/>
  <c r="BG12" i="20" s="1"/>
  <c r="BH12" i="20" s="1"/>
  <c r="BI12" i="20" s="1"/>
  <c r="BJ12" i="20" s="1"/>
  <c r="BK12" i="20" s="1"/>
  <c r="BL12" i="20" s="1"/>
  <c r="BM12" i="20" s="1"/>
  <c r="BB12" i="20"/>
  <c r="BB11" i="20"/>
  <c r="BC10" i="20"/>
  <c r="BD10" i="20" s="1"/>
  <c r="BE10" i="20" s="1"/>
  <c r="BF10" i="20" s="1"/>
  <c r="BG10" i="20" s="1"/>
  <c r="BH10" i="20" s="1"/>
  <c r="BI10" i="20" s="1"/>
  <c r="BJ10" i="20" s="1"/>
  <c r="BK10" i="20" s="1"/>
  <c r="BL10" i="20" s="1"/>
  <c r="BM10" i="20" s="1"/>
  <c r="BB10" i="20"/>
  <c r="BD9" i="20"/>
  <c r="BE9" i="20" s="1"/>
  <c r="BF9" i="20" s="1"/>
  <c r="BG9" i="20" s="1"/>
  <c r="BH9" i="20" s="1"/>
  <c r="BI9" i="20" s="1"/>
  <c r="BJ9" i="20" s="1"/>
  <c r="BK9" i="20" s="1"/>
  <c r="BL9" i="20" s="1"/>
  <c r="BM9" i="20" s="1"/>
  <c r="BC9" i="20"/>
  <c r="BB9" i="20"/>
  <c r="BN9" i="20" s="1"/>
  <c r="BE8" i="20"/>
  <c r="BF8" i="20" s="1"/>
  <c r="BG8" i="20" s="1"/>
  <c r="BH8" i="20" s="1"/>
  <c r="BI8" i="20" s="1"/>
  <c r="BJ8" i="20" s="1"/>
  <c r="BK8" i="20" s="1"/>
  <c r="BL8" i="20" s="1"/>
  <c r="BM8" i="20" s="1"/>
  <c r="BD8" i="20"/>
  <c r="BC8" i="20"/>
  <c r="BB8" i="20"/>
  <c r="BB7" i="20"/>
  <c r="BC7" i="20" s="1"/>
  <c r="BC6" i="20"/>
  <c r="BD6" i="20" s="1"/>
  <c r="BE6" i="20" s="1"/>
  <c r="BF6" i="20" s="1"/>
  <c r="BG6" i="20" s="1"/>
  <c r="BH6" i="20" s="1"/>
  <c r="BI6" i="20" s="1"/>
  <c r="BJ6" i="20" s="1"/>
  <c r="BK6" i="20" s="1"/>
  <c r="BL6" i="20" s="1"/>
  <c r="BM6" i="20" s="1"/>
  <c r="BB6" i="20"/>
  <c r="BN6" i="20" s="1"/>
  <c r="BD5" i="20"/>
  <c r="BE5" i="20" s="1"/>
  <c r="BF5" i="20" s="1"/>
  <c r="BG5" i="20" s="1"/>
  <c r="BH5" i="20" s="1"/>
  <c r="BI5" i="20" s="1"/>
  <c r="BJ5" i="20" s="1"/>
  <c r="BK5" i="20" s="1"/>
  <c r="BL5" i="20" s="1"/>
  <c r="BM5" i="20" s="1"/>
  <c r="BC5" i="20"/>
  <c r="BB5" i="20"/>
  <c r="AW14" i="20"/>
  <c r="AU14" i="20"/>
  <c r="AQ14" i="20"/>
  <c r="AR14" i="20" s="1"/>
  <c r="AO14" i="20"/>
  <c r="AO13" i="20"/>
  <c r="AP13" i="20" s="1"/>
  <c r="AQ13" i="20" s="1"/>
  <c r="AR13" i="20" s="1"/>
  <c r="AS13" i="20" s="1"/>
  <c r="AT13" i="20" s="1"/>
  <c r="AU13" i="20" s="1"/>
  <c r="AV13" i="20" s="1"/>
  <c r="AW13" i="20" s="1"/>
  <c r="AX13" i="20" s="1"/>
  <c r="AY13" i="20" s="1"/>
  <c r="AZ13" i="20" s="1"/>
  <c r="AP12" i="20"/>
  <c r="AQ12" i="20" s="1"/>
  <c r="AR12" i="20" s="1"/>
  <c r="AS12" i="20" s="1"/>
  <c r="AT12" i="20" s="1"/>
  <c r="AU12" i="20" s="1"/>
  <c r="AV12" i="20" s="1"/>
  <c r="AW12" i="20" s="1"/>
  <c r="AX12" i="20" s="1"/>
  <c r="AY12" i="20" s="1"/>
  <c r="AZ12" i="20" s="1"/>
  <c r="AO12" i="20"/>
  <c r="AO11" i="20"/>
  <c r="AP10" i="20"/>
  <c r="AQ10" i="20" s="1"/>
  <c r="AR10" i="20" s="1"/>
  <c r="AS10" i="20" s="1"/>
  <c r="AT10" i="20" s="1"/>
  <c r="AU10" i="20" s="1"/>
  <c r="AV10" i="20" s="1"/>
  <c r="AW10" i="20" s="1"/>
  <c r="AX10" i="20" s="1"/>
  <c r="AY10" i="20" s="1"/>
  <c r="AZ10" i="20" s="1"/>
  <c r="AO10" i="20"/>
  <c r="BA10" i="20" s="1"/>
  <c r="AO9" i="20"/>
  <c r="AP9" i="20" s="1"/>
  <c r="AP8" i="20"/>
  <c r="AQ8" i="20" s="1"/>
  <c r="AR8" i="20" s="1"/>
  <c r="AS8" i="20" s="1"/>
  <c r="AT8" i="20" s="1"/>
  <c r="AU8" i="20" s="1"/>
  <c r="AV8" i="20" s="1"/>
  <c r="AW8" i="20" s="1"/>
  <c r="AX8" i="20" s="1"/>
  <c r="AY8" i="20" s="1"/>
  <c r="AZ8" i="20" s="1"/>
  <c r="AO8" i="20"/>
  <c r="BA8" i="20" s="1"/>
  <c r="AO7" i="20"/>
  <c r="AP7" i="20" s="1"/>
  <c r="AP6" i="20"/>
  <c r="AQ6" i="20" s="1"/>
  <c r="AR6" i="20" s="1"/>
  <c r="AS6" i="20" s="1"/>
  <c r="AT6" i="20" s="1"/>
  <c r="AU6" i="20" s="1"/>
  <c r="AV6" i="20" s="1"/>
  <c r="AW6" i="20" s="1"/>
  <c r="AX6" i="20" s="1"/>
  <c r="AY6" i="20" s="1"/>
  <c r="AZ6" i="20" s="1"/>
  <c r="AO6" i="20"/>
  <c r="BA6" i="20" s="1"/>
  <c r="AO5" i="20"/>
  <c r="AP5" i="20" s="1"/>
  <c r="AQ5" i="20" s="1"/>
  <c r="AR5" i="20" s="1"/>
  <c r="AS5" i="20" s="1"/>
  <c r="AT5" i="20" s="1"/>
  <c r="AU5" i="20" s="1"/>
  <c r="AV5" i="20" s="1"/>
  <c r="AW5" i="20" s="1"/>
  <c r="AX5" i="20" s="1"/>
  <c r="AY5" i="20" s="1"/>
  <c r="AZ5" i="20" s="1"/>
  <c r="AJ14" i="20"/>
  <c r="AH14" i="20"/>
  <c r="AD14" i="20"/>
  <c r="AE14" i="20" s="1"/>
  <c r="AB14" i="20"/>
  <c r="AC13" i="20"/>
  <c r="AD13" i="20" s="1"/>
  <c r="AE13" i="20" s="1"/>
  <c r="AF13" i="20" s="1"/>
  <c r="AG13" i="20" s="1"/>
  <c r="AH13" i="20" s="1"/>
  <c r="AI13" i="20" s="1"/>
  <c r="AJ13" i="20" s="1"/>
  <c r="AK13" i="20" s="1"/>
  <c r="AL13" i="20" s="1"/>
  <c r="AM13" i="20" s="1"/>
  <c r="AB13" i="20"/>
  <c r="AN13" i="20" s="1"/>
  <c r="AD12" i="20"/>
  <c r="AE12" i="20" s="1"/>
  <c r="AF12" i="20" s="1"/>
  <c r="AG12" i="20" s="1"/>
  <c r="AH12" i="20" s="1"/>
  <c r="AI12" i="20" s="1"/>
  <c r="AJ12" i="20" s="1"/>
  <c r="AK12" i="20" s="1"/>
  <c r="AL12" i="20" s="1"/>
  <c r="AM12" i="20" s="1"/>
  <c r="AC12" i="20"/>
  <c r="AB12" i="20"/>
  <c r="AB11" i="20"/>
  <c r="AC11" i="20" s="1"/>
  <c r="AD11" i="20" s="1"/>
  <c r="AE11" i="20" s="1"/>
  <c r="AF11" i="20" s="1"/>
  <c r="AG11" i="20" s="1"/>
  <c r="AH11" i="20" s="1"/>
  <c r="AI11" i="20" s="1"/>
  <c r="AJ11" i="20" s="1"/>
  <c r="AK11" i="20" s="1"/>
  <c r="AL11" i="20" s="1"/>
  <c r="AM11" i="20" s="1"/>
  <c r="AB10" i="20"/>
  <c r="AC10" i="20" s="1"/>
  <c r="AD10" i="20" s="1"/>
  <c r="AE10" i="20" s="1"/>
  <c r="AF10" i="20" s="1"/>
  <c r="AG10" i="20" s="1"/>
  <c r="AH10" i="20" s="1"/>
  <c r="AI10" i="20" s="1"/>
  <c r="AJ10" i="20" s="1"/>
  <c r="AK10" i="20" s="1"/>
  <c r="AL10" i="20" s="1"/>
  <c r="AM10" i="20" s="1"/>
  <c r="AC9" i="20"/>
  <c r="AD9" i="20" s="1"/>
  <c r="AE9" i="20" s="1"/>
  <c r="AF9" i="20" s="1"/>
  <c r="AG9" i="20" s="1"/>
  <c r="AH9" i="20" s="1"/>
  <c r="AI9" i="20" s="1"/>
  <c r="AJ9" i="20" s="1"/>
  <c r="AK9" i="20" s="1"/>
  <c r="AL9" i="20" s="1"/>
  <c r="AM9" i="20" s="1"/>
  <c r="AB9" i="20"/>
  <c r="AN9" i="20" s="1"/>
  <c r="AB8" i="20"/>
  <c r="AC8" i="20" s="1"/>
  <c r="AD8" i="20" s="1"/>
  <c r="AE8" i="20" s="1"/>
  <c r="AF8" i="20" s="1"/>
  <c r="AG8" i="20" s="1"/>
  <c r="AH8" i="20" s="1"/>
  <c r="AI8" i="20" s="1"/>
  <c r="AJ8" i="20" s="1"/>
  <c r="AK8" i="20" s="1"/>
  <c r="AL8" i="20" s="1"/>
  <c r="AM8" i="20" s="1"/>
  <c r="AB7" i="20"/>
  <c r="AC7" i="20" s="1"/>
  <c r="AD7" i="20" s="1"/>
  <c r="AE7" i="20" s="1"/>
  <c r="AF7" i="20" s="1"/>
  <c r="AG7" i="20" s="1"/>
  <c r="AH7" i="20" s="1"/>
  <c r="AI7" i="20" s="1"/>
  <c r="AJ7" i="20" s="1"/>
  <c r="AK7" i="20" s="1"/>
  <c r="AL7" i="20" s="1"/>
  <c r="AM7" i="20" s="1"/>
  <c r="AB6" i="20"/>
  <c r="AC6" i="20" s="1"/>
  <c r="AD6" i="20" s="1"/>
  <c r="AE6" i="20" s="1"/>
  <c r="AF6" i="20" s="1"/>
  <c r="AG6" i="20" s="1"/>
  <c r="AH6" i="20" s="1"/>
  <c r="AI6" i="20" s="1"/>
  <c r="AJ6" i="20" s="1"/>
  <c r="AK6" i="20" s="1"/>
  <c r="AL6" i="20" s="1"/>
  <c r="AM6" i="20" s="1"/>
  <c r="AC5" i="20"/>
  <c r="AD5" i="20" s="1"/>
  <c r="AE5" i="20" s="1"/>
  <c r="AF5" i="20" s="1"/>
  <c r="AG5" i="20" s="1"/>
  <c r="AH5" i="20" s="1"/>
  <c r="AI5" i="20" s="1"/>
  <c r="AJ5" i="20" s="1"/>
  <c r="AK5" i="20" s="1"/>
  <c r="AL5" i="20" s="1"/>
  <c r="AM5" i="20" s="1"/>
  <c r="AB5" i="20"/>
  <c r="C3" i="12"/>
  <c r="L6" i="20"/>
  <c r="M6" i="20" s="1"/>
  <c r="O6" i="20" s="1"/>
  <c r="P6" i="20" s="1"/>
  <c r="Q6" i="20" s="1"/>
  <c r="L7" i="20"/>
  <c r="M7" i="20" s="1"/>
  <c r="O7" i="20" s="1"/>
  <c r="P7" i="20" s="1"/>
  <c r="Q7" i="20" s="1"/>
  <c r="O45" i="20"/>
  <c r="O44" i="20"/>
  <c r="L45" i="20"/>
  <c r="L44" i="20"/>
  <c r="L42" i="20"/>
  <c r="L41" i="20"/>
  <c r="L39" i="20"/>
  <c r="L38" i="20"/>
  <c r="I45" i="20"/>
  <c r="I44" i="20"/>
  <c r="I42" i="20"/>
  <c r="I41" i="20"/>
  <c r="I39" i="20"/>
  <c r="I38" i="20"/>
  <c r="F45" i="20"/>
  <c r="G45" i="20" s="1"/>
  <c r="F44" i="20"/>
  <c r="G44" i="20" s="1"/>
  <c r="F42" i="20"/>
  <c r="F41" i="20"/>
  <c r="F39" i="20"/>
  <c r="F38" i="20"/>
  <c r="V43" i="20"/>
  <c r="U43" i="20"/>
  <c r="AA9" i="20"/>
  <c r="AA13" i="20"/>
  <c r="AA11" i="20"/>
  <c r="M13" i="20"/>
  <c r="M12" i="20"/>
  <c r="M10" i="20"/>
  <c r="O10" i="20" s="1"/>
  <c r="P10" i="20" s="1"/>
  <c r="Q10" i="20" s="1"/>
  <c r="R10" i="20" s="1"/>
  <c r="M9" i="20"/>
  <c r="I11" i="9"/>
  <c r="O13" i="20"/>
  <c r="P13" i="20" s="1"/>
  <c r="Q13" i="20" s="1"/>
  <c r="R13" i="20" s="1"/>
  <c r="O12" i="20"/>
  <c r="O9" i="20"/>
  <c r="P9" i="20" s="1"/>
  <c r="Q9" i="20" s="1"/>
  <c r="K7" i="20"/>
  <c r="K5" i="20" s="1"/>
  <c r="W14" i="20"/>
  <c r="U14" i="20"/>
  <c r="R14" i="20"/>
  <c r="O14" i="20"/>
  <c r="C6" i="11"/>
  <c r="F4" i="3"/>
  <c r="F5" i="3"/>
  <c r="F6" i="3"/>
  <c r="F7" i="3"/>
  <c r="F8" i="3"/>
  <c r="F9" i="3"/>
  <c r="E4" i="3"/>
  <c r="E5" i="3"/>
  <c r="E6" i="3"/>
  <c r="E7" i="3"/>
  <c r="E8" i="3"/>
  <c r="E9" i="3"/>
  <c r="G3" i="3"/>
  <c r="H3" i="3"/>
  <c r="F3" i="3"/>
  <c r="E3" i="3"/>
  <c r="D7" i="3"/>
  <c r="G7" i="3"/>
  <c r="H7" i="3" s="1"/>
  <c r="C3" i="11"/>
  <c r="C2" i="11"/>
  <c r="F3" i="7"/>
  <c r="F4" i="7"/>
  <c r="F5" i="7"/>
  <c r="F6" i="7"/>
  <c r="F7" i="7"/>
  <c r="F8" i="7"/>
  <c r="F9" i="7"/>
  <c r="F10" i="7"/>
  <c r="E3" i="7"/>
  <c r="E4" i="7"/>
  <c r="E5" i="7"/>
  <c r="E6" i="7"/>
  <c r="E7" i="7"/>
  <c r="E8" i="7"/>
  <c r="E9" i="7"/>
  <c r="E10" i="7"/>
  <c r="D3" i="7"/>
  <c r="D4" i="7"/>
  <c r="D5" i="7"/>
  <c r="D6" i="7"/>
  <c r="D7" i="7"/>
  <c r="D8" i="7"/>
  <c r="D9" i="7"/>
  <c r="D10" i="7"/>
  <c r="C3" i="7"/>
  <c r="C4" i="7"/>
  <c r="C5" i="7"/>
  <c r="C6" i="7"/>
  <c r="C7" i="7"/>
  <c r="C8" i="7"/>
  <c r="C9" i="7"/>
  <c r="C10" i="7"/>
  <c r="C11" i="7"/>
  <c r="D2" i="7"/>
  <c r="E2" i="7" s="1"/>
  <c r="F2" i="7" s="1"/>
  <c r="C2" i="7"/>
  <c r="E31" i="1"/>
  <c r="F31" i="1"/>
  <c r="G31" i="1"/>
  <c r="H31" i="1"/>
  <c r="E30" i="1"/>
  <c r="F30" i="1"/>
  <c r="G30" i="1"/>
  <c r="H30" i="1"/>
  <c r="D16" i="1"/>
  <c r="F27" i="1"/>
  <c r="G27" i="1"/>
  <c r="H27" i="1"/>
  <c r="E27" i="1"/>
  <c r="E26" i="1"/>
  <c r="E25" i="1"/>
  <c r="F25" i="1" s="1"/>
  <c r="G25" i="1" s="1"/>
  <c r="H25" i="1" s="1"/>
  <c r="F24" i="1"/>
  <c r="G24" i="1"/>
  <c r="H24" i="1" s="1"/>
  <c r="E24" i="1"/>
  <c r="E23" i="1"/>
  <c r="F23" i="1" s="1"/>
  <c r="G23" i="1" s="1"/>
  <c r="H23" i="1" s="1"/>
  <c r="F18" i="1"/>
  <c r="G18" i="1"/>
  <c r="H18" i="1" s="1"/>
  <c r="E18" i="1"/>
  <c r="F15" i="1"/>
  <c r="G15" i="1"/>
  <c r="H15" i="1" s="1"/>
  <c r="E15" i="1"/>
  <c r="F12" i="1"/>
  <c r="G12" i="1"/>
  <c r="H12" i="1"/>
  <c r="E12" i="1"/>
  <c r="F9" i="1"/>
  <c r="G9" i="1"/>
  <c r="H9" i="1" s="1"/>
  <c r="E9" i="1"/>
  <c r="F3" i="1"/>
  <c r="G3" i="1"/>
  <c r="H3" i="1"/>
  <c r="E3" i="1"/>
  <c r="L6" i="3"/>
  <c r="D9" i="3"/>
  <c r="B10" i="3"/>
  <c r="BN8" i="20" l="1"/>
  <c r="BN12" i="20"/>
  <c r="BD7" i="20"/>
  <c r="BE7" i="20" s="1"/>
  <c r="BF7" i="20" s="1"/>
  <c r="BG7" i="20" s="1"/>
  <c r="BH7" i="20" s="1"/>
  <c r="BI7" i="20" s="1"/>
  <c r="BJ7" i="20" s="1"/>
  <c r="BK7" i="20" s="1"/>
  <c r="BL7" i="20" s="1"/>
  <c r="BM7" i="20" s="1"/>
  <c r="BN7" i="20"/>
  <c r="BN5" i="20" s="1"/>
  <c r="BN10" i="20"/>
  <c r="BC11" i="20"/>
  <c r="BD11" i="20" s="1"/>
  <c r="BE11" i="20" s="1"/>
  <c r="BF11" i="20" s="1"/>
  <c r="BG11" i="20" s="1"/>
  <c r="BH11" i="20" s="1"/>
  <c r="BI11" i="20" s="1"/>
  <c r="BJ11" i="20" s="1"/>
  <c r="BK11" i="20" s="1"/>
  <c r="BL11" i="20" s="1"/>
  <c r="BM11" i="20" s="1"/>
  <c r="BN13" i="20"/>
  <c r="BA11" i="20"/>
  <c r="BA9" i="20"/>
  <c r="AQ9" i="20"/>
  <c r="AR9" i="20" s="1"/>
  <c r="AS9" i="20" s="1"/>
  <c r="AT9" i="20" s="1"/>
  <c r="AU9" i="20" s="1"/>
  <c r="AV9" i="20" s="1"/>
  <c r="AW9" i="20" s="1"/>
  <c r="AX9" i="20" s="1"/>
  <c r="AY9" i="20" s="1"/>
  <c r="AZ9" i="20" s="1"/>
  <c r="BA12" i="20"/>
  <c r="AQ7" i="20"/>
  <c r="AR7" i="20" s="1"/>
  <c r="AS7" i="20" s="1"/>
  <c r="AT7" i="20" s="1"/>
  <c r="AU7" i="20" s="1"/>
  <c r="AV7" i="20" s="1"/>
  <c r="AW7" i="20" s="1"/>
  <c r="AX7" i="20" s="1"/>
  <c r="AY7" i="20" s="1"/>
  <c r="AZ7" i="20" s="1"/>
  <c r="BA7" i="20"/>
  <c r="BA5" i="20" s="1"/>
  <c r="AP11" i="20"/>
  <c r="AQ11" i="20" s="1"/>
  <c r="AR11" i="20" s="1"/>
  <c r="AS11" i="20" s="1"/>
  <c r="AT11" i="20" s="1"/>
  <c r="AU11" i="20" s="1"/>
  <c r="AV11" i="20" s="1"/>
  <c r="AW11" i="20" s="1"/>
  <c r="AX11" i="20" s="1"/>
  <c r="AY11" i="20" s="1"/>
  <c r="AZ11" i="20" s="1"/>
  <c r="BA13" i="20"/>
  <c r="AN12" i="20"/>
  <c r="AN6" i="20"/>
  <c r="AN5" i="20" s="1"/>
  <c r="AN10" i="20"/>
  <c r="AN7" i="20"/>
  <c r="AN11" i="20"/>
  <c r="AN8" i="20"/>
  <c r="S9" i="20"/>
  <c r="T9" i="20" s="1"/>
  <c r="U9" i="20" s="1"/>
  <c r="V9" i="20" s="1"/>
  <c r="W9" i="20" s="1"/>
  <c r="X9" i="20" s="1"/>
  <c r="Y9" i="20" s="1"/>
  <c r="Z9" i="20" s="1"/>
  <c r="R9" i="20"/>
  <c r="R7" i="20"/>
  <c r="S7" i="20" s="1"/>
  <c r="R6" i="20"/>
  <c r="S6" i="20" s="1"/>
  <c r="T6" i="20" s="1"/>
  <c r="U6" i="20" s="1"/>
  <c r="V6" i="20" s="1"/>
  <c r="W6" i="20" s="1"/>
  <c r="X6" i="20" s="1"/>
  <c r="Y6" i="20" s="1"/>
  <c r="Z6" i="20" s="1"/>
  <c r="S10" i="20"/>
  <c r="T10" i="20" s="1"/>
  <c r="U10" i="20" s="1"/>
  <c r="V10" i="20" s="1"/>
  <c r="S13" i="20"/>
  <c r="T13" i="20" s="1"/>
  <c r="U13" i="20" s="1"/>
  <c r="V13" i="20" s="1"/>
  <c r="P12" i="20"/>
  <c r="Q12" i="20" s="1"/>
  <c r="O21" i="13"/>
  <c r="J31" i="12"/>
  <c r="J27" i="12"/>
  <c r="H15" i="12"/>
  <c r="H14" i="12"/>
  <c r="H28" i="1"/>
  <c r="H16" i="1"/>
  <c r="H17" i="1" s="1"/>
  <c r="H13" i="1"/>
  <c r="H14" i="1" s="1"/>
  <c r="H8" i="1"/>
  <c r="G28" i="1"/>
  <c r="G19" i="1"/>
  <c r="G16" i="1"/>
  <c r="G17" i="1" s="1"/>
  <c r="G13" i="1"/>
  <c r="G14" i="1" s="1"/>
  <c r="G10" i="1"/>
  <c r="G11" i="1" s="1"/>
  <c r="G8" i="1"/>
  <c r="F28" i="1"/>
  <c r="F19" i="1"/>
  <c r="F16" i="1"/>
  <c r="F17" i="1" s="1"/>
  <c r="F13" i="1"/>
  <c r="F14" i="1" s="1"/>
  <c r="F10" i="1"/>
  <c r="F11" i="1" s="1"/>
  <c r="F8" i="1"/>
  <c r="F4" i="1"/>
  <c r="E16" i="1"/>
  <c r="E17" i="1" s="1"/>
  <c r="E13" i="1"/>
  <c r="E10" i="1"/>
  <c r="E11" i="1" s="1"/>
  <c r="E28" i="1"/>
  <c r="E19" i="1"/>
  <c r="E14" i="1"/>
  <c r="E8" i="1"/>
  <c r="E4" i="1"/>
  <c r="D30" i="1"/>
  <c r="D29" i="1"/>
  <c r="D13" i="1"/>
  <c r="D10" i="1"/>
  <c r="D4" i="1"/>
  <c r="L57" i="9"/>
  <c r="M57" i="9"/>
  <c r="N57" i="9"/>
  <c r="L56" i="9"/>
  <c r="M56" i="9"/>
  <c r="N56" i="9"/>
  <c r="N55" i="9"/>
  <c r="L55" i="9"/>
  <c r="M55" i="9"/>
  <c r="K56" i="9"/>
  <c r="K57" i="9"/>
  <c r="K55" i="9"/>
  <c r="C6" i="19"/>
  <c r="D6" i="19"/>
  <c r="E6" i="19"/>
  <c r="C5" i="19"/>
  <c r="D5" i="19"/>
  <c r="E5" i="19"/>
  <c r="C4" i="19"/>
  <c r="D4" i="19"/>
  <c r="E4" i="19"/>
  <c r="B5" i="19"/>
  <c r="B6" i="19"/>
  <c r="B4" i="19"/>
  <c r="AK43" i="20"/>
  <c r="AL43" i="20"/>
  <c r="AM43" i="20"/>
  <c r="AK40" i="20"/>
  <c r="AL40" i="20"/>
  <c r="AM40" i="20"/>
  <c r="AK37" i="20"/>
  <c r="AL37" i="20"/>
  <c r="AM37" i="20"/>
  <c r="AJ38" i="20"/>
  <c r="AJ39" i="20"/>
  <c r="AJ40" i="20"/>
  <c r="AJ41" i="20"/>
  <c r="AJ42" i="20"/>
  <c r="AJ43" i="20"/>
  <c r="AJ44" i="20"/>
  <c r="AJ45" i="20"/>
  <c r="AJ46" i="20"/>
  <c r="AJ37" i="20"/>
  <c r="D8" i="1"/>
  <c r="BN11" i="20" l="1"/>
  <c r="W13" i="20"/>
  <c r="X13" i="20" s="1"/>
  <c r="R12" i="20"/>
  <c r="S12" i="20" s="1"/>
  <c r="W10" i="20"/>
  <c r="X10" i="20" s="1"/>
  <c r="T7" i="20"/>
  <c r="H21" i="20"/>
  <c r="AA6" i="20"/>
  <c r="H19" i="1"/>
  <c r="E32" i="1"/>
  <c r="H10" i="1"/>
  <c r="H11" i="1" s="1"/>
  <c r="F29" i="1"/>
  <c r="F5" i="1"/>
  <c r="E5" i="1"/>
  <c r="E29" i="1"/>
  <c r="J8" i="13"/>
  <c r="H17" i="9"/>
  <c r="B7" i="9"/>
  <c r="H16" i="9"/>
  <c r="H15" i="9"/>
  <c r="B6" i="9"/>
  <c r="B14" i="13"/>
  <c r="I14" i="13" s="1"/>
  <c r="J14" i="13" s="1"/>
  <c r="K14" i="13" s="1"/>
  <c r="B13" i="13"/>
  <c r="I13" i="13" s="1"/>
  <c r="J13" i="13" s="1"/>
  <c r="K13" i="13" s="1"/>
  <c r="B12" i="13"/>
  <c r="I12" i="13" s="1"/>
  <c r="J12" i="13" s="1"/>
  <c r="K12" i="13" s="1"/>
  <c r="B11" i="13"/>
  <c r="I11" i="13" s="1"/>
  <c r="J11" i="13" s="1"/>
  <c r="K11" i="13" s="1"/>
  <c r="B10" i="13"/>
  <c r="I10" i="13" s="1"/>
  <c r="J10" i="13" s="1"/>
  <c r="K10" i="13" s="1"/>
  <c r="B9" i="13"/>
  <c r="I9" i="13" s="1"/>
  <c r="J9" i="13" s="1"/>
  <c r="K9" i="13" s="1"/>
  <c r="B8" i="13"/>
  <c r="I8" i="13" s="1"/>
  <c r="K8" i="13" s="1"/>
  <c r="U7" i="20" l="1"/>
  <c r="V7" i="20" s="1"/>
  <c r="Y13" i="20"/>
  <c r="Z13" i="20" s="1"/>
  <c r="T12" i="20"/>
  <c r="U12" i="20" s="1"/>
  <c r="V12" i="20" s="1"/>
  <c r="Y10" i="20"/>
  <c r="Z10" i="20" s="1"/>
  <c r="AA10" i="20"/>
  <c r="W7" i="20"/>
  <c r="X7" i="20" s="1"/>
  <c r="G4" i="1"/>
  <c r="H4" i="1"/>
  <c r="G9" i="3"/>
  <c r="F32" i="1"/>
  <c r="C8" i="13"/>
  <c r="C14" i="13"/>
  <c r="C13" i="13"/>
  <c r="C12" i="13"/>
  <c r="C11" i="13"/>
  <c r="C10" i="13"/>
  <c r="C9" i="13"/>
  <c r="H8" i="13"/>
  <c r="H14" i="13"/>
  <c r="H13" i="13"/>
  <c r="H12" i="13"/>
  <c r="H11" i="13"/>
  <c r="H10" i="13"/>
  <c r="H9" i="13"/>
  <c r="P8" i="13"/>
  <c r="P9" i="13"/>
  <c r="P10" i="13"/>
  <c r="P11" i="13"/>
  <c r="P12" i="13"/>
  <c r="P13" i="13"/>
  <c r="P14" i="13"/>
  <c r="F8" i="13"/>
  <c r="F14" i="13"/>
  <c r="G14" i="13" s="1"/>
  <c r="F13" i="13"/>
  <c r="G13" i="13" s="1"/>
  <c r="F12" i="13"/>
  <c r="G12" i="13" s="1"/>
  <c r="F11" i="13"/>
  <c r="G11" i="13" s="1"/>
  <c r="F10" i="13"/>
  <c r="G10" i="13" s="1"/>
  <c r="F9" i="13"/>
  <c r="G9" i="13" s="1"/>
  <c r="Y7" i="20" l="1"/>
  <c r="Z7" i="20" s="1"/>
  <c r="AA7" i="20"/>
  <c r="AA5" i="20" s="1"/>
  <c r="W12" i="20"/>
  <c r="H5" i="1"/>
  <c r="H32" i="1"/>
  <c r="H29" i="1"/>
  <c r="G32" i="1"/>
  <c r="G29" i="1"/>
  <c r="G5" i="1"/>
  <c r="H9" i="3"/>
  <c r="N13" i="20"/>
  <c r="N12" i="20"/>
  <c r="B27" i="20" s="1"/>
  <c r="N10" i="20"/>
  <c r="N9" i="20"/>
  <c r="B24" i="20" s="1"/>
  <c r="K12" i="20"/>
  <c r="L12" i="20"/>
  <c r="K13" i="20"/>
  <c r="L13" i="20"/>
  <c r="K9" i="20"/>
  <c r="L9" i="20"/>
  <c r="K10" i="20"/>
  <c r="L10" i="20"/>
  <c r="J7" i="20"/>
  <c r="J13" i="20"/>
  <c r="I13" i="20"/>
  <c r="H13" i="20"/>
  <c r="J10" i="20"/>
  <c r="I10" i="20"/>
  <c r="H10" i="20"/>
  <c r="I12" i="20"/>
  <c r="J12" i="20"/>
  <c r="I9" i="20"/>
  <c r="J9" i="20"/>
  <c r="I6" i="20"/>
  <c r="J6" i="20"/>
  <c r="I7" i="20"/>
  <c r="H8" i="20"/>
  <c r="H11" i="20"/>
  <c r="H12" i="20"/>
  <c r="H9" i="20"/>
  <c r="H7" i="20"/>
  <c r="H6" i="20"/>
  <c r="C63" i="20"/>
  <c r="F63" i="20" s="1"/>
  <c r="I63" i="20" s="1"/>
  <c r="L63" i="20" s="1"/>
  <c r="O63" i="20" s="1"/>
  <c r="C58" i="20"/>
  <c r="F58" i="20" s="1"/>
  <c r="I58" i="20" s="1"/>
  <c r="L58" i="20" s="1"/>
  <c r="O58" i="20" s="1"/>
  <c r="C57" i="20"/>
  <c r="F57" i="20" s="1"/>
  <c r="I57" i="20" s="1"/>
  <c r="L57" i="20" s="1"/>
  <c r="O57" i="20" s="1"/>
  <c r="C55" i="20"/>
  <c r="F55" i="20" s="1"/>
  <c r="C54" i="20"/>
  <c r="F54" i="20" s="1"/>
  <c r="C47" i="20"/>
  <c r="F47" i="20" s="1"/>
  <c r="I47" i="20" s="1"/>
  <c r="L47" i="20" s="1"/>
  <c r="O47" i="20" s="1"/>
  <c r="F30" i="20"/>
  <c r="I30" i="20" s="1"/>
  <c r="L30" i="20" s="1"/>
  <c r="O30" i="20" s="1"/>
  <c r="X15" i="20"/>
  <c r="W15" i="20"/>
  <c r="V15" i="20"/>
  <c r="U15" i="20"/>
  <c r="T15" i="20"/>
  <c r="S15" i="20"/>
  <c r="R15" i="20"/>
  <c r="B30" i="20"/>
  <c r="Q14" i="20"/>
  <c r="K14" i="20"/>
  <c r="J14" i="20"/>
  <c r="I14" i="20"/>
  <c r="H14" i="20"/>
  <c r="G14" i="20"/>
  <c r="F14" i="20"/>
  <c r="E14" i="20"/>
  <c r="B28" i="20"/>
  <c r="M11" i="20"/>
  <c r="O11" i="20" s="1"/>
  <c r="L11" i="20"/>
  <c r="K11" i="20"/>
  <c r="J11" i="20"/>
  <c r="I11" i="20"/>
  <c r="G11" i="20"/>
  <c r="F11" i="20"/>
  <c r="E11" i="20"/>
  <c r="B25" i="20"/>
  <c r="M8" i="20"/>
  <c r="O8" i="20" s="1"/>
  <c r="L8" i="20"/>
  <c r="K8" i="20"/>
  <c r="J8" i="20"/>
  <c r="I8" i="20"/>
  <c r="G8" i="20"/>
  <c r="F8" i="20"/>
  <c r="E8" i="20"/>
  <c r="J5" i="20"/>
  <c r="I5" i="20"/>
  <c r="H5" i="20"/>
  <c r="G5" i="20"/>
  <c r="F5" i="20"/>
  <c r="E5" i="20"/>
  <c r="D17" i="1"/>
  <c r="R21" i="1"/>
  <c r="S21" i="1"/>
  <c r="H22" i="20" l="1"/>
  <c r="P11" i="20"/>
  <c r="Q11" i="20" s="1"/>
  <c r="N11" i="20"/>
  <c r="X12" i="20"/>
  <c r="Y12" i="20" s="1"/>
  <c r="Z12" i="20" s="1"/>
  <c r="P8" i="20"/>
  <c r="Q8" i="20" s="1"/>
  <c r="N8" i="20"/>
  <c r="B23" i="20" s="1"/>
  <c r="N7" i="20"/>
  <c r="B22" i="20" s="1"/>
  <c r="B39" i="20" s="1"/>
  <c r="L5" i="20"/>
  <c r="B15" i="13" s="1"/>
  <c r="H15" i="13" s="1"/>
  <c r="M5" i="20"/>
  <c r="O5" i="20" s="1"/>
  <c r="N6" i="20"/>
  <c r="B21" i="20" s="1"/>
  <c r="B38" i="20" s="1"/>
  <c r="K21" i="20"/>
  <c r="K24" i="20"/>
  <c r="K30" i="20"/>
  <c r="E21" i="20"/>
  <c r="B41" i="20"/>
  <c r="H24" i="20"/>
  <c r="B42" i="20"/>
  <c r="E25" i="20"/>
  <c r="H25" i="20"/>
  <c r="H42" i="20" s="1"/>
  <c r="H58" i="20" s="1"/>
  <c r="J58" i="20" s="1"/>
  <c r="B44" i="20"/>
  <c r="B26" i="20"/>
  <c r="B45" i="20"/>
  <c r="B61" i="20" s="1"/>
  <c r="E28" i="20"/>
  <c r="H28" i="20"/>
  <c r="B47" i="20"/>
  <c r="D30" i="20"/>
  <c r="B29" i="20"/>
  <c r="E30" i="20"/>
  <c r="H30" i="20"/>
  <c r="I54" i="20"/>
  <c r="L54" i="20" s="1"/>
  <c r="O54" i="20" s="1"/>
  <c r="I55" i="20"/>
  <c r="L55" i="20" s="1"/>
  <c r="O55" i="20" s="1"/>
  <c r="S23" i="1"/>
  <c r="T25" i="1" s="1"/>
  <c r="R18" i="1"/>
  <c r="S7" i="1"/>
  <c r="S18" i="1"/>
  <c r="S14" i="1"/>
  <c r="K28" i="20" l="1"/>
  <c r="BO7" i="20"/>
  <c r="C15" i="13"/>
  <c r="R11" i="20"/>
  <c r="S11" i="20" s="1"/>
  <c r="T11" i="20" s="1"/>
  <c r="U11" i="20" s="1"/>
  <c r="V11" i="20" s="1"/>
  <c r="AA12" i="20"/>
  <c r="E27" i="20" s="1"/>
  <c r="E44" i="20" s="1"/>
  <c r="K25" i="20"/>
  <c r="K42" i="20" s="1"/>
  <c r="R8" i="20"/>
  <c r="P5" i="20"/>
  <c r="Q5" i="20" s="1"/>
  <c r="I15" i="13"/>
  <c r="J15" i="13" s="1"/>
  <c r="K15" i="13" s="1"/>
  <c r="P15" i="13" s="1"/>
  <c r="F15" i="13"/>
  <c r="G15" i="13" s="1"/>
  <c r="B16" i="13"/>
  <c r="N5" i="20"/>
  <c r="B20" i="20" s="1"/>
  <c r="B31" i="20" s="1"/>
  <c r="H47" i="20"/>
  <c r="J30" i="20"/>
  <c r="J29" i="20" s="1"/>
  <c r="H29" i="20"/>
  <c r="E47" i="20"/>
  <c r="G30" i="20"/>
  <c r="G29" i="20" s="1"/>
  <c r="E29" i="20"/>
  <c r="D29" i="20"/>
  <c r="U29" i="20" s="1"/>
  <c r="B63" i="20"/>
  <c r="D47" i="20"/>
  <c r="D46" i="20" s="1"/>
  <c r="B46" i="20"/>
  <c r="H45" i="20"/>
  <c r="E45" i="20"/>
  <c r="E61" i="20" s="1"/>
  <c r="B60" i="20"/>
  <c r="B59" i="20" s="1"/>
  <c r="B43" i="20"/>
  <c r="E42" i="20"/>
  <c r="B58" i="20"/>
  <c r="D58" i="20" s="1"/>
  <c r="H41" i="20"/>
  <c r="H23" i="20"/>
  <c r="B57" i="20"/>
  <c r="B40" i="20"/>
  <c r="H39" i="20"/>
  <c r="H38" i="20"/>
  <c r="H20" i="20"/>
  <c r="E38" i="20"/>
  <c r="K47" i="20"/>
  <c r="M30" i="20"/>
  <c r="M29" i="20" s="1"/>
  <c r="K29" i="20"/>
  <c r="K45" i="20"/>
  <c r="K41" i="20"/>
  <c r="B55" i="20"/>
  <c r="D55" i="20" s="1"/>
  <c r="K38" i="20"/>
  <c r="B54" i="20"/>
  <c r="B37" i="20"/>
  <c r="S25" i="1"/>
  <c r="U25" i="1"/>
  <c r="B8" i="2"/>
  <c r="D6" i="3"/>
  <c r="G6" i="3" s="1"/>
  <c r="H6" i="3" s="1"/>
  <c r="P7" i="16"/>
  <c r="P3" i="16"/>
  <c r="P4" i="16"/>
  <c r="P5" i="16"/>
  <c r="P6" i="16"/>
  <c r="P2" i="16"/>
  <c r="O7" i="16"/>
  <c r="O3" i="16"/>
  <c r="O4" i="16"/>
  <c r="O5" i="16"/>
  <c r="O6" i="16"/>
  <c r="O2" i="16"/>
  <c r="N3" i="16"/>
  <c r="N4" i="16"/>
  <c r="N5" i="16"/>
  <c r="N6" i="16"/>
  <c r="N2" i="16"/>
  <c r="M3" i="16"/>
  <c r="M4" i="16"/>
  <c r="M5" i="16"/>
  <c r="M6" i="16"/>
  <c r="M2" i="16"/>
  <c r="J3" i="16"/>
  <c r="J4" i="16"/>
  <c r="J5" i="16"/>
  <c r="J6" i="16"/>
  <c r="J2" i="16"/>
  <c r="F7" i="16"/>
  <c r="I3" i="16"/>
  <c r="I4" i="16"/>
  <c r="I5" i="16"/>
  <c r="I6" i="16"/>
  <c r="I2" i="16"/>
  <c r="K23" i="20" l="1"/>
  <c r="H61" i="20"/>
  <c r="J45" i="20"/>
  <c r="K61" i="20"/>
  <c r="M45" i="20"/>
  <c r="N28" i="20"/>
  <c r="N45" i="20" s="1"/>
  <c r="E26" i="20"/>
  <c r="W11" i="20"/>
  <c r="H27" i="20"/>
  <c r="N25" i="20"/>
  <c r="N42" i="20" s="1"/>
  <c r="N58" i="20" s="1"/>
  <c r="P58" i="20" s="1"/>
  <c r="S8" i="20"/>
  <c r="T8" i="20" s="1"/>
  <c r="U8" i="20" s="1"/>
  <c r="V8" i="20" s="1"/>
  <c r="N22" i="20"/>
  <c r="N39" i="20" s="1"/>
  <c r="R5" i="20"/>
  <c r="S5" i="20" s="1"/>
  <c r="T5" i="20" s="1"/>
  <c r="U5" i="20" s="1"/>
  <c r="V5" i="20" s="1"/>
  <c r="W5" i="20" s="1"/>
  <c r="X5" i="20" s="1"/>
  <c r="Y5" i="20" s="1"/>
  <c r="Z5" i="20" s="1"/>
  <c r="I16" i="13"/>
  <c r="J16" i="13" s="1"/>
  <c r="K16" i="13" s="1"/>
  <c r="P16" i="13" s="1"/>
  <c r="F16" i="13"/>
  <c r="G16" i="13" s="1"/>
  <c r="N16" i="13" s="1"/>
  <c r="C16" i="13"/>
  <c r="H16" i="13"/>
  <c r="D54" i="20"/>
  <c r="D53" i="20" s="1"/>
  <c r="B53" i="20"/>
  <c r="N21" i="20"/>
  <c r="K54" i="20"/>
  <c r="N55" i="20"/>
  <c r="P55" i="20" s="1"/>
  <c r="N24" i="20"/>
  <c r="K57" i="20"/>
  <c r="K40" i="20"/>
  <c r="K58" i="20"/>
  <c r="M58" i="20" s="1"/>
  <c r="N30" i="20"/>
  <c r="X29" i="20"/>
  <c r="K63" i="20"/>
  <c r="M47" i="20"/>
  <c r="K46" i="20"/>
  <c r="E54" i="20"/>
  <c r="H54" i="20"/>
  <c r="H37" i="20"/>
  <c r="H55" i="20"/>
  <c r="J55" i="20" s="1"/>
  <c r="D57" i="20"/>
  <c r="D56" i="20" s="1"/>
  <c r="B56" i="20"/>
  <c r="H57" i="20"/>
  <c r="H40" i="20"/>
  <c r="E58" i="20"/>
  <c r="G58" i="20" s="1"/>
  <c r="E60" i="20"/>
  <c r="E59" i="20" s="1"/>
  <c r="E43" i="20"/>
  <c r="U46" i="20"/>
  <c r="D63" i="20"/>
  <c r="D62" i="20" s="1"/>
  <c r="B62" i="20"/>
  <c r="V29" i="20"/>
  <c r="E63" i="20"/>
  <c r="G47" i="20"/>
  <c r="E46" i="20"/>
  <c r="W29" i="20"/>
  <c r="H63" i="20"/>
  <c r="J47" i="20"/>
  <c r="H46" i="20"/>
  <c r="I7" i="16"/>
  <c r="C6" i="15"/>
  <c r="N61" i="20" l="1"/>
  <c r="P45" i="20"/>
  <c r="K27" i="20"/>
  <c r="H44" i="20"/>
  <c r="J44" i="20" s="1"/>
  <c r="H26" i="20"/>
  <c r="X11" i="20"/>
  <c r="Y11" i="20" s="1"/>
  <c r="Z11" i="20" s="1"/>
  <c r="W8" i="20"/>
  <c r="X8" i="20" s="1"/>
  <c r="J46" i="20"/>
  <c r="W46" i="20" s="1"/>
  <c r="J63" i="20"/>
  <c r="J62" i="20" s="1"/>
  <c r="H62" i="20"/>
  <c r="G46" i="20"/>
  <c r="V46" i="20" s="1"/>
  <c r="G63" i="20"/>
  <c r="G62" i="20" s="1"/>
  <c r="E62" i="20"/>
  <c r="U62" i="20"/>
  <c r="J57" i="20"/>
  <c r="J56" i="20" s="1"/>
  <c r="H56" i="20"/>
  <c r="U56" i="20"/>
  <c r="J54" i="20"/>
  <c r="J53" i="20" s="1"/>
  <c r="H53" i="20"/>
  <c r="G54" i="20"/>
  <c r="M46" i="20"/>
  <c r="X46" i="20" s="1"/>
  <c r="M63" i="20"/>
  <c r="M62" i="20" s="1"/>
  <c r="K62" i="20"/>
  <c r="N47" i="20"/>
  <c r="P30" i="20"/>
  <c r="P29" i="20" s="1"/>
  <c r="N29" i="20"/>
  <c r="M57" i="20"/>
  <c r="M56" i="20" s="1"/>
  <c r="K56" i="20"/>
  <c r="N41" i="20"/>
  <c r="N23" i="20"/>
  <c r="M54" i="20"/>
  <c r="N38" i="20"/>
  <c r="N20" i="20"/>
  <c r="U53" i="20"/>
  <c r="H60" i="20" l="1"/>
  <c r="H59" i="20" s="1"/>
  <c r="H43" i="20"/>
  <c r="W43" i="20" s="1"/>
  <c r="N27" i="20"/>
  <c r="K26" i="20"/>
  <c r="K44" i="20"/>
  <c r="M44" i="20" s="1"/>
  <c r="Y8" i="20"/>
  <c r="Z8" i="20" s="1"/>
  <c r="AA8" i="20"/>
  <c r="N54" i="20"/>
  <c r="N37" i="20"/>
  <c r="N57" i="20"/>
  <c r="N40" i="20"/>
  <c r="X56" i="20"/>
  <c r="Y29" i="20"/>
  <c r="N63" i="20"/>
  <c r="P47" i="20"/>
  <c r="P46" i="20" s="1"/>
  <c r="N46" i="20"/>
  <c r="X62" i="20"/>
  <c r="W53" i="20"/>
  <c r="W56" i="20"/>
  <c r="V62" i="20"/>
  <c r="W62" i="20"/>
  <c r="C6" i="12"/>
  <c r="D7" i="12"/>
  <c r="K60" i="20" l="1"/>
  <c r="K59" i="20" s="1"/>
  <c r="K43" i="20"/>
  <c r="X43" i="20" s="1"/>
  <c r="N26" i="20"/>
  <c r="N44" i="20"/>
  <c r="P44" i="20" s="1"/>
  <c r="Y46" i="20"/>
  <c r="P63" i="20"/>
  <c r="P62" i="20" s="1"/>
  <c r="N62" i="20"/>
  <c r="P57" i="20"/>
  <c r="P56" i="20" s="1"/>
  <c r="N56" i="20"/>
  <c r="P54" i="20"/>
  <c r="P53" i="20" s="1"/>
  <c r="N53" i="20"/>
  <c r="N60" i="20" l="1"/>
  <c r="N59" i="20" s="1"/>
  <c r="N43" i="20"/>
  <c r="Y43" i="20" s="1"/>
  <c r="Y53" i="20"/>
  <c r="Y56" i="20"/>
  <c r="Y62" i="20"/>
  <c r="D3" i="12"/>
  <c r="D22" i="12"/>
  <c r="D21" i="12"/>
  <c r="D4" i="12"/>
  <c r="D5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3" i="12"/>
  <c r="D24" i="12"/>
  <c r="D6" i="12"/>
  <c r="D4" i="3"/>
  <c r="G4" i="3" s="1"/>
  <c r="H4" i="3" s="1"/>
  <c r="D5" i="3"/>
  <c r="G5" i="3" s="1"/>
  <c r="H5" i="3" s="1"/>
  <c r="D8" i="3"/>
  <c r="G8" i="3" s="1"/>
  <c r="H8" i="3" s="1"/>
  <c r="D3" i="3"/>
  <c r="O8" i="13"/>
  <c r="H13" i="12" l="1"/>
  <c r="H17" i="12" s="1"/>
  <c r="E10" i="3"/>
  <c r="E15" i="3" s="1"/>
  <c r="D10" i="3"/>
  <c r="O7" i="13"/>
  <c r="P7" i="13"/>
  <c r="D27" i="12"/>
  <c r="O11" i="13"/>
  <c r="F10" i="3" l="1"/>
  <c r="F15" i="3" s="1"/>
  <c r="D17" i="3"/>
  <c r="G8" i="13"/>
  <c r="N8" i="13" s="1"/>
  <c r="Q8" i="13"/>
  <c r="N7" i="13"/>
  <c r="Q7" i="13" s="1"/>
  <c r="O9" i="13"/>
  <c r="B55" i="9"/>
  <c r="D55" i="9" s="1"/>
  <c r="B54" i="9"/>
  <c r="D54" i="9" s="1"/>
  <c r="B53" i="9"/>
  <c r="D53" i="9" s="1"/>
  <c r="B47" i="9"/>
  <c r="B46" i="9"/>
  <c r="D48" i="9"/>
  <c r="C46" i="9"/>
  <c r="D46" i="9"/>
  <c r="C45" i="9"/>
  <c r="D45" i="9" s="1"/>
  <c r="B75" i="9"/>
  <c r="D75" i="9" s="1"/>
  <c r="B74" i="9"/>
  <c r="D74" i="9" s="1"/>
  <c r="B73" i="9"/>
  <c r="B67" i="9"/>
  <c r="B66" i="9"/>
  <c r="B27" i="9"/>
  <c r="B26" i="9"/>
  <c r="D73" i="9"/>
  <c r="D68" i="9"/>
  <c r="C66" i="9"/>
  <c r="C65" i="9"/>
  <c r="D65" i="9" s="1"/>
  <c r="B34" i="9"/>
  <c r="D34" i="9" s="1"/>
  <c r="B35" i="9"/>
  <c r="D35" i="9" s="1"/>
  <c r="B33" i="9"/>
  <c r="D33" i="9" s="1"/>
  <c r="D28" i="9"/>
  <c r="B14" i="9"/>
  <c r="D14" i="9" s="1"/>
  <c r="B15" i="9"/>
  <c r="D15" i="9" s="1"/>
  <c r="B13" i="9"/>
  <c r="D13" i="9" s="1"/>
  <c r="C6" i="9"/>
  <c r="J4" i="9"/>
  <c r="C26" i="9" s="1"/>
  <c r="D26" i="9" s="1"/>
  <c r="J3" i="9"/>
  <c r="C7" i="9" s="1"/>
  <c r="J2" i="9"/>
  <c r="C5" i="9" s="1"/>
  <c r="D8" i="9"/>
  <c r="B4" i="7"/>
  <c r="B12" i="7" s="1"/>
  <c r="D31" i="1"/>
  <c r="D14" i="1"/>
  <c r="D28" i="1"/>
  <c r="D11" i="1"/>
  <c r="D5" i="1"/>
  <c r="D19" i="1"/>
  <c r="D32" i="1" l="1"/>
  <c r="D13" i="3" s="1"/>
  <c r="D15" i="3" s="1"/>
  <c r="H10" i="3"/>
  <c r="H15" i="3" s="1"/>
  <c r="G10" i="3"/>
  <c r="G15" i="3" s="1"/>
  <c r="N11" i="13"/>
  <c r="Q11" i="13"/>
  <c r="C3" i="15"/>
  <c r="C5" i="15"/>
  <c r="C47" i="9"/>
  <c r="D47" i="9" s="1"/>
  <c r="D49" i="9" s="1"/>
  <c r="C67" i="9"/>
  <c r="D67" i="9" s="1"/>
  <c r="D69" i="9" s="1"/>
  <c r="O10" i="13"/>
  <c r="C12" i="7"/>
  <c r="D56" i="9"/>
  <c r="D66" i="9"/>
  <c r="D76" i="9"/>
  <c r="C25" i="9"/>
  <c r="D25" i="9" s="1"/>
  <c r="C27" i="9"/>
  <c r="D27" i="9" s="1"/>
  <c r="D29" i="9" s="1"/>
  <c r="D36" i="9"/>
  <c r="D6" i="9"/>
  <c r="D5" i="9"/>
  <c r="D16" i="9"/>
  <c r="D7" i="9"/>
  <c r="N9" i="13" l="1"/>
  <c r="Q9" i="13"/>
  <c r="O12" i="13"/>
  <c r="E12" i="7"/>
  <c r="D12" i="7"/>
  <c r="F12" i="7"/>
  <c r="D57" i="9"/>
  <c r="D77" i="9"/>
  <c r="D37" i="9"/>
  <c r="C41" i="20" s="1"/>
  <c r="D9" i="9"/>
  <c r="D17" i="9" s="1"/>
  <c r="C45" i="20" l="1"/>
  <c r="D45" i="20" s="1"/>
  <c r="C44" i="20"/>
  <c r="D44" i="20" s="1"/>
  <c r="C42" i="20"/>
  <c r="D41" i="20"/>
  <c r="C39" i="20"/>
  <c r="C38" i="20"/>
  <c r="N10" i="13"/>
  <c r="Q10" i="13"/>
  <c r="B4" i="10"/>
  <c r="B5" i="10"/>
  <c r="B7" i="10"/>
  <c r="B6" i="10"/>
  <c r="O13" i="13"/>
  <c r="D43" i="20" l="1"/>
  <c r="C27" i="20"/>
  <c r="C28" i="20"/>
  <c r="C24" i="20"/>
  <c r="C25" i="20"/>
  <c r="D42" i="20"/>
  <c r="D40" i="20" s="1"/>
  <c r="U40" i="20" s="1"/>
  <c r="C22" i="20"/>
  <c r="D38" i="20"/>
  <c r="D39" i="20"/>
  <c r="N12" i="13"/>
  <c r="Q12" i="13"/>
  <c r="C21" i="20"/>
  <c r="O14" i="13"/>
  <c r="F28" i="20" l="1"/>
  <c r="D28" i="20"/>
  <c r="F27" i="20"/>
  <c r="D27" i="20"/>
  <c r="G42" i="20"/>
  <c r="J41" i="20"/>
  <c r="F25" i="20"/>
  <c r="D25" i="20"/>
  <c r="F24" i="20"/>
  <c r="D24" i="20"/>
  <c r="D23" i="20" s="1"/>
  <c r="U23" i="20" s="1"/>
  <c r="F21" i="20"/>
  <c r="D21" i="20"/>
  <c r="D37" i="20"/>
  <c r="G38" i="20"/>
  <c r="F22" i="20"/>
  <c r="D22" i="20"/>
  <c r="N13" i="13"/>
  <c r="Q13" i="13"/>
  <c r="O15" i="13"/>
  <c r="D26" i="20" l="1"/>
  <c r="U26" i="20" s="1"/>
  <c r="I27" i="20"/>
  <c r="G27" i="20"/>
  <c r="I28" i="20"/>
  <c r="G28" i="20"/>
  <c r="I24" i="20"/>
  <c r="I25" i="20"/>
  <c r="G25" i="20"/>
  <c r="O41" i="20"/>
  <c r="P41" i="20" s="1"/>
  <c r="M41" i="20"/>
  <c r="J42" i="20"/>
  <c r="J40" i="20" s="1"/>
  <c r="W40" i="20" s="1"/>
  <c r="I22" i="20"/>
  <c r="J38" i="20"/>
  <c r="D48" i="20"/>
  <c r="U37" i="20"/>
  <c r="J39" i="20"/>
  <c r="D20" i="20"/>
  <c r="U20" i="20" s="1"/>
  <c r="I21" i="20"/>
  <c r="G21" i="20"/>
  <c r="N14" i="13"/>
  <c r="Q14" i="13" s="1"/>
  <c r="O16" i="13"/>
  <c r="L28" i="20" l="1"/>
  <c r="J28" i="20"/>
  <c r="G26" i="20"/>
  <c r="V26" i="20" s="1"/>
  <c r="L27" i="20"/>
  <c r="J27" i="20"/>
  <c r="O42" i="20"/>
  <c r="P42" i="20" s="1"/>
  <c r="P40" i="20" s="1"/>
  <c r="Y40" i="20" s="1"/>
  <c r="M42" i="20"/>
  <c r="M40" i="20" s="1"/>
  <c r="X40" i="20" s="1"/>
  <c r="L25" i="20"/>
  <c r="J25" i="20"/>
  <c r="L24" i="20"/>
  <c r="J24" i="20"/>
  <c r="L21" i="20"/>
  <c r="J21" i="20"/>
  <c r="D31" i="20"/>
  <c r="O39" i="20"/>
  <c r="P39" i="20" s="1"/>
  <c r="J37" i="20"/>
  <c r="O38" i="20"/>
  <c r="P38" i="20" s="1"/>
  <c r="M38" i="20"/>
  <c r="L22" i="20"/>
  <c r="J22" i="20"/>
  <c r="N15" i="13"/>
  <c r="Q15" i="13" s="1"/>
  <c r="P37" i="20" l="1"/>
  <c r="Y37" i="20" s="1"/>
  <c r="J23" i="20"/>
  <c r="W23" i="20" s="1"/>
  <c r="J26" i="20"/>
  <c r="W26" i="20" s="1"/>
  <c r="O27" i="20"/>
  <c r="P27" i="20" s="1"/>
  <c r="M27" i="20"/>
  <c r="O28" i="20"/>
  <c r="P28" i="20" s="1"/>
  <c r="M28" i="20"/>
  <c r="O24" i="20"/>
  <c r="P24" i="20" s="1"/>
  <c r="M24" i="20"/>
  <c r="O25" i="20"/>
  <c r="P25" i="20" s="1"/>
  <c r="M25" i="20"/>
  <c r="O22" i="20"/>
  <c r="P22" i="20" s="1"/>
  <c r="J48" i="20"/>
  <c r="W37" i="20"/>
  <c r="J20" i="20"/>
  <c r="W20" i="20" s="1"/>
  <c r="O21" i="20"/>
  <c r="P21" i="20" s="1"/>
  <c r="M21" i="20"/>
  <c r="Q16" i="13"/>
  <c r="Q17" i="13" s="1"/>
  <c r="C4" i="15" s="1"/>
  <c r="C7" i="15" s="1"/>
  <c r="P48" i="20" l="1"/>
  <c r="P20" i="20"/>
  <c r="Y20" i="20" s="1"/>
  <c r="M26" i="20"/>
  <c r="X26" i="20" s="1"/>
  <c r="P26" i="20"/>
  <c r="Y26" i="20" s="1"/>
  <c r="M23" i="20"/>
  <c r="X23" i="20" s="1"/>
  <c r="P23" i="20"/>
  <c r="Y23" i="20" s="1"/>
  <c r="J31" i="20"/>
  <c r="D8" i="15"/>
  <c r="F10" i="15"/>
  <c r="E22" i="20"/>
  <c r="E20" i="20" s="1"/>
  <c r="P31" i="20" l="1"/>
  <c r="E39" i="20"/>
  <c r="G22" i="20"/>
  <c r="G20" i="20" s="1"/>
  <c r="V20" i="20" s="1"/>
  <c r="E55" i="20" l="1"/>
  <c r="E37" i="20"/>
  <c r="G39" i="20"/>
  <c r="G37" i="20" s="1"/>
  <c r="E53" i="20" l="1"/>
  <c r="G55" i="20"/>
  <c r="G53" i="20" s="1"/>
  <c r="V37" i="20"/>
  <c r="V53" i="20" l="1"/>
  <c r="E24" i="20"/>
  <c r="E23" i="20" s="1"/>
  <c r="E41" i="20" l="1"/>
  <c r="G24" i="20"/>
  <c r="G23" i="20" s="1"/>
  <c r="V23" i="20" s="1"/>
  <c r="E40" i="20" l="1"/>
  <c r="E57" i="20"/>
  <c r="G41" i="20"/>
  <c r="G40" i="20" s="1"/>
  <c r="G31" i="20"/>
  <c r="G48" i="20" l="1"/>
  <c r="V40" i="20"/>
  <c r="E56" i="20"/>
  <c r="G57" i="20"/>
  <c r="G56" i="20" s="1"/>
  <c r="K22" i="20"/>
  <c r="K20" i="20" s="1"/>
  <c r="V56" i="20" l="1"/>
  <c r="M22" i="20"/>
  <c r="M20" i="20" s="1"/>
  <c r="K39" i="20"/>
  <c r="M31" i="20" l="1"/>
  <c r="X20" i="20"/>
  <c r="M39" i="20"/>
  <c r="M37" i="20" s="1"/>
  <c r="K37" i="20"/>
  <c r="K55" i="20"/>
  <c r="M55" i="20" l="1"/>
  <c r="M53" i="20" s="1"/>
  <c r="K53" i="20"/>
  <c r="X37" i="20"/>
  <c r="M48" i="20"/>
  <c r="X53" i="20" l="1"/>
</calcChain>
</file>

<file path=xl/comments1.xml><?xml version="1.0" encoding="utf-8"?>
<comments xmlns="http://schemas.openxmlformats.org/spreadsheetml/2006/main">
  <authors>
    <author>Isaias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Isaias:</t>
        </r>
        <r>
          <rPr>
            <sz val="9"/>
            <color indexed="81"/>
            <rFont val="Tahoma"/>
            <family val="2"/>
          </rPr>
          <t xml:space="preserve">
Se  le  descuenta  el valor de  tiempo de  produccion  Mano de obra directa.  El salario de los operarios  esta repartido  en parte operativa y administrativa
</t>
        </r>
      </text>
    </comment>
  </commentList>
</comments>
</file>

<file path=xl/sharedStrings.xml><?xml version="1.0" encoding="utf-8"?>
<sst xmlns="http://schemas.openxmlformats.org/spreadsheetml/2006/main" count="640" uniqueCount="312">
  <si>
    <t>CARGO</t>
  </si>
  <si>
    <t>CONCEPTO</t>
  </si>
  <si>
    <t>AÑO 1</t>
  </si>
  <si>
    <t>Salario Básico Mensual</t>
  </si>
  <si>
    <t>Salario Anual</t>
  </si>
  <si>
    <t>Programa de Capacitación</t>
  </si>
  <si>
    <t>Material impreso y audiovisual</t>
  </si>
  <si>
    <t>  </t>
  </si>
  <si>
    <t>Dotaciones</t>
  </si>
  <si>
    <t>Batas</t>
  </si>
  <si>
    <t>Gorros</t>
  </si>
  <si>
    <t>Tapa Bocas</t>
  </si>
  <si>
    <t>Botiquín Primeros Auxilios</t>
  </si>
  <si>
    <t>Total dotaciones año</t>
  </si>
  <si>
    <t>Total salarios año</t>
  </si>
  <si>
    <t>Total Carga Prestacional</t>
  </si>
  <si>
    <t>TOTAL COSTO MANO DE OBRA DIRECTA E INDIRECTA</t>
  </si>
  <si>
    <t>Asesor contable</t>
  </si>
  <si>
    <t>Asesor juridico</t>
  </si>
  <si>
    <t>Guantes</t>
  </si>
  <si>
    <t>Gerente general</t>
  </si>
  <si>
    <t>Total salarios mensuales</t>
  </si>
  <si>
    <t>VALOR</t>
  </si>
  <si>
    <t>Inscripción de Libros y Documentos</t>
  </si>
  <si>
    <t>TOTAL</t>
  </si>
  <si>
    <t xml:space="preserve">Compra de Codigo unico de barras para  productos </t>
  </si>
  <si>
    <t>GASTOS DE ADMINISTRACIÓN</t>
  </si>
  <si>
    <t>Año 1</t>
  </si>
  <si>
    <t>Luz Eléctrica</t>
  </si>
  <si>
    <t>Agua</t>
  </si>
  <si>
    <t>Suministros de oficina</t>
  </si>
  <si>
    <t>TOTAL AÑO 1</t>
  </si>
  <si>
    <t>Arriendo</t>
  </si>
  <si>
    <t>Gas</t>
  </si>
  <si>
    <t>Recursos</t>
  </si>
  <si>
    <t>Tiempo/Meses</t>
  </si>
  <si>
    <t>Actividades</t>
  </si>
  <si>
    <t>Mes</t>
  </si>
  <si>
    <t>Por Actividad</t>
  </si>
  <si>
    <t>Constitución y pago licencias y Registros</t>
  </si>
  <si>
    <t>Insumos para siembra y mantenimiento del cultivo lote 1</t>
  </si>
  <si>
    <t>Compra de Activos Fijos</t>
  </si>
  <si>
    <t>Fletes</t>
  </si>
  <si>
    <t>Compra Maquinaria y Equipo</t>
  </si>
  <si>
    <t>Materiales tutorado lote 1</t>
  </si>
  <si>
    <t>Jornales Tutorado y siembra Lote 1</t>
  </si>
  <si>
    <t>Jefe de Producción, Jefe de Mercadeo y Contador</t>
  </si>
  <si>
    <t>Pago de servicios</t>
  </si>
  <si>
    <t>Pago arrendamiento</t>
  </si>
  <si>
    <t>Jornales mantenimiento del cultivo</t>
  </si>
  <si>
    <t>Salarios Administrativos</t>
  </si>
  <si>
    <t>Insumos para siembra y mantenimiento del cultivo</t>
  </si>
  <si>
    <t>Materiales tutorado lote 2</t>
  </si>
  <si>
    <t>Jornales Tutorado y siembra 2</t>
  </si>
  <si>
    <t>Imprevistos</t>
  </si>
  <si>
    <t>Materiales tutorado lote 3</t>
  </si>
  <si>
    <t>Jornales Tutorado y siembra 3</t>
  </si>
  <si>
    <t>Gastos en Ventas</t>
  </si>
  <si>
    <t>Canastillas</t>
  </si>
  <si>
    <t>Jornales Cosecha</t>
  </si>
  <si>
    <t xml:space="preserve">Incendio </t>
  </si>
  <si>
    <t xml:space="preserve">Se realizarán mantenimientos preventivos de los equipos eléctricos cada 6 meses. </t>
  </si>
  <si>
    <t xml:space="preserve">Se realizará capacitación a los empleados para que conozcan las rutas de evacuación y sepan actuar en un incidente de estos. </t>
  </si>
  <si>
    <t xml:space="preserve">Dentro de la administración del local esta incluido el valor del seguro contra incendios. </t>
  </si>
  <si>
    <t xml:space="preserve">Terremoto </t>
  </si>
  <si>
    <t xml:space="preserve">Fuga de Gas </t>
  </si>
  <si>
    <t xml:space="preserve">Accidente </t>
  </si>
  <si>
    <t xml:space="preserve">Se realizara capacitación al personal sobre atención de primeros auxilios </t>
  </si>
  <si>
    <t xml:space="preserve">1 Botiquín dotado con los utensilios básicos para atender un accidente mientras llega ayuda profesional </t>
  </si>
  <si>
    <t>Se realizará revisiones del sistema de  gas.</t>
  </si>
  <si>
    <t>Se capacita a los usuarios para que hagan buen uso de los artefactos.</t>
  </si>
  <si>
    <t>Riesgo</t>
  </si>
  <si>
    <t>Plan de contingencia</t>
  </si>
  <si>
    <t>Solucion</t>
  </si>
  <si>
    <t>Seguro</t>
  </si>
  <si>
    <t xml:space="preserve">1 Extintor ubicado en la  cocina. </t>
  </si>
  <si>
    <t>Fondo Emprender</t>
  </si>
  <si>
    <t>Aporte de los Emprendedores</t>
  </si>
  <si>
    <t>Concepto</t>
  </si>
  <si>
    <t>Año 2</t>
  </si>
  <si>
    <t>Año 3</t>
  </si>
  <si>
    <t>Año 4</t>
  </si>
  <si>
    <t>Año 5</t>
  </si>
  <si>
    <t>Papelería</t>
  </si>
  <si>
    <t>Visitas Comerciales</t>
  </si>
  <si>
    <t>Creación Sitio Web</t>
  </si>
  <si>
    <t>Tarjetas de Presentación</t>
  </si>
  <si>
    <t>Diseño e Impresión Afiche Publicitario</t>
  </si>
  <si>
    <t>Video Institucional</t>
  </si>
  <si>
    <t xml:space="preserve">Premios para promociones </t>
  </si>
  <si>
    <t>Publicidad redes sociales</t>
  </si>
  <si>
    <t xml:space="preserve">Valla publicitaria/ pantallas </t>
  </si>
  <si>
    <t>Proveedor</t>
  </si>
  <si>
    <t>Insumo</t>
  </si>
  <si>
    <t>Unidad</t>
  </si>
  <si>
    <t>Cantidad</t>
  </si>
  <si>
    <t>Costo</t>
  </si>
  <si>
    <t>Kg.</t>
  </si>
  <si>
    <t>L.</t>
  </si>
  <si>
    <t>Desc</t>
  </si>
  <si>
    <t>MAKRO</t>
  </si>
  <si>
    <t>Harina de trigo</t>
  </si>
  <si>
    <t>Azucar</t>
  </si>
  <si>
    <t>Sal</t>
  </si>
  <si>
    <t>Empaques</t>
  </si>
  <si>
    <t>Aceite</t>
  </si>
  <si>
    <t>Ecoempaques</t>
  </si>
  <si>
    <t>Volantes publicitarios</t>
  </si>
  <si>
    <t>Churros Clásicos</t>
  </si>
  <si>
    <t>Presentación 120 g</t>
  </si>
  <si>
    <t>MATERIALES</t>
  </si>
  <si>
    <t>CONSUMO</t>
  </si>
  <si>
    <t>PRECIO DE COMPRA</t>
  </si>
  <si>
    <t>COSTO UNITARIO</t>
  </si>
  <si>
    <t>Empaque</t>
  </si>
  <si>
    <t>TOTAL MATERIALES</t>
  </si>
  <si>
    <t>MANO DE OBRA DIRECTA</t>
  </si>
  <si>
    <t>VALOR MINUTO</t>
  </si>
  <si>
    <t>TOTAL MANO DE OBRA DIRECTA</t>
  </si>
  <si>
    <t>COSTO TOTAL DE PRODUCCIÓN</t>
  </si>
  <si>
    <t>Harina de trigo (Kg)</t>
  </si>
  <si>
    <t>Ingrediente</t>
  </si>
  <si>
    <t>peso</t>
  </si>
  <si>
    <t>valor</t>
  </si>
  <si>
    <t>valor unidad</t>
  </si>
  <si>
    <t>Harina</t>
  </si>
  <si>
    <t>Churros</t>
  </si>
  <si>
    <t>Sal (Kg)</t>
  </si>
  <si>
    <t>Aceite (Lt)</t>
  </si>
  <si>
    <t>Churros /hora</t>
  </si>
  <si>
    <t>Pesaje (Min)</t>
  </si>
  <si>
    <t>Fritura (Min)</t>
  </si>
  <si>
    <t>Empacado (Min)</t>
  </si>
  <si>
    <t>Presentación 240 g</t>
  </si>
  <si>
    <t>Crazy Pack Total</t>
  </si>
  <si>
    <t>Presentación 500 g</t>
  </si>
  <si>
    <t xml:space="preserve">Crazy Churro’s </t>
  </si>
  <si>
    <t>Costos totales de producción</t>
  </si>
  <si>
    <t>Presentaciones</t>
  </si>
  <si>
    <t>Total costo de producción unitaria</t>
  </si>
  <si>
    <t>Presentación 120g</t>
  </si>
  <si>
    <t>Presentación 240g</t>
  </si>
  <si>
    <t>Presentación 500g</t>
  </si>
  <si>
    <t>Presentación 1000g</t>
  </si>
  <si>
    <t>Concepto de costo</t>
  </si>
  <si>
    <t>Valor mes</t>
  </si>
  <si>
    <t>Servicios públicos</t>
  </si>
  <si>
    <t>Arrendamiento local</t>
  </si>
  <si>
    <t>Seguros</t>
  </si>
  <si>
    <t>Mano de obra indirecta</t>
  </si>
  <si>
    <t>Dotación y uniformes</t>
  </si>
  <si>
    <t>Maquinaria y equipos para la produccion</t>
  </si>
  <si>
    <t>Item</t>
  </si>
  <si>
    <t>Costo unitario</t>
  </si>
  <si>
    <t>Costo total</t>
  </si>
  <si>
    <t>Total</t>
  </si>
  <si>
    <t>Churrera Automatica</t>
  </si>
  <si>
    <t>Freidora</t>
  </si>
  <si>
    <t>Amasadora</t>
  </si>
  <si>
    <t>Rellenadora</t>
  </si>
  <si>
    <t>Medidor calidad de aceite</t>
  </si>
  <si>
    <t>Espumadera inoxidable</t>
  </si>
  <si>
    <t>Coladores inoxidable</t>
  </si>
  <si>
    <t>Embudos inoxidables</t>
  </si>
  <si>
    <t>Bascula digital</t>
  </si>
  <si>
    <t>Mesa de trabajo en acero</t>
  </si>
  <si>
    <t>Hornos</t>
  </si>
  <si>
    <t>Congelador/Abatidor de temperatura</t>
  </si>
  <si>
    <t>Computador area operaciones</t>
  </si>
  <si>
    <t>Portatil para gerencia</t>
  </si>
  <si>
    <t xml:space="preserve">Tablet area comercial </t>
  </si>
  <si>
    <t>Kiosko Punto de venta</t>
  </si>
  <si>
    <t>Vitrina de exbicion</t>
  </si>
  <si>
    <t xml:space="preserve">Sillas </t>
  </si>
  <si>
    <t>Caja registradora</t>
  </si>
  <si>
    <t>Se evaluara el lugar y estado del local comercial en el que vamos a estar ubicados.</t>
  </si>
  <si>
    <t>Construcción Bodega para insumos, almacén, empaquey oficina.</t>
  </si>
  <si>
    <t>Jefe de Producción, Jefe de Mercadeo y Contador</t>
  </si>
  <si>
    <t>Ingreso</t>
  </si>
  <si>
    <t>120g</t>
  </si>
  <si>
    <t>240g</t>
  </si>
  <si>
    <t>500g</t>
  </si>
  <si>
    <t>1000g</t>
  </si>
  <si>
    <t>Presentacion</t>
  </si>
  <si>
    <t>P/P</t>
  </si>
  <si>
    <t>Unidades</t>
  </si>
  <si>
    <t xml:space="preserve">P x mayor </t>
  </si>
  <si>
    <t>Euro</t>
  </si>
  <si>
    <t>Escritorio</t>
  </si>
  <si>
    <t>Silla ejecutiva</t>
  </si>
  <si>
    <t xml:space="preserve">Total Kilo </t>
  </si>
  <si>
    <t>Total Sal</t>
  </si>
  <si>
    <t xml:space="preserve">Total Bolsa Harina </t>
  </si>
  <si>
    <t>Total Aceite</t>
  </si>
  <si>
    <t>Provision necesaria mensual</t>
  </si>
  <si>
    <t>Producto</t>
  </si>
  <si>
    <t>Medida</t>
  </si>
  <si>
    <t>Calorías</t>
  </si>
  <si>
    <t>Proteínas</t>
  </si>
  <si>
    <t>Lípidos</t>
  </si>
  <si>
    <t>H. de C.</t>
  </si>
  <si>
    <t>1 Unidad</t>
  </si>
  <si>
    <t>1.5</t>
  </si>
  <si>
    <t>5.0</t>
  </si>
  <si>
    <t>9.5</t>
  </si>
  <si>
    <t>Selladora de bolsas manual</t>
  </si>
  <si>
    <t>Dólar</t>
  </si>
  <si>
    <t>Carga Prestacional 52,33%</t>
  </si>
  <si>
    <t>Total harina</t>
  </si>
  <si>
    <t>Total sal</t>
  </si>
  <si>
    <t>Total Año</t>
  </si>
  <si>
    <t>Gasto personal</t>
  </si>
  <si>
    <t>inversiones</t>
  </si>
  <si>
    <t xml:space="preserve">Insumos </t>
  </si>
  <si>
    <t>Gastos administrativos</t>
  </si>
  <si>
    <t>Gastos de  mercadeo</t>
  </si>
  <si>
    <t>Total Egresos Año</t>
  </si>
  <si>
    <t>Total Ingresos</t>
  </si>
  <si>
    <t>COM</t>
  </si>
  <si>
    <t>REF</t>
  </si>
  <si>
    <t>DESCRIPCIÓN</t>
  </si>
  <si>
    <t>Precio</t>
  </si>
  <si>
    <t>IVA</t>
  </si>
  <si>
    <t>KIT</t>
  </si>
  <si>
    <t>KIT 300 COLCAFÉ SABOR COLOMBIA X 7 OZ</t>
  </si>
  <si>
    <t>KIT 100 CHOCOLATE EN LECHE X 7 OZ</t>
  </si>
  <si>
    <t>valor con iva</t>
  </si>
  <si>
    <t>Cantidad bebidas</t>
  </si>
  <si>
    <t xml:space="preserve">KIT 100 CAPUCHINO CLaSICO X 7 OZ </t>
  </si>
  <si>
    <t xml:space="preserve">KIT 100 CAPUCHINO VAINILLA X 7 OZ </t>
  </si>
  <si>
    <t xml:space="preserve">KIT 100 LECHE CALIENTE X 7 OZ </t>
  </si>
  <si>
    <t xml:space="preserve">TOTAL </t>
  </si>
  <si>
    <t>Precio Publico</t>
  </si>
  <si>
    <t>Venta Dia</t>
  </si>
  <si>
    <t>Estimado venta diaria</t>
  </si>
  <si>
    <t>Total mes</t>
  </si>
  <si>
    <t>Cantidad insumos</t>
  </si>
  <si>
    <t>Valor insumos</t>
  </si>
  <si>
    <t>Valor venta</t>
  </si>
  <si>
    <t>Registro y Matricula Mercantil</t>
  </si>
  <si>
    <t xml:space="preserve">Registro Invima </t>
  </si>
  <si>
    <t>Telefono e internet</t>
  </si>
  <si>
    <t>Adecuaciones  locativas</t>
  </si>
  <si>
    <t>1 hora</t>
  </si>
  <si>
    <t>CAPACIDAD INSTALADA</t>
  </si>
  <si>
    <t>CAPACIDAD UTILIZADA</t>
  </si>
  <si>
    <t>Churros Normales</t>
  </si>
  <si>
    <t>Churros rellenos</t>
  </si>
  <si>
    <t>Equivalencia /gr</t>
  </si>
  <si>
    <t>Registro de marca</t>
  </si>
  <si>
    <t xml:space="preserve">Jefe de ventas </t>
  </si>
  <si>
    <t>Jefe de produccion</t>
  </si>
  <si>
    <t>Jefe de bodega y producto terminado</t>
  </si>
  <si>
    <t>Presentación 1000 g</t>
  </si>
  <si>
    <t>Churrera</t>
  </si>
  <si>
    <t>(Churros/hora)</t>
  </si>
  <si>
    <t>(Churros/año)</t>
  </si>
  <si>
    <t>PROYECCIONES DE VENTAS EN UNIDADES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</si>
  <si>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</si>
  <si>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</si>
  <si>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</si>
  <si>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</si>
  <si>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</si>
  <si>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</si>
  <si>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</si>
  <si>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</si>
  <si>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</si>
  <si>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</si>
  <si>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</si>
  <si>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</si>
  <si>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TOTAL AÑO 2</t>
  </si>
  <si>
    <t>TOTAL AÑO 3</t>
  </si>
  <si>
    <t>TOTAL AÑO 4</t>
  </si>
  <si>
    <t>TOTAL AÑO 5</t>
  </si>
  <si>
    <t>MESES IMPRODUCTIVOS</t>
  </si>
  <si>
    <t>AÑO 2</t>
  </si>
  <si>
    <t>AÑO 3</t>
  </si>
  <si>
    <t>AÑO 4</t>
  </si>
  <si>
    <t>AÑO 5</t>
  </si>
  <si>
    <t>PROYECCIONES DE VENTAS EN $PESOS</t>
  </si>
  <si>
    <t>Und</t>
  </si>
  <si>
    <t>Precio Ponderado VARIOS</t>
  </si>
  <si>
    <t>TOTAL INGRESOS</t>
  </si>
  <si>
    <t>PROYECCIONES DE COSTOS DEL PRODUCTO</t>
  </si>
  <si>
    <t>Costo &gt;Ponderado VARIOS</t>
  </si>
  <si>
    <t>PROYECCIONES DE COSTOS MANO DE OBRA DIRECTA</t>
  </si>
  <si>
    <t>M de O Direc</t>
  </si>
  <si>
    <t>Costo MdeO Ponderada ELEGANT</t>
  </si>
  <si>
    <t>Costo MdeO Ponderada COLOR</t>
  </si>
  <si>
    <t>Costo MdeO Ponderada VARIOS</t>
  </si>
  <si>
    <t>PRESENTACION 500 Gr</t>
  </si>
  <si>
    <t>PRESENTACION 120 Gr</t>
  </si>
  <si>
    <t>PRESENTACION 240 Gr</t>
  </si>
  <si>
    <t>Punto de venta</t>
  </si>
  <si>
    <t>Grandes superficies</t>
  </si>
  <si>
    <t>OTROS INGRESOS</t>
  </si>
  <si>
    <t>Precio Ponderado 240 Gr</t>
  </si>
  <si>
    <t>Precio Ponderado 500 Gr</t>
  </si>
  <si>
    <t>Precio Ponderado 120 Gr</t>
  </si>
  <si>
    <t>Churros Diarios</t>
  </si>
  <si>
    <t>Churros Mes</t>
  </si>
  <si>
    <t>Total Galones Aceite</t>
  </si>
  <si>
    <t>Dc</t>
  </si>
  <si>
    <t xml:space="preserve">mano </t>
  </si>
  <si>
    <t>NOMINA  Año 1</t>
  </si>
  <si>
    <t>Mano  obra  directa</t>
  </si>
  <si>
    <t xml:space="preserve">EQUIPOS </t>
  </si>
  <si>
    <t>Muebles y Encer</t>
  </si>
  <si>
    <t>Equipo  Oficina</t>
  </si>
  <si>
    <t>Total Mes</t>
  </si>
  <si>
    <t>Vendedor</t>
  </si>
  <si>
    <t>TOTAL COSTOS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</si>
</sst>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\ #,##0_);[Red]\(&quot;$&quot;\ #,##0\)"/>
    <numFmt numFmtId="8" formatCode="&quot;$&quot;\ #,##0.00_);[Red]\(&quot;$&quot;\ #,##0.00\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rgb="FF445555"/>
      <name val="Arial"/>
      <family val="2"/>
    </font>
    <font>
      <sz val="9"/>
      <color rgb="FF445555"/>
      <name val="Arial"/>
      <family val="2"/>
    </font>
    <font>
      <b/>
      <i/>
      <sz val="9"/>
      <color rgb="FF445555"/>
      <name val="Arial"/>
      <family val="2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Times New Roman"/>
      <family val="1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Times New Roman"/>
      <family val="1"/>
    </font>
    <font>
      <sz val="10"/>
      <color rgb="FF333333"/>
      <name val="Arial"/>
      <family val="2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color rgb="FF333333"/>
      <name val="Arial"/>
      <family val="2"/>
    </font>
    <font>
      <sz val="11"/>
      <color indexed="8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82B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948B5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26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7" fillId="0" borderId="0"/>
    <xf numFmtId="43" fontId="32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</cellStyleXfs>
  <cellXfs count="26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3" fontId="0" fillId="0" borderId="0" xfId="0" applyNumberFormat="1"/>
    <xf numFmtId="3" fontId="4" fillId="0" borderId="1" xfId="0" applyNumberFormat="1" applyFont="1" applyBorder="1" applyAlignment="1">
      <alignment horizontal="right" vertical="center" wrapText="1"/>
    </xf>
    <xf numFmtId="3" fontId="5" fillId="0" borderId="1" xfId="0" applyNumberFormat="1" applyFont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3" fontId="12" fillId="0" borderId="1" xfId="0" applyNumberFormat="1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164" fontId="4" fillId="2" borderId="1" xfId="1" applyNumberFormat="1" applyFont="1" applyFill="1" applyBorder="1" applyAlignment="1">
      <alignment horizontal="right" vertical="center" wrapText="1"/>
    </xf>
    <xf numFmtId="164" fontId="4" fillId="2" borderId="1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vertical="top" wrapText="1"/>
    </xf>
    <xf numFmtId="9" fontId="4" fillId="0" borderId="1" xfId="0" applyNumberFormat="1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5" fillId="0" borderId="16" xfId="0" applyFont="1" applyBorder="1" applyAlignment="1">
      <alignment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6" fontId="0" fillId="0" borderId="0" xfId="0" applyNumberFormat="1"/>
    <xf numFmtId="6" fontId="11" fillId="0" borderId="0" xfId="0" applyNumberFormat="1" applyFont="1" applyAlignment="1">
      <alignment horizontal="center" vertical="center"/>
    </xf>
    <xf numFmtId="6" fontId="11" fillId="0" borderId="20" xfId="0" applyNumberFormat="1" applyFont="1" applyBorder="1" applyAlignment="1">
      <alignment horizontal="center" vertical="center"/>
    </xf>
    <xf numFmtId="6" fontId="11" fillId="0" borderId="17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vertical="center"/>
    </xf>
    <xf numFmtId="0" fontId="2" fillId="0" borderId="17" xfId="0" applyFont="1" applyBorder="1"/>
    <xf numFmtId="6" fontId="14" fillId="0" borderId="14" xfId="0" applyNumberFormat="1" applyFont="1" applyBorder="1" applyAlignment="1">
      <alignment horizontal="center" vertical="center"/>
    </xf>
    <xf numFmtId="0" fontId="15" fillId="0" borderId="19" xfId="0" applyFont="1" applyBorder="1" applyAlignment="1">
      <alignment vertical="center"/>
    </xf>
    <xf numFmtId="0" fontId="11" fillId="0" borderId="20" xfId="0" applyFont="1" applyBorder="1" applyAlignment="1">
      <alignment horizontal="center" vertical="center"/>
    </xf>
    <xf numFmtId="0" fontId="2" fillId="0" borderId="13" xfId="0" applyFont="1" applyBorder="1"/>
    <xf numFmtId="8" fontId="11" fillId="0" borderId="14" xfId="0" applyNumberFormat="1" applyFont="1" applyBorder="1" applyAlignment="1">
      <alignment horizontal="center" vertical="center"/>
    </xf>
    <xf numFmtId="6" fontId="14" fillId="0" borderId="18" xfId="0" applyNumberFormat="1" applyFont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left" vertical="center"/>
    </xf>
    <xf numFmtId="0" fontId="15" fillId="4" borderId="16" xfId="0" applyFont="1" applyFill="1" applyBorder="1" applyAlignment="1">
      <alignment horizontal="right" vertical="center"/>
    </xf>
    <xf numFmtId="0" fontId="17" fillId="0" borderId="0" xfId="0" applyFont="1" applyAlignment="1">
      <alignment horizontal="left"/>
    </xf>
    <xf numFmtId="0" fontId="17" fillId="0" borderId="0" xfId="0" applyFont="1" applyFill="1" applyBorder="1" applyAlignment="1">
      <alignment horizontal="left"/>
    </xf>
    <xf numFmtId="164" fontId="11" fillId="0" borderId="0" xfId="0" applyNumberFormat="1" applyFont="1" applyAlignment="1">
      <alignment horizontal="center" vertical="center"/>
    </xf>
    <xf numFmtId="43" fontId="0" fillId="0" borderId="0" xfId="1" applyFont="1"/>
    <xf numFmtId="0" fontId="15" fillId="0" borderId="0" xfId="0" applyFont="1" applyBorder="1" applyAlignment="1">
      <alignment vertical="center"/>
    </xf>
    <xf numFmtId="0" fontId="2" fillId="0" borderId="0" xfId="0" applyFont="1" applyBorder="1"/>
    <xf numFmtId="6" fontId="14" fillId="0" borderId="0" xfId="0" applyNumberFormat="1" applyFont="1" applyBorder="1" applyAlignment="1">
      <alignment horizontal="center" vertical="center"/>
    </xf>
    <xf numFmtId="6" fontId="11" fillId="0" borderId="17" xfId="0" applyNumberFormat="1" applyFont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6" fontId="11" fillId="0" borderId="18" xfId="0" applyNumberFormat="1" applyFont="1" applyBorder="1" applyAlignment="1">
      <alignment horizontal="center" vertical="center"/>
    </xf>
    <xf numFmtId="3" fontId="11" fillId="0" borderId="8" xfId="0" applyNumberFormat="1" applyFont="1" applyFill="1" applyBorder="1" applyAlignment="1">
      <alignment vertical="center"/>
    </xf>
    <xf numFmtId="0" fontId="11" fillId="0" borderId="8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/>
    </xf>
    <xf numFmtId="0" fontId="10" fillId="3" borderId="8" xfId="0" applyFont="1" applyFill="1" applyBorder="1" applyAlignment="1">
      <alignment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2" applyFont="1" applyBorder="1" applyAlignment="1">
      <alignment horizontal="left" vertical="center" wrapText="1"/>
    </xf>
    <xf numFmtId="0" fontId="20" fillId="0" borderId="0" xfId="0" applyFont="1"/>
    <xf numFmtId="0" fontId="20" fillId="0" borderId="8" xfId="0" applyFont="1" applyBorder="1" applyAlignment="1">
      <alignment horizontal="left"/>
    </xf>
    <xf numFmtId="164" fontId="20" fillId="0" borderId="8" xfId="1" applyNumberFormat="1" applyFont="1" applyBorder="1" applyAlignment="1">
      <alignment horizontal="left"/>
    </xf>
    <xf numFmtId="0" fontId="10" fillId="0" borderId="8" xfId="0" applyFont="1" applyFill="1" applyBorder="1" applyAlignment="1">
      <alignment horizontal="left" vertical="center"/>
    </xf>
    <xf numFmtId="0" fontId="21" fillId="0" borderId="8" xfId="0" applyFont="1" applyBorder="1" applyAlignment="1">
      <alignment horizontal="left"/>
    </xf>
    <xf numFmtId="0" fontId="21" fillId="0" borderId="8" xfId="0" applyFont="1" applyBorder="1"/>
    <xf numFmtId="6" fontId="20" fillId="0" borderId="8" xfId="0" applyNumberFormat="1" applyFont="1" applyBorder="1" applyAlignment="1">
      <alignment horizontal="left"/>
    </xf>
    <xf numFmtId="0" fontId="21" fillId="0" borderId="8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4" fillId="3" borderId="8" xfId="0" applyFont="1" applyFill="1" applyBorder="1" applyAlignment="1">
      <alignment vertical="center"/>
    </xf>
    <xf numFmtId="0" fontId="22" fillId="3" borderId="8" xfId="0" applyFont="1" applyFill="1" applyBorder="1"/>
    <xf numFmtId="0" fontId="11" fillId="0" borderId="8" xfId="0" applyFont="1" applyBorder="1" applyAlignment="1">
      <alignment vertical="center"/>
    </xf>
    <xf numFmtId="0" fontId="11" fillId="0" borderId="8" xfId="0" applyFont="1" applyBorder="1" applyAlignment="1">
      <alignment horizontal="center" vertical="center"/>
    </xf>
    <xf numFmtId="164" fontId="11" fillId="0" borderId="8" xfId="1" applyNumberFormat="1" applyFont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/>
    </xf>
    <xf numFmtId="164" fontId="11" fillId="2" borderId="8" xfId="1" applyNumberFormat="1" applyFont="1" applyFill="1" applyBorder="1" applyAlignment="1">
      <alignment horizontal="center" vertical="center"/>
    </xf>
    <xf numFmtId="0" fontId="0" fillId="0" borderId="8" xfId="0" applyBorder="1"/>
    <xf numFmtId="164" fontId="20" fillId="0" borderId="8" xfId="1" applyNumberFormat="1" applyFont="1" applyBorder="1"/>
    <xf numFmtId="1" fontId="20" fillId="0" borderId="8" xfId="0" applyNumberFormat="1" applyFont="1" applyBorder="1"/>
    <xf numFmtId="1" fontId="20" fillId="5" borderId="8" xfId="0" applyNumberFormat="1" applyFont="1" applyFill="1" applyBorder="1"/>
    <xf numFmtId="164" fontId="0" fillId="0" borderId="8" xfId="0" applyNumberFormat="1" applyBorder="1"/>
    <xf numFmtId="165" fontId="0" fillId="0" borderId="8" xfId="0" applyNumberFormat="1" applyBorder="1"/>
    <xf numFmtId="166" fontId="0" fillId="0" borderId="8" xfId="0" applyNumberFormat="1" applyBorder="1"/>
    <xf numFmtId="0" fontId="23" fillId="2" borderId="8" xfId="0" applyFont="1" applyFill="1" applyBorder="1" applyAlignment="1">
      <alignment horizontal="center" vertical="center" wrapText="1"/>
    </xf>
    <xf numFmtId="164" fontId="14" fillId="2" borderId="8" xfId="0" applyNumberFormat="1" applyFont="1" applyFill="1" applyBorder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15" fillId="0" borderId="0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16" fillId="5" borderId="8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Fill="1" applyBorder="1" applyAlignment="1">
      <alignment horizontal="center"/>
    </xf>
    <xf numFmtId="1" fontId="20" fillId="0" borderId="0" xfId="0" applyNumberFormat="1" applyFont="1" applyFill="1" applyBorder="1"/>
    <xf numFmtId="0" fontId="8" fillId="0" borderId="8" xfId="0" applyFont="1" applyFill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8" xfId="1" applyNumberFormat="1" applyFont="1" applyBorder="1"/>
    <xf numFmtId="164" fontId="0" fillId="0" borderId="21" xfId="1" applyNumberFormat="1" applyFont="1" applyBorder="1"/>
    <xf numFmtId="0" fontId="24" fillId="0" borderId="0" xfId="0" applyFont="1"/>
    <xf numFmtId="164" fontId="24" fillId="0" borderId="8" xfId="0" applyNumberFormat="1" applyFont="1" applyBorder="1"/>
    <xf numFmtId="0" fontId="25" fillId="0" borderId="0" xfId="0" applyFont="1"/>
    <xf numFmtId="0" fontId="26" fillId="0" borderId="0" xfId="0" applyFont="1"/>
    <xf numFmtId="3" fontId="27" fillId="0" borderId="0" xfId="0" applyNumberFormat="1" applyFont="1"/>
    <xf numFmtId="6" fontId="28" fillId="0" borderId="0" xfId="0" applyNumberFormat="1" applyFont="1"/>
    <xf numFmtId="164" fontId="29" fillId="0" borderId="0" xfId="0" applyNumberFormat="1" applyFont="1"/>
    <xf numFmtId="3" fontId="0" fillId="0" borderId="8" xfId="0" applyNumberFormat="1" applyBorder="1"/>
    <xf numFmtId="9" fontId="0" fillId="0" borderId="8" xfId="0" applyNumberFormat="1" applyBorder="1"/>
    <xf numFmtId="0" fontId="29" fillId="0" borderId="8" xfId="0" applyFont="1" applyBorder="1"/>
    <xf numFmtId="3" fontId="29" fillId="0" borderId="8" xfId="0" applyNumberFormat="1" applyFont="1" applyBorder="1"/>
    <xf numFmtId="164" fontId="29" fillId="0" borderId="8" xfId="0" applyNumberFormat="1" applyFont="1" applyBorder="1"/>
    <xf numFmtId="9" fontId="0" fillId="0" borderId="0" xfId="3" applyFont="1"/>
    <xf numFmtId="164" fontId="29" fillId="0" borderId="0" xfId="1" applyNumberFormat="1" applyFont="1"/>
    <xf numFmtId="164" fontId="21" fillId="0" borderId="8" xfId="1" applyNumberFormat="1" applyFont="1" applyBorder="1"/>
    <xf numFmtId="0" fontId="19" fillId="6" borderId="1" xfId="0" applyFont="1" applyFill="1" applyBorder="1" applyAlignment="1">
      <alignment vertical="center" wrapText="1"/>
    </xf>
    <xf numFmtId="0" fontId="30" fillId="0" borderId="8" xfId="0" applyFont="1" applyBorder="1" applyAlignment="1">
      <alignment vertical="center" wrapText="1"/>
    </xf>
    <xf numFmtId="0" fontId="30" fillId="7" borderId="8" xfId="0" applyFont="1" applyFill="1" applyBorder="1" applyAlignment="1">
      <alignment vertical="center" wrapText="1"/>
    </xf>
    <xf numFmtId="0" fontId="30" fillId="8" borderId="8" xfId="0" applyFont="1" applyFill="1" applyBorder="1" applyAlignment="1">
      <alignment vertical="center" wrapText="1"/>
    </xf>
    <xf numFmtId="0" fontId="30" fillId="9" borderId="8" xfId="0" applyFont="1" applyFill="1" applyBorder="1" applyAlignment="1">
      <alignment vertical="center" wrapText="1"/>
    </xf>
    <xf numFmtId="0" fontId="30" fillId="10" borderId="8" xfId="0" applyFont="1" applyFill="1" applyBorder="1" applyAlignment="1">
      <alignment vertical="center" wrapText="1"/>
    </xf>
    <xf numFmtId="0" fontId="30" fillId="11" borderId="8" xfId="0" applyFont="1" applyFill="1" applyBorder="1" applyAlignment="1">
      <alignment vertical="center" wrapText="1"/>
    </xf>
    <xf numFmtId="0" fontId="0" fillId="0" borderId="8" xfId="0" applyBorder="1" applyAlignment="1">
      <alignment vertical="top" wrapText="1"/>
    </xf>
    <xf numFmtId="0" fontId="30" fillId="12" borderId="8" xfId="0" applyFont="1" applyFill="1" applyBorder="1" applyAlignment="1">
      <alignment vertical="center" wrapText="1"/>
    </xf>
    <xf numFmtId="0" fontId="20" fillId="0" borderId="8" xfId="0" applyFont="1" applyBorder="1" applyAlignment="1">
      <alignment vertical="center" wrapText="1"/>
    </xf>
    <xf numFmtId="0" fontId="20" fillId="0" borderId="8" xfId="0" applyFont="1" applyBorder="1" applyAlignment="1">
      <alignment horizontal="center" vertical="center" wrapText="1"/>
    </xf>
    <xf numFmtId="9" fontId="20" fillId="0" borderId="8" xfId="0" applyNumberFormat="1" applyFont="1" applyBorder="1" applyAlignment="1">
      <alignment horizontal="center" vertical="center" wrapText="1"/>
    </xf>
    <xf numFmtId="3" fontId="20" fillId="0" borderId="8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31" fillId="3" borderId="8" xfId="0" applyFont="1" applyFill="1" applyBorder="1" applyAlignment="1">
      <alignment horizontal="center" vertical="center" wrapText="1"/>
    </xf>
    <xf numFmtId="0" fontId="17" fillId="0" borderId="8" xfId="4" applyBorder="1"/>
    <xf numFmtId="0" fontId="17" fillId="0" borderId="0" xfId="4"/>
    <xf numFmtId="0" fontId="17" fillId="6" borderId="8" xfId="4" applyFill="1" applyBorder="1"/>
    <xf numFmtId="164" fontId="33" fillId="6" borderId="8" xfId="5" applyNumberFormat="1" applyFont="1" applyFill="1" applyBorder="1"/>
    <xf numFmtId="164" fontId="33" fillId="6" borderId="8" xfId="4" applyNumberFormat="1" applyFont="1" applyFill="1" applyBorder="1"/>
    <xf numFmtId="1" fontId="33" fillId="6" borderId="8" xfId="5" applyNumberFormat="1" applyFont="1" applyFill="1" applyBorder="1"/>
    <xf numFmtId="1" fontId="33" fillId="6" borderId="8" xfId="4" applyNumberFormat="1" applyFont="1" applyFill="1" applyBorder="1"/>
    <xf numFmtId="1" fontId="17" fillId="0" borderId="8" xfId="4" applyNumberFormat="1" applyBorder="1"/>
    <xf numFmtId="0" fontId="33" fillId="6" borderId="8" xfId="4" applyFont="1" applyFill="1" applyBorder="1"/>
    <xf numFmtId="164" fontId="21" fillId="0" borderId="0" xfId="4" applyNumberFormat="1" applyFont="1"/>
    <xf numFmtId="0" fontId="20" fillId="0" borderId="0" xfId="4" applyFont="1"/>
    <xf numFmtId="164" fontId="20" fillId="0" borderId="0" xfId="1" applyNumberFormat="1" applyFont="1"/>
    <xf numFmtId="164" fontId="20" fillId="0" borderId="0" xfId="4" applyNumberFormat="1" applyFont="1"/>
    <xf numFmtId="1" fontId="20" fillId="0" borderId="0" xfId="4" applyNumberFormat="1" applyFont="1"/>
    <xf numFmtId="1" fontId="21" fillId="0" borderId="0" xfId="4" applyNumberFormat="1" applyFont="1"/>
    <xf numFmtId="164" fontId="17" fillId="0" borderId="0" xfId="4" applyNumberFormat="1"/>
    <xf numFmtId="0" fontId="17" fillId="0" borderId="0" xfId="4" applyBorder="1"/>
    <xf numFmtId="164" fontId="16" fillId="0" borderId="0" xfId="1" applyNumberFormat="1" applyFont="1" applyBorder="1" applyAlignment="1">
      <alignment vertical="center" wrapText="1"/>
    </xf>
    <xf numFmtId="164" fontId="16" fillId="0" borderId="0" xfId="1" applyNumberFormat="1" applyFont="1" applyBorder="1" applyAlignment="1">
      <alignment horizontal="center" vertical="center" wrapText="1"/>
    </xf>
    <xf numFmtId="164" fontId="16" fillId="5" borderId="0" xfId="1" applyNumberFormat="1" applyFont="1" applyFill="1" applyBorder="1" applyAlignment="1">
      <alignment vertical="center" wrapText="1"/>
    </xf>
    <xf numFmtId="0" fontId="24" fillId="0" borderId="0" xfId="0" applyFont="1" applyBorder="1" applyAlignment="1">
      <alignment horizontal="center" vertical="center"/>
    </xf>
    <xf numFmtId="166" fontId="0" fillId="0" borderId="0" xfId="0" applyNumberFormat="1" applyBorder="1"/>
    <xf numFmtId="0" fontId="15" fillId="0" borderId="8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166" fontId="0" fillId="0" borderId="0" xfId="0" applyNumberFormat="1"/>
    <xf numFmtId="1" fontId="0" fillId="0" borderId="8" xfId="0" applyNumberFormat="1" applyBorder="1"/>
    <xf numFmtId="0" fontId="24" fillId="0" borderId="21" xfId="0" applyFont="1" applyBorder="1" applyAlignment="1">
      <alignment horizontal="center" vertical="center"/>
    </xf>
    <xf numFmtId="0" fontId="16" fillId="0" borderId="21" xfId="0" applyFont="1" applyBorder="1" applyAlignment="1">
      <alignment vertical="center" wrapText="1"/>
    </xf>
    <xf numFmtId="0" fontId="16" fillId="5" borderId="21" xfId="0" applyFont="1" applyFill="1" applyBorder="1" applyAlignment="1">
      <alignment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/>
    <xf numFmtId="0" fontId="0" fillId="3" borderId="8" xfId="0" applyFill="1" applyBorder="1" applyAlignment="1">
      <alignment horizontal="center" wrapText="1"/>
    </xf>
    <xf numFmtId="0" fontId="4" fillId="0" borderId="2" xfId="0" applyFont="1" applyBorder="1" applyAlignment="1">
      <alignment vertical="center" wrapText="1"/>
    </xf>
    <xf numFmtId="1" fontId="17" fillId="0" borderId="0" xfId="4" applyNumberFormat="1"/>
    <xf numFmtId="1" fontId="0" fillId="0" borderId="0" xfId="0" applyNumberFormat="1"/>
    <xf numFmtId="3" fontId="35" fillId="14" borderId="23" xfId="7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>
      <alignment vertical="center" wrapText="1"/>
    </xf>
    <xf numFmtId="0" fontId="11" fillId="7" borderId="8" xfId="0" applyFont="1" applyFill="1" applyBorder="1" applyAlignment="1">
      <alignment vertical="center"/>
    </xf>
    <xf numFmtId="0" fontId="11" fillId="7" borderId="8" xfId="0" applyFont="1" applyFill="1" applyBorder="1" applyAlignment="1">
      <alignment horizontal="center" vertical="center"/>
    </xf>
    <xf numFmtId="164" fontId="11" fillId="7" borderId="8" xfId="1" applyNumberFormat="1" applyFont="1" applyFill="1" applyBorder="1" applyAlignment="1">
      <alignment horizontal="center" vertical="center"/>
    </xf>
    <xf numFmtId="164" fontId="11" fillId="7" borderId="8" xfId="1" applyNumberFormat="1" applyFont="1" applyFill="1" applyBorder="1" applyAlignment="1">
      <alignment horizontal="center" vertical="center" wrapText="1"/>
    </xf>
    <xf numFmtId="164" fontId="11" fillId="7" borderId="8" xfId="1" applyNumberFormat="1" applyFont="1" applyFill="1" applyBorder="1"/>
    <xf numFmtId="164" fontId="0" fillId="7" borderId="0" xfId="0" applyNumberFormat="1" applyFill="1"/>
    <xf numFmtId="164" fontId="21" fillId="0" borderId="0" xfId="1" applyNumberFormat="1" applyFont="1" applyBorder="1"/>
    <xf numFmtId="0" fontId="3" fillId="0" borderId="0" xfId="0" applyFont="1" applyBorder="1" applyAlignment="1">
      <alignment horizontal="center" vertical="center" wrapText="1"/>
    </xf>
    <xf numFmtId="164" fontId="20" fillId="0" borderId="9" xfId="1" applyNumberFormat="1" applyFont="1" applyBorder="1"/>
    <xf numFmtId="0" fontId="4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17" fillId="6" borderId="21" xfId="4" applyFill="1" applyBorder="1"/>
    <xf numFmtId="0" fontId="17" fillId="0" borderId="21" xfId="4" applyBorder="1"/>
    <xf numFmtId="0" fontId="17" fillId="0" borderId="22" xfId="4" applyBorder="1"/>
    <xf numFmtId="0" fontId="17" fillId="0" borderId="28" xfId="4" applyBorder="1"/>
    <xf numFmtId="164" fontId="21" fillId="0" borderId="22" xfId="4" applyNumberFormat="1" applyFont="1" applyBorder="1"/>
    <xf numFmtId="0" fontId="20" fillId="0" borderId="0" xfId="4" applyFont="1" applyBorder="1"/>
    <xf numFmtId="164" fontId="21" fillId="0" borderId="28" xfId="4" applyNumberFormat="1" applyFont="1" applyBorder="1"/>
    <xf numFmtId="164" fontId="20" fillId="0" borderId="0" xfId="4" applyNumberFormat="1" applyFont="1" applyBorder="1"/>
    <xf numFmtId="164" fontId="20" fillId="0" borderId="28" xfId="4" applyNumberFormat="1" applyFont="1" applyBorder="1"/>
    <xf numFmtId="0" fontId="20" fillId="0" borderId="29" xfId="4" applyFont="1" applyBorder="1"/>
    <xf numFmtId="0" fontId="20" fillId="0" borderId="30" xfId="4" applyFont="1" applyBorder="1"/>
    <xf numFmtId="164" fontId="21" fillId="0" borderId="31" xfId="4" applyNumberFormat="1" applyFont="1" applyBorder="1"/>
    <xf numFmtId="1" fontId="21" fillId="0" borderId="22" xfId="4" applyNumberFormat="1" applyFont="1" applyBorder="1"/>
    <xf numFmtId="1" fontId="20" fillId="0" borderId="22" xfId="4" applyNumberFormat="1" applyFont="1" applyBorder="1"/>
    <xf numFmtId="0" fontId="20" fillId="0" borderId="28" xfId="4" applyFont="1" applyBorder="1"/>
    <xf numFmtId="164" fontId="20" fillId="0" borderId="0" xfId="1" applyNumberFormat="1" applyFont="1" applyBorder="1"/>
    <xf numFmtId="164" fontId="21" fillId="0" borderId="0" xfId="4" applyNumberFormat="1" applyFont="1" applyBorder="1"/>
    <xf numFmtId="164" fontId="20" fillId="0" borderId="28" xfId="1" applyNumberFormat="1" applyFont="1" applyBorder="1"/>
    <xf numFmtId="0" fontId="20" fillId="0" borderId="22" xfId="4" applyFont="1" applyBorder="1"/>
    <xf numFmtId="164" fontId="21" fillId="0" borderId="29" xfId="4" applyNumberFormat="1" applyFont="1" applyBorder="1"/>
    <xf numFmtId="0" fontId="17" fillId="0" borderId="30" xfId="4" applyBorder="1"/>
    <xf numFmtId="0" fontId="17" fillId="0" borderId="29" xfId="4" applyBorder="1"/>
    <xf numFmtId="164" fontId="33" fillId="3" borderId="8" xfId="4" applyNumberFormat="1" applyFont="1" applyFill="1" applyBorder="1"/>
    <xf numFmtId="1" fontId="33" fillId="3" borderId="8" xfId="4" applyNumberFormat="1" applyFont="1" applyFill="1" applyBorder="1"/>
    <xf numFmtId="0" fontId="17" fillId="3" borderId="8" xfId="4" applyFill="1" applyBorder="1"/>
    <xf numFmtId="0" fontId="33" fillId="0" borderId="8" xfId="4" applyFont="1" applyFill="1" applyBorder="1"/>
    <xf numFmtId="0" fontId="17" fillId="0" borderId="8" xfId="4" applyFont="1" applyFill="1" applyBorder="1"/>
    <xf numFmtId="1" fontId="17" fillId="0" borderId="8" xfId="4" applyNumberFormat="1" applyFont="1" applyFill="1" applyBorder="1"/>
    <xf numFmtId="164" fontId="17" fillId="0" borderId="8" xfId="4" applyNumberFormat="1" applyFont="1" applyFill="1" applyBorder="1"/>
    <xf numFmtId="0" fontId="17" fillId="0" borderId="0" xfId="4" applyFont="1" applyFill="1"/>
    <xf numFmtId="164" fontId="17" fillId="0" borderId="0" xfId="4" applyNumberFormat="1" applyFont="1" applyFill="1"/>
    <xf numFmtId="0" fontId="33" fillId="0" borderId="8" xfId="4" applyFont="1" applyBorder="1"/>
    <xf numFmtId="0" fontId="33" fillId="7" borderId="8" xfId="4" applyFont="1" applyFill="1" applyBorder="1" applyAlignment="1">
      <alignment wrapText="1"/>
    </xf>
    <xf numFmtId="0" fontId="33" fillId="3" borderId="8" xfId="4" applyFont="1" applyFill="1" applyBorder="1" applyAlignment="1">
      <alignment wrapText="1"/>
    </xf>
    <xf numFmtId="0" fontId="33" fillId="0" borderId="0" xfId="4" applyFont="1"/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8" fillId="0" borderId="5" xfId="2" applyFont="1" applyBorder="1" applyAlignment="1">
      <alignment vertical="center" wrapText="1"/>
    </xf>
    <xf numFmtId="0" fontId="6" fillId="0" borderId="6" xfId="2" applyBorder="1" applyAlignment="1">
      <alignment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 vertical="center"/>
    </xf>
    <xf numFmtId="0" fontId="17" fillId="13" borderId="8" xfId="4" applyFill="1" applyBorder="1" applyAlignment="1">
      <alignment horizontal="center" wrapText="1"/>
    </xf>
    <xf numFmtId="0" fontId="20" fillId="0" borderId="22" xfId="4" applyFont="1" applyBorder="1" applyAlignment="1">
      <alignment horizontal="center"/>
    </xf>
    <xf numFmtId="0" fontId="20" fillId="0" borderId="0" xfId="4" applyFont="1" applyAlignment="1">
      <alignment horizontal="center"/>
    </xf>
    <xf numFmtId="0" fontId="17" fillId="0" borderId="8" xfId="4" applyBorder="1" applyAlignment="1">
      <alignment horizontal="center"/>
    </xf>
    <xf numFmtId="0" fontId="17" fillId="13" borderId="21" xfId="4" applyFill="1" applyBorder="1" applyAlignment="1">
      <alignment horizontal="center" wrapText="1"/>
    </xf>
    <xf numFmtId="0" fontId="17" fillId="0" borderId="25" xfId="4" applyBorder="1" applyAlignment="1">
      <alignment horizontal="center"/>
    </xf>
    <xf numFmtId="0" fontId="17" fillId="0" borderId="26" xfId="4" applyBorder="1" applyAlignment="1">
      <alignment horizontal="center"/>
    </xf>
    <xf numFmtId="0" fontId="17" fillId="0" borderId="27" xfId="4" applyBorder="1" applyAlignment="1">
      <alignment horizontal="center"/>
    </xf>
    <xf numFmtId="0" fontId="17" fillId="0" borderId="22" xfId="4" applyBorder="1" applyAlignment="1">
      <alignment horizontal="center"/>
    </xf>
    <xf numFmtId="0" fontId="17" fillId="0" borderId="0" xfId="4" applyBorder="1" applyAlignment="1">
      <alignment horizontal="center"/>
    </xf>
    <xf numFmtId="0" fontId="17" fillId="0" borderId="28" xfId="4" applyBorder="1" applyAlignment="1">
      <alignment horizontal="center"/>
    </xf>
    <xf numFmtId="0" fontId="17" fillId="13" borderId="8" xfId="4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/>
    </xf>
    <xf numFmtId="0" fontId="15" fillId="4" borderId="13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1" fillId="0" borderId="8" xfId="0" applyFont="1" applyBorder="1" applyAlignment="1">
      <alignment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30" fillId="10" borderId="8" xfId="0" applyFont="1" applyFill="1" applyBorder="1" applyAlignment="1">
      <alignment vertical="center" wrapText="1"/>
    </xf>
    <xf numFmtId="0" fontId="20" fillId="0" borderId="8" xfId="0" applyFont="1" applyBorder="1" applyAlignment="1">
      <alignment horizontal="left" vertical="center" wrapText="1" indent="1"/>
    </xf>
    <xf numFmtId="0" fontId="21" fillId="0" borderId="8" xfId="0" applyFont="1" applyBorder="1" applyAlignment="1">
      <alignment horizontal="left" vertical="center" wrapText="1" indent="1"/>
    </xf>
  </cellXfs>
  <cellStyles count="8">
    <cellStyle name="Hipervínculo" xfId="2" builtinId="8"/>
    <cellStyle name="Millares" xfId="1" builtinId="3"/>
    <cellStyle name="Millares 2" xfId="5"/>
    <cellStyle name="Millares_Modelo Financiero ACME Final" xfId="7"/>
    <cellStyle name="Normal" xfId="0" builtinId="0"/>
    <cellStyle name="Normal 2" xfId="6"/>
    <cellStyle name="Normal 3" xfId="4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aias/Downloads/PROYECCIONES-Marzo%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ONES DE VTAS EN UND."/>
      <sheetName val="PRODUCCIÓN DE PRENDAS ALQUILER"/>
      <sheetName val="COSTOS Y DETER. PRECIO"/>
      <sheetName val="CÁLCULO DE MIN. = CIF"/>
      <sheetName val="Hoja1"/>
      <sheetName val="Hoja2"/>
      <sheetName val="Hoja3"/>
    </sheetNames>
    <sheetDataSet>
      <sheetData sheetId="0"/>
      <sheetData sheetId="1"/>
      <sheetData sheetId="2">
        <row r="25">
          <cell r="E25">
            <v>85440</v>
          </cell>
        </row>
        <row r="88">
          <cell r="E88">
            <v>42720</v>
          </cell>
        </row>
        <row r="122">
          <cell r="E122">
            <v>26700</v>
          </cell>
        </row>
        <row r="162">
          <cell r="E162">
            <v>42720</v>
          </cell>
        </row>
        <row r="179">
          <cell r="E179">
            <v>2000</v>
          </cell>
        </row>
        <row r="186">
          <cell r="E186">
            <v>10705</v>
          </cell>
        </row>
        <row r="193">
          <cell r="E193">
            <v>2146.8623511904761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www.monografias.com/trabajos11/contabm/contabm.shtml" TargetMode="External"/><Relationship Id="rId1" Type="http://schemas.openxmlformats.org/officeDocument/2006/relationships/hyperlink" Target="http://www.monografias.com/trabajos15/mantenimiento-industrial/mantenimiento-industrial.s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7"/>
  <sheetViews>
    <sheetView showGridLines="0" workbookViewId="0">
      <selection activeCell="D23" sqref="D23:D27"/>
    </sheetView>
  </sheetViews>
  <sheetFormatPr baseColWidth="10" defaultRowHeight="15" x14ac:dyDescent="0.25"/>
  <cols>
    <col min="1" max="1" width="2.85546875" customWidth="1"/>
    <col min="2" max="2" width="22.28515625" bestFit="1" customWidth="1"/>
    <col min="3" max="3" width="25" bestFit="1" customWidth="1"/>
    <col min="4" max="4" width="10.140625" bestFit="1" customWidth="1"/>
    <col min="5" max="8" width="9.85546875" bestFit="1" customWidth="1"/>
    <col min="12" max="12" width="13.5703125" bestFit="1" customWidth="1"/>
    <col min="18" max="18" width="16.85546875" bestFit="1" customWidth="1"/>
    <col min="19" max="19" width="18.28515625" bestFit="1" customWidth="1"/>
    <col min="20" max="21" width="12.5703125" bestFit="1" customWidth="1"/>
  </cols>
  <sheetData>
    <row r="2" spans="2:19" x14ac:dyDescent="0.25">
      <c r="B2" s="54" t="s">
        <v>0</v>
      </c>
      <c r="C2" s="54" t="s">
        <v>1</v>
      </c>
      <c r="D2" s="54" t="s">
        <v>2</v>
      </c>
      <c r="E2" s="54" t="s">
        <v>275</v>
      </c>
      <c r="F2" s="54" t="s">
        <v>276</v>
      </c>
      <c r="G2" s="54" t="s">
        <v>277</v>
      </c>
      <c r="H2" s="54" t="s">
        <v>278</v>
      </c>
    </row>
    <row r="3" spans="2:19" x14ac:dyDescent="0.25">
      <c r="B3" s="226" t="s">
        <v>20</v>
      </c>
      <c r="C3" s="5" t="s">
        <v>3</v>
      </c>
      <c r="D3" s="7">
        <v>800000</v>
      </c>
      <c r="E3" s="7">
        <f>D3*1.04</f>
        <v>832000</v>
      </c>
      <c r="F3" s="7">
        <f t="shared" ref="F3:H3" si="0">E3*1.04</f>
        <v>865280</v>
      </c>
      <c r="G3" s="7">
        <f t="shared" si="0"/>
        <v>899891.20000000007</v>
      </c>
      <c r="H3" s="7">
        <f t="shared" si="0"/>
        <v>935886.84800000011</v>
      </c>
    </row>
    <row r="4" spans="2:19" x14ac:dyDescent="0.25">
      <c r="B4" s="227"/>
      <c r="C4" s="5" t="s">
        <v>4</v>
      </c>
      <c r="D4" s="7">
        <f>D3*12</f>
        <v>9600000</v>
      </c>
      <c r="E4" s="7">
        <f>E3*12</f>
        <v>9984000</v>
      </c>
      <c r="F4" s="7">
        <f>F3*12</f>
        <v>10383360</v>
      </c>
      <c r="G4" s="7">
        <f>G3*12</f>
        <v>10798694.4</v>
      </c>
      <c r="H4" s="7">
        <f>H3*12</f>
        <v>11230642.176000001</v>
      </c>
    </row>
    <row r="5" spans="2:19" x14ac:dyDescent="0.25">
      <c r="B5" s="228"/>
      <c r="C5" s="5" t="s">
        <v>207</v>
      </c>
      <c r="D5" s="7">
        <f>D4*52.33%</f>
        <v>5023680</v>
      </c>
      <c r="E5" s="7">
        <f>E4*52.33%</f>
        <v>5224627.2</v>
      </c>
      <c r="F5" s="7">
        <f>F4*52.33%</f>
        <v>5433612.2879999997</v>
      </c>
      <c r="G5" s="7">
        <f>G4*52.33%</f>
        <v>5650956.7795200003</v>
      </c>
      <c r="H5" s="7">
        <f>H4*52.33%</f>
        <v>5876995.0507008005</v>
      </c>
    </row>
    <row r="6" spans="2:19" hidden="1" x14ac:dyDescent="0.25">
      <c r="B6" s="226" t="s">
        <v>250</v>
      </c>
      <c r="C6" s="5" t="s">
        <v>3</v>
      </c>
      <c r="D6" s="7">
        <v>0</v>
      </c>
      <c r="E6" s="7">
        <v>0</v>
      </c>
      <c r="F6" s="7">
        <v>0</v>
      </c>
      <c r="G6" s="7">
        <v>0</v>
      </c>
      <c r="H6" s="7">
        <v>0</v>
      </c>
    </row>
    <row r="7" spans="2:19" hidden="1" x14ac:dyDescent="0.25">
      <c r="B7" s="227"/>
      <c r="C7" s="5" t="s">
        <v>4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S7" s="120">
        <f>302705/983341</f>
        <v>0.30783319316493463</v>
      </c>
    </row>
    <row r="8" spans="2:19" hidden="1" x14ac:dyDescent="0.25">
      <c r="B8" s="228"/>
      <c r="C8" s="5" t="s">
        <v>207</v>
      </c>
      <c r="D8" s="7">
        <f>D7*52.33%</f>
        <v>0</v>
      </c>
      <c r="E8" s="7">
        <f>E7*52.33%</f>
        <v>0</v>
      </c>
      <c r="F8" s="7">
        <f>F7*52.33%</f>
        <v>0</v>
      </c>
      <c r="G8" s="7">
        <f>G7*52.33%</f>
        <v>0</v>
      </c>
      <c r="H8" s="7">
        <f>H7*52.33%</f>
        <v>0</v>
      </c>
    </row>
    <row r="9" spans="2:19" x14ac:dyDescent="0.25">
      <c r="B9" s="226" t="s">
        <v>251</v>
      </c>
      <c r="C9" s="5" t="s">
        <v>3</v>
      </c>
      <c r="D9" s="7">
        <v>616000</v>
      </c>
      <c r="E9" s="7">
        <f>D9*1.04</f>
        <v>640640</v>
      </c>
      <c r="F9" s="7">
        <f t="shared" ref="F9:H9" si="1">E9*1.04</f>
        <v>666265.59999999998</v>
      </c>
      <c r="G9" s="7">
        <f t="shared" si="1"/>
        <v>692916.22400000005</v>
      </c>
      <c r="H9" s="7">
        <f t="shared" si="1"/>
        <v>720632.87296000007</v>
      </c>
    </row>
    <row r="10" spans="2:19" x14ac:dyDescent="0.25">
      <c r="B10" s="227"/>
      <c r="C10" s="5" t="s">
        <v>4</v>
      </c>
      <c r="D10" s="7">
        <f>D9*9</f>
        <v>5544000</v>
      </c>
      <c r="E10" s="7">
        <f>E9*12</f>
        <v>7687680</v>
      </c>
      <c r="F10" s="7">
        <f>F9*12</f>
        <v>7995187.1999999993</v>
      </c>
      <c r="G10" s="7">
        <f>G9*12</f>
        <v>8314994.688000001</v>
      </c>
      <c r="H10" s="7">
        <f>H9*12</f>
        <v>8647594.4755199999</v>
      </c>
      <c r="K10" s="6"/>
      <c r="L10" s="95"/>
      <c r="M10" s="96"/>
    </row>
    <row r="11" spans="2:19" x14ac:dyDescent="0.25">
      <c r="B11" s="228"/>
      <c r="C11" s="5" t="s">
        <v>207</v>
      </c>
      <c r="D11" s="7">
        <f>D10*52.33%</f>
        <v>2901175.1999999997</v>
      </c>
      <c r="E11" s="7">
        <f>E10*52.33%</f>
        <v>4022962.9440000001</v>
      </c>
      <c r="F11" s="7">
        <f>F10*52.33%</f>
        <v>4183881.4617599994</v>
      </c>
      <c r="G11" s="7">
        <f>G10*52.33%</f>
        <v>4351236.7202304006</v>
      </c>
      <c r="H11" s="7">
        <f>H10*52.33%</f>
        <v>4525286.1890396159</v>
      </c>
    </row>
    <row r="12" spans="2:19" x14ac:dyDescent="0.25">
      <c r="B12" s="226" t="s">
        <v>252</v>
      </c>
      <c r="C12" s="5" t="s">
        <v>3</v>
      </c>
      <c r="D12" s="7">
        <v>616000</v>
      </c>
      <c r="E12" s="7">
        <f>D12*1.04</f>
        <v>640640</v>
      </c>
      <c r="F12" s="7">
        <f t="shared" ref="F12:H12" si="2">E12*1.04</f>
        <v>666265.59999999998</v>
      </c>
      <c r="G12" s="7">
        <f t="shared" si="2"/>
        <v>692916.22400000005</v>
      </c>
      <c r="H12" s="7">
        <f t="shared" si="2"/>
        <v>720632.87296000007</v>
      </c>
      <c r="K12" s="6"/>
      <c r="L12" s="95"/>
    </row>
    <row r="13" spans="2:19" x14ac:dyDescent="0.25">
      <c r="B13" s="227"/>
      <c r="C13" s="5" t="s">
        <v>4</v>
      </c>
      <c r="D13" s="7">
        <f>D12*9</f>
        <v>5544000</v>
      </c>
      <c r="E13" s="7">
        <f>E12*12</f>
        <v>7687680</v>
      </c>
      <c r="F13" s="7">
        <f>F12*12</f>
        <v>7995187.1999999993</v>
      </c>
      <c r="G13" s="7">
        <f>G12*12</f>
        <v>8314994.688000001</v>
      </c>
      <c r="H13" s="7">
        <f>H12*12</f>
        <v>8647594.4755199999</v>
      </c>
    </row>
    <row r="14" spans="2:19" x14ac:dyDescent="0.25">
      <c r="B14" s="228"/>
      <c r="C14" s="5" t="s">
        <v>207</v>
      </c>
      <c r="D14" s="7">
        <f>D13*52.16%</f>
        <v>2891750.4</v>
      </c>
      <c r="E14" s="7">
        <f>E13*52.16%</f>
        <v>4009893.8879999998</v>
      </c>
      <c r="F14" s="7">
        <f>F13*52.16%</f>
        <v>4170289.6435199995</v>
      </c>
      <c r="G14" s="7">
        <f>G13*52.16%</f>
        <v>4337101.2292608004</v>
      </c>
      <c r="H14" s="7">
        <f>H13*52.16%</f>
        <v>4510585.2784312312</v>
      </c>
      <c r="S14" s="120">
        <f>2635527440</f>
        <v>2635527440</v>
      </c>
    </row>
    <row r="15" spans="2:19" x14ac:dyDescent="0.25">
      <c r="B15" s="226" t="s">
        <v>310</v>
      </c>
      <c r="C15" s="5" t="s">
        <v>3</v>
      </c>
      <c r="D15" s="7">
        <v>616000</v>
      </c>
      <c r="E15" s="7">
        <f>D15*1.04</f>
        <v>640640</v>
      </c>
      <c r="F15" s="7">
        <f t="shared" ref="F15:H15" si="3">E15*1.04</f>
        <v>666265.59999999998</v>
      </c>
      <c r="G15" s="7">
        <f t="shared" si="3"/>
        <v>692916.22400000005</v>
      </c>
      <c r="H15" s="7">
        <f t="shared" si="3"/>
        <v>720632.87296000007</v>
      </c>
    </row>
    <row r="16" spans="2:19" x14ac:dyDescent="0.25">
      <c r="B16" s="227"/>
      <c r="C16" s="5" t="s">
        <v>4</v>
      </c>
      <c r="D16" s="7">
        <f>D15*12</f>
        <v>7392000</v>
      </c>
      <c r="E16" s="7">
        <f>E15*12</f>
        <v>7687680</v>
      </c>
      <c r="F16" s="7">
        <f>F15*12</f>
        <v>7995187.1999999993</v>
      </c>
      <c r="G16" s="7">
        <f>G15*12</f>
        <v>8314994.688000001</v>
      </c>
      <c r="H16" s="7">
        <f>H15*12</f>
        <v>8647594.4755199999</v>
      </c>
    </row>
    <row r="17" spans="2:21" x14ac:dyDescent="0.25">
      <c r="B17" s="228"/>
      <c r="C17" s="5" t="s">
        <v>207</v>
      </c>
      <c r="D17" s="7">
        <f>D16*52.33%</f>
        <v>3868233.6</v>
      </c>
      <c r="E17" s="7">
        <f>E16*52.33%</f>
        <v>4022962.9440000001</v>
      </c>
      <c r="F17" s="7">
        <f>F16*52.33%</f>
        <v>4183881.4617599994</v>
      </c>
      <c r="G17" s="7">
        <f>G16*52.33%</f>
        <v>4351236.7202304006</v>
      </c>
      <c r="H17" s="7">
        <f>H16*52.33%</f>
        <v>4525286.1890396159</v>
      </c>
    </row>
    <row r="18" spans="2:21" x14ac:dyDescent="0.25">
      <c r="B18" s="229" t="s">
        <v>17</v>
      </c>
      <c r="C18" s="5" t="s">
        <v>3</v>
      </c>
      <c r="D18" s="7">
        <v>350000</v>
      </c>
      <c r="E18" s="7">
        <f>D18*1.04</f>
        <v>364000</v>
      </c>
      <c r="F18" s="7">
        <f t="shared" ref="F18:H18" si="4">E18*1.04</f>
        <v>378560</v>
      </c>
      <c r="G18" s="7">
        <f t="shared" si="4"/>
        <v>393702.40000000002</v>
      </c>
      <c r="H18" s="7">
        <f t="shared" si="4"/>
        <v>409450.49600000004</v>
      </c>
      <c r="R18">
        <f>1186640</f>
        <v>1186640</v>
      </c>
      <c r="S18">
        <f>R18*2221</f>
        <v>2635527440</v>
      </c>
    </row>
    <row r="19" spans="2:21" x14ac:dyDescent="0.25">
      <c r="B19" s="230"/>
      <c r="C19" s="5" t="s">
        <v>4</v>
      </c>
      <c r="D19" s="7">
        <f>D18*12</f>
        <v>4200000</v>
      </c>
      <c r="E19" s="7">
        <f>E18*12</f>
        <v>4368000</v>
      </c>
      <c r="F19" s="7">
        <f>F18*12</f>
        <v>4542720</v>
      </c>
      <c r="G19" s="7">
        <f>G18*12</f>
        <v>4724428.8000000007</v>
      </c>
      <c r="H19" s="7">
        <f>H18*12</f>
        <v>4913405.9520000005</v>
      </c>
    </row>
    <row r="20" spans="2:21" hidden="1" x14ac:dyDescent="0.25">
      <c r="B20" s="229" t="s">
        <v>18</v>
      </c>
      <c r="C20" s="5" t="s">
        <v>3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</row>
    <row r="21" spans="2:21" hidden="1" x14ac:dyDescent="0.25">
      <c r="B21" s="230"/>
      <c r="C21" s="5" t="s">
        <v>4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R21" s="95">
        <f>2635527440</f>
        <v>2635527440</v>
      </c>
      <c r="S21" s="95">
        <f>R21*31%</f>
        <v>817013506.39999998</v>
      </c>
    </row>
    <row r="22" spans="2:21" x14ac:dyDescent="0.25">
      <c r="B22" s="5" t="s">
        <v>5</v>
      </c>
      <c r="C22" s="5" t="s">
        <v>6</v>
      </c>
      <c r="D22" s="8">
        <v>250000</v>
      </c>
      <c r="E22" s="8"/>
      <c r="F22" s="8"/>
      <c r="G22" s="8"/>
      <c r="H22" s="8"/>
    </row>
    <row r="23" spans="2:21" x14ac:dyDescent="0.25">
      <c r="B23" s="2"/>
      <c r="C23" s="5" t="s">
        <v>9</v>
      </c>
      <c r="D23" s="7">
        <v>180000</v>
      </c>
      <c r="E23" s="7">
        <f>D23*1.04</f>
        <v>187200</v>
      </c>
      <c r="F23" s="7">
        <f t="shared" ref="F23:H23" si="5">E23*1.04</f>
        <v>194688</v>
      </c>
      <c r="G23" s="7">
        <f t="shared" si="5"/>
        <v>202475.52000000002</v>
      </c>
      <c r="H23" s="7">
        <f t="shared" si="5"/>
        <v>210574.54080000002</v>
      </c>
      <c r="S23" s="96">
        <f>S21*12</f>
        <v>9804162076.7999992</v>
      </c>
    </row>
    <row r="24" spans="2:21" x14ac:dyDescent="0.25">
      <c r="B24" s="3" t="s">
        <v>7</v>
      </c>
      <c r="C24" s="5" t="s">
        <v>10</v>
      </c>
      <c r="D24" s="7">
        <v>80000</v>
      </c>
      <c r="E24" s="7">
        <f>D24*1.04</f>
        <v>83200</v>
      </c>
      <c r="F24" s="7">
        <f t="shared" ref="F24:H24" si="6">E24*1.04</f>
        <v>86528</v>
      </c>
      <c r="G24" s="7">
        <f t="shared" si="6"/>
        <v>89989.12000000001</v>
      </c>
      <c r="H24" s="7">
        <f t="shared" si="6"/>
        <v>93588.684800000017</v>
      </c>
      <c r="M24" s="6"/>
    </row>
    <row r="25" spans="2:21" x14ac:dyDescent="0.25">
      <c r="B25" s="3" t="s">
        <v>8</v>
      </c>
      <c r="C25" s="5" t="s">
        <v>11</v>
      </c>
      <c r="D25" s="7">
        <v>40000</v>
      </c>
      <c r="E25" s="7">
        <f>D25*1.04</f>
        <v>41600</v>
      </c>
      <c r="F25" s="7">
        <f t="shared" ref="F25:H25" si="7">E25*1.04</f>
        <v>43264</v>
      </c>
      <c r="G25" s="7">
        <f t="shared" si="7"/>
        <v>44994.560000000005</v>
      </c>
      <c r="H25" s="7">
        <f t="shared" si="7"/>
        <v>46794.342400000009</v>
      </c>
      <c r="S25" s="96">
        <f>S23*2%</f>
        <v>196083241.53599998</v>
      </c>
      <c r="T25" s="96">
        <f>S23*3%</f>
        <v>294124862.30399996</v>
      </c>
      <c r="U25" s="96">
        <f>S23*3.5%</f>
        <v>343145672.68800002</v>
      </c>
    </row>
    <row r="26" spans="2:21" x14ac:dyDescent="0.25">
      <c r="B26" s="3"/>
      <c r="C26" s="5" t="s">
        <v>12</v>
      </c>
      <c r="D26" s="7">
        <v>20000</v>
      </c>
      <c r="E26" s="7">
        <f>D26*1.04</f>
        <v>20800</v>
      </c>
      <c r="F26" s="7">
        <v>20000</v>
      </c>
      <c r="G26" s="7">
        <v>20000</v>
      </c>
      <c r="H26" s="7">
        <v>20000</v>
      </c>
    </row>
    <row r="27" spans="2:21" x14ac:dyDescent="0.25">
      <c r="B27" s="4"/>
      <c r="C27" s="5" t="s">
        <v>19</v>
      </c>
      <c r="D27" s="7">
        <v>70000</v>
      </c>
      <c r="E27" s="7">
        <f>D27*1.04</f>
        <v>72800</v>
      </c>
      <c r="F27" s="7">
        <f t="shared" ref="F27:H27" si="8">E27*1.04</f>
        <v>75712</v>
      </c>
      <c r="G27" s="7">
        <f t="shared" si="8"/>
        <v>78740.479999999996</v>
      </c>
      <c r="H27" s="7">
        <f t="shared" si="8"/>
        <v>81890.099199999997</v>
      </c>
    </row>
    <row r="28" spans="2:21" x14ac:dyDescent="0.25">
      <c r="B28" s="224" t="s">
        <v>13</v>
      </c>
      <c r="C28" s="225"/>
      <c r="D28" s="9">
        <f>D23+D24+D25+D26+D27+D22</f>
        <v>640000</v>
      </c>
      <c r="E28" s="9">
        <f>E23+E24+E25+E26+E27+E22</f>
        <v>405600</v>
      </c>
      <c r="F28" s="9">
        <f>F23+F24+F25+F26+F27+F22</f>
        <v>420192</v>
      </c>
      <c r="G28" s="9">
        <f>G23+G24+G25+G26+G27+G22</f>
        <v>436199.67999999999</v>
      </c>
      <c r="H28" s="9">
        <f>H23+H24+H25+H26+H27+H22</f>
        <v>452847.66720000003</v>
      </c>
    </row>
    <row r="29" spans="2:21" ht="30" customHeight="1" x14ac:dyDescent="0.25">
      <c r="B29" s="231" t="s">
        <v>21</v>
      </c>
      <c r="C29" s="232"/>
      <c r="D29" s="9">
        <f>D4+D6+D9+D12+D15+D18+D20</f>
        <v>11798000</v>
      </c>
      <c r="E29" s="9">
        <f>E4+E6+E9+E12+E15+E18+E20</f>
        <v>12269920</v>
      </c>
      <c r="F29" s="9">
        <f>F4+F6+F9+F12+F15+F18+F20</f>
        <v>12760716.799999999</v>
      </c>
      <c r="G29" s="9">
        <f>G4+G6+G9+G12+G15+G18+G20</f>
        <v>13271145.471999999</v>
      </c>
      <c r="H29" s="9">
        <f>H4+H6+H9+H12+H15+H18+H20</f>
        <v>13801991.290879998</v>
      </c>
    </row>
    <row r="30" spans="2:21" x14ac:dyDescent="0.25">
      <c r="B30" s="224" t="s">
        <v>14</v>
      </c>
      <c r="C30" s="225"/>
      <c r="D30" s="9">
        <f>D4+D10+D13+D16+D19</f>
        <v>32280000</v>
      </c>
      <c r="E30" s="9">
        <f t="shared" ref="E30:H30" si="9">E4+E10+E13+E16+E19</f>
        <v>37415040</v>
      </c>
      <c r="F30" s="9">
        <f t="shared" si="9"/>
        <v>38911641.599999994</v>
      </c>
      <c r="G30" s="9">
        <f t="shared" si="9"/>
        <v>40468107.263999999</v>
      </c>
      <c r="H30" s="9">
        <f t="shared" si="9"/>
        <v>42086831.554559998</v>
      </c>
      <c r="I30" s="6"/>
    </row>
    <row r="31" spans="2:21" x14ac:dyDescent="0.25">
      <c r="B31" s="224" t="s">
        <v>15</v>
      </c>
      <c r="C31" s="225"/>
      <c r="D31" s="9">
        <f>D30*52.33%</f>
        <v>16892124</v>
      </c>
      <c r="E31" s="9">
        <f t="shared" ref="E31:H31" si="10">E30*52.33%</f>
        <v>19579290.432</v>
      </c>
      <c r="F31" s="9">
        <f t="shared" si="10"/>
        <v>20362462.049279995</v>
      </c>
      <c r="G31" s="9">
        <f t="shared" si="10"/>
        <v>21176960.5312512</v>
      </c>
      <c r="H31" s="9">
        <f t="shared" si="10"/>
        <v>22024038.952501245</v>
      </c>
    </row>
    <row r="32" spans="2:21" ht="36" customHeight="1" x14ac:dyDescent="0.25">
      <c r="B32" s="224" t="s">
        <v>16</v>
      </c>
      <c r="C32" s="225"/>
      <c r="D32" s="9">
        <f>D30+D31+D22+D28</f>
        <v>50062124</v>
      </c>
      <c r="E32" s="9">
        <f>E30+E31+E22+E28</f>
        <v>57399930.431999996</v>
      </c>
      <c r="F32" s="9">
        <f>F30+F31+F22+F28</f>
        <v>59694295.649279989</v>
      </c>
      <c r="G32" s="9">
        <f>G30+G31+G22+G28</f>
        <v>62081267.475251198</v>
      </c>
      <c r="H32" s="9">
        <f>H30+H31+H22+H28</f>
        <v>64563718.174261242</v>
      </c>
    </row>
    <row r="37" spans="4:4" x14ac:dyDescent="0.25">
      <c r="D37" s="6"/>
    </row>
  </sheetData>
  <mergeCells count="12">
    <mergeCell ref="B31:C31"/>
    <mergeCell ref="B32:C32"/>
    <mergeCell ref="B3:B5"/>
    <mergeCell ref="B6:B8"/>
    <mergeCell ref="B9:B11"/>
    <mergeCell ref="B12:B14"/>
    <mergeCell ref="B15:B17"/>
    <mergeCell ref="B18:B19"/>
    <mergeCell ref="B20:B21"/>
    <mergeCell ref="B28:C28"/>
    <mergeCell ref="B29:C29"/>
    <mergeCell ref="B30:C3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showGridLines="0" workbookViewId="0">
      <selection activeCell="B8" sqref="B8"/>
    </sheetView>
  </sheetViews>
  <sheetFormatPr baseColWidth="10" defaultRowHeight="15" x14ac:dyDescent="0.25"/>
  <cols>
    <col min="1" max="1" width="31.85546875" bestFit="1" customWidth="1"/>
    <col min="2" max="2" width="23.28515625" customWidth="1"/>
  </cols>
  <sheetData>
    <row r="1" spans="1:2" x14ac:dyDescent="0.25">
      <c r="A1" s="14" t="s">
        <v>76</v>
      </c>
      <c r="B1" s="15"/>
    </row>
    <row r="2" spans="1:2" x14ac:dyDescent="0.25">
      <c r="A2" s="14" t="s">
        <v>77</v>
      </c>
      <c r="B2" s="16">
        <v>3000000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83"/>
  <sheetViews>
    <sheetView topLeftCell="A4" workbookViewId="0">
      <selection activeCell="C21" sqref="C21"/>
    </sheetView>
  </sheetViews>
  <sheetFormatPr baseColWidth="10" defaultRowHeight="14.25" x14ac:dyDescent="0.2"/>
  <cols>
    <col min="1" max="1" width="32.7109375" style="139" customWidth="1"/>
    <col min="2" max="2" width="7.7109375" style="139" bestFit="1" customWidth="1"/>
    <col min="3" max="3" width="8.42578125" style="139" customWidth="1"/>
    <col min="4" max="4" width="14.85546875" style="139" bestFit="1" customWidth="1"/>
    <col min="5" max="5" width="9.85546875" style="139" customWidth="1"/>
    <col min="6" max="6" width="9" style="139" customWidth="1"/>
    <col min="7" max="7" width="13.85546875" style="139" bestFit="1" customWidth="1"/>
    <col min="8" max="8" width="7.42578125" style="139" customWidth="1"/>
    <col min="9" max="9" width="9.42578125" style="139" customWidth="1"/>
    <col min="10" max="10" width="12.7109375" style="139" customWidth="1"/>
    <col min="11" max="11" width="8.7109375" style="139" customWidth="1"/>
    <col min="12" max="12" width="8.42578125" style="139" customWidth="1"/>
    <col min="13" max="13" width="12.140625" style="139" customWidth="1"/>
    <col min="14" max="14" width="9" style="139" customWidth="1"/>
    <col min="15" max="15" width="9.140625" style="139" customWidth="1"/>
    <col min="16" max="16" width="12" style="139" customWidth="1"/>
    <col min="17" max="17" width="7.7109375" style="139" customWidth="1"/>
    <col min="18" max="18" width="9.85546875" style="139" customWidth="1"/>
    <col min="19" max="19" width="7.5703125" style="139" customWidth="1"/>
    <col min="20" max="20" width="7.7109375" style="139" customWidth="1"/>
    <col min="21" max="21" width="9.42578125" style="139" customWidth="1"/>
    <col min="22" max="22" width="9.5703125" style="139" customWidth="1"/>
    <col min="23" max="24" width="8.5703125" style="139" customWidth="1"/>
    <col min="25" max="25" width="8.7109375" style="139" customWidth="1"/>
    <col min="26" max="26" width="8.85546875" style="139" customWidth="1"/>
    <col min="27" max="27" width="8.5703125" style="139" customWidth="1"/>
    <col min="28" max="28" width="7.85546875" style="139" customWidth="1"/>
    <col min="29" max="30" width="8.7109375" style="139" customWidth="1"/>
    <col min="31" max="31" width="8" style="139" customWidth="1"/>
    <col min="32" max="32" width="8.42578125" style="139" customWidth="1"/>
    <col min="33" max="33" width="8" style="139" customWidth="1"/>
    <col min="34" max="34" width="7.85546875" style="139" customWidth="1"/>
    <col min="35" max="35" width="13.5703125" style="139" bestFit="1" customWidth="1"/>
    <col min="36" max="36" width="8.28515625" style="139" customWidth="1"/>
    <col min="37" max="37" width="8.85546875" style="139" customWidth="1"/>
    <col min="38" max="38" width="8.5703125" style="139" customWidth="1"/>
    <col min="39" max="40" width="8.7109375" style="139" customWidth="1"/>
    <col min="41" max="41" width="7.85546875" style="139" customWidth="1"/>
    <col min="42" max="43" width="8.7109375" style="139" customWidth="1"/>
    <col min="44" max="44" width="8" style="139" customWidth="1"/>
    <col min="45" max="45" width="8.42578125" style="139" customWidth="1"/>
    <col min="46" max="46" width="8" style="139" customWidth="1"/>
    <col min="47" max="47" width="7.85546875" style="139" customWidth="1"/>
    <col min="48" max="48" width="8" style="139" customWidth="1"/>
    <col min="49" max="49" width="8.28515625" style="139" customWidth="1"/>
    <col min="50" max="50" width="8.85546875" style="139" customWidth="1"/>
    <col min="51" max="51" width="8.5703125" style="139" customWidth="1"/>
    <col min="52" max="53" width="8.7109375" style="139" customWidth="1"/>
    <col min="54" max="54" width="7.85546875" style="139" customWidth="1"/>
    <col min="55" max="56" width="8.7109375" style="139" customWidth="1"/>
    <col min="57" max="57" width="8" style="139" customWidth="1"/>
    <col min="58" max="58" width="8.42578125" style="139" customWidth="1"/>
    <col min="59" max="59" width="8" style="139" customWidth="1"/>
    <col min="60" max="60" width="7.85546875" style="139" customWidth="1"/>
    <col min="61" max="61" width="8" style="139" customWidth="1"/>
    <col min="62" max="62" width="8.28515625" style="139" customWidth="1"/>
    <col min="63" max="63" width="8.85546875" style="139" customWidth="1"/>
    <col min="64" max="64" width="8.5703125" style="139" customWidth="1"/>
    <col min="65" max="66" width="8.7109375" style="139" customWidth="1"/>
    <col min="67" max="256" width="11.42578125" style="139"/>
    <col min="257" max="257" width="32.7109375" style="139" customWidth="1"/>
    <col min="258" max="258" width="7.28515625" style="139" customWidth="1"/>
    <col min="259" max="259" width="8.42578125" style="139" customWidth="1"/>
    <col min="260" max="260" width="12.140625" style="139" customWidth="1"/>
    <col min="261" max="261" width="7.5703125" style="139" customWidth="1"/>
    <col min="262" max="262" width="9" style="139" customWidth="1"/>
    <col min="263" max="263" width="12.42578125" style="139" customWidth="1"/>
    <col min="264" max="264" width="7.42578125" style="139" customWidth="1"/>
    <col min="265" max="265" width="9.42578125" style="139" customWidth="1"/>
    <col min="266" max="266" width="12.7109375" style="139" customWidth="1"/>
    <col min="267" max="267" width="8.7109375" style="139" customWidth="1"/>
    <col min="268" max="268" width="8.42578125" style="139" customWidth="1"/>
    <col min="269" max="269" width="12.140625" style="139" customWidth="1"/>
    <col min="270" max="270" width="9" style="139" customWidth="1"/>
    <col min="271" max="271" width="9.140625" style="139" customWidth="1"/>
    <col min="272" max="272" width="12" style="139" customWidth="1"/>
    <col min="273" max="273" width="7.7109375" style="139" customWidth="1"/>
    <col min="274" max="274" width="9.85546875" style="139" customWidth="1"/>
    <col min="275" max="275" width="7.5703125" style="139" customWidth="1"/>
    <col min="276" max="276" width="7.7109375" style="139" customWidth="1"/>
    <col min="277" max="277" width="9.42578125" style="139" customWidth="1"/>
    <col min="278" max="278" width="9.5703125" style="139" customWidth="1"/>
    <col min="279" max="280" width="8.5703125" style="139" customWidth="1"/>
    <col min="281" max="281" width="8.7109375" style="139" customWidth="1"/>
    <col min="282" max="282" width="8.85546875" style="139" customWidth="1"/>
    <col min="283" max="283" width="8.5703125" style="139" customWidth="1"/>
    <col min="284" max="284" width="7.85546875" style="139" customWidth="1"/>
    <col min="285" max="286" width="8.7109375" style="139" customWidth="1"/>
    <col min="287" max="287" width="8" style="139" customWidth="1"/>
    <col min="288" max="288" width="8.42578125" style="139" customWidth="1"/>
    <col min="289" max="289" width="8" style="139" customWidth="1"/>
    <col min="290" max="290" width="7.85546875" style="139" customWidth="1"/>
    <col min="291" max="291" width="8" style="139" customWidth="1"/>
    <col min="292" max="292" width="8.28515625" style="139" customWidth="1"/>
    <col min="293" max="293" width="8.85546875" style="139" customWidth="1"/>
    <col min="294" max="294" width="8.5703125" style="139" customWidth="1"/>
    <col min="295" max="296" width="8.7109375" style="139" customWidth="1"/>
    <col min="297" max="297" width="7.85546875" style="139" customWidth="1"/>
    <col min="298" max="299" width="8.7109375" style="139" customWidth="1"/>
    <col min="300" max="300" width="8" style="139" customWidth="1"/>
    <col min="301" max="301" width="8.42578125" style="139" customWidth="1"/>
    <col min="302" max="302" width="8" style="139" customWidth="1"/>
    <col min="303" max="303" width="7.85546875" style="139" customWidth="1"/>
    <col min="304" max="304" width="8" style="139" customWidth="1"/>
    <col min="305" max="305" width="8.28515625" style="139" customWidth="1"/>
    <col min="306" max="306" width="8.85546875" style="139" customWidth="1"/>
    <col min="307" max="307" width="8.5703125" style="139" customWidth="1"/>
    <col min="308" max="309" width="8.7109375" style="139" customWidth="1"/>
    <col min="310" max="310" width="7.85546875" style="139" customWidth="1"/>
    <col min="311" max="312" width="8.7109375" style="139" customWidth="1"/>
    <col min="313" max="313" width="8" style="139" customWidth="1"/>
    <col min="314" max="314" width="8.42578125" style="139" customWidth="1"/>
    <col min="315" max="315" width="8" style="139" customWidth="1"/>
    <col min="316" max="316" width="7.85546875" style="139" customWidth="1"/>
    <col min="317" max="317" width="8" style="139" customWidth="1"/>
    <col min="318" max="318" width="8.28515625" style="139" customWidth="1"/>
    <col min="319" max="319" width="8.85546875" style="139" customWidth="1"/>
    <col min="320" max="320" width="8.5703125" style="139" customWidth="1"/>
    <col min="321" max="322" width="8.7109375" style="139" customWidth="1"/>
    <col min="323" max="512" width="11.42578125" style="139"/>
    <col min="513" max="513" width="32.7109375" style="139" customWidth="1"/>
    <col min="514" max="514" width="7.28515625" style="139" customWidth="1"/>
    <col min="515" max="515" width="8.42578125" style="139" customWidth="1"/>
    <col min="516" max="516" width="12.140625" style="139" customWidth="1"/>
    <col min="517" max="517" width="7.5703125" style="139" customWidth="1"/>
    <col min="518" max="518" width="9" style="139" customWidth="1"/>
    <col min="519" max="519" width="12.42578125" style="139" customWidth="1"/>
    <col min="520" max="520" width="7.42578125" style="139" customWidth="1"/>
    <col min="521" max="521" width="9.42578125" style="139" customWidth="1"/>
    <col min="522" max="522" width="12.7109375" style="139" customWidth="1"/>
    <col min="523" max="523" width="8.7109375" style="139" customWidth="1"/>
    <col min="524" max="524" width="8.42578125" style="139" customWidth="1"/>
    <col min="525" max="525" width="12.140625" style="139" customWidth="1"/>
    <col min="526" max="526" width="9" style="139" customWidth="1"/>
    <col min="527" max="527" width="9.140625" style="139" customWidth="1"/>
    <col min="528" max="528" width="12" style="139" customWidth="1"/>
    <col min="529" max="529" width="7.7109375" style="139" customWidth="1"/>
    <col min="530" max="530" width="9.85546875" style="139" customWidth="1"/>
    <col min="531" max="531" width="7.5703125" style="139" customWidth="1"/>
    <col min="532" max="532" width="7.7109375" style="139" customWidth="1"/>
    <col min="533" max="533" width="9.42578125" style="139" customWidth="1"/>
    <col min="534" max="534" width="9.5703125" style="139" customWidth="1"/>
    <col min="535" max="536" width="8.5703125" style="139" customWidth="1"/>
    <col min="537" max="537" width="8.7109375" style="139" customWidth="1"/>
    <col min="538" max="538" width="8.85546875" style="139" customWidth="1"/>
    <col min="539" max="539" width="8.5703125" style="139" customWidth="1"/>
    <col min="540" max="540" width="7.85546875" style="139" customWidth="1"/>
    <col min="541" max="542" width="8.7109375" style="139" customWidth="1"/>
    <col min="543" max="543" width="8" style="139" customWidth="1"/>
    <col min="544" max="544" width="8.42578125" style="139" customWidth="1"/>
    <col min="545" max="545" width="8" style="139" customWidth="1"/>
    <col min="546" max="546" width="7.85546875" style="139" customWidth="1"/>
    <col min="547" max="547" width="8" style="139" customWidth="1"/>
    <col min="548" max="548" width="8.28515625" style="139" customWidth="1"/>
    <col min="549" max="549" width="8.85546875" style="139" customWidth="1"/>
    <col min="550" max="550" width="8.5703125" style="139" customWidth="1"/>
    <col min="551" max="552" width="8.7109375" style="139" customWidth="1"/>
    <col min="553" max="553" width="7.85546875" style="139" customWidth="1"/>
    <col min="554" max="555" width="8.7109375" style="139" customWidth="1"/>
    <col min="556" max="556" width="8" style="139" customWidth="1"/>
    <col min="557" max="557" width="8.42578125" style="139" customWidth="1"/>
    <col min="558" max="558" width="8" style="139" customWidth="1"/>
    <col min="559" max="559" width="7.85546875" style="139" customWidth="1"/>
    <col min="560" max="560" width="8" style="139" customWidth="1"/>
    <col min="561" max="561" width="8.28515625" style="139" customWidth="1"/>
    <col min="562" max="562" width="8.85546875" style="139" customWidth="1"/>
    <col min="563" max="563" width="8.5703125" style="139" customWidth="1"/>
    <col min="564" max="565" width="8.7109375" style="139" customWidth="1"/>
    <col min="566" max="566" width="7.85546875" style="139" customWidth="1"/>
    <col min="567" max="568" width="8.7109375" style="139" customWidth="1"/>
    <col min="569" max="569" width="8" style="139" customWidth="1"/>
    <col min="570" max="570" width="8.42578125" style="139" customWidth="1"/>
    <col min="571" max="571" width="8" style="139" customWidth="1"/>
    <col min="572" max="572" width="7.85546875" style="139" customWidth="1"/>
    <col min="573" max="573" width="8" style="139" customWidth="1"/>
    <col min="574" max="574" width="8.28515625" style="139" customWidth="1"/>
    <col min="575" max="575" width="8.85546875" style="139" customWidth="1"/>
    <col min="576" max="576" width="8.5703125" style="139" customWidth="1"/>
    <col min="577" max="578" width="8.7109375" style="139" customWidth="1"/>
    <col min="579" max="768" width="11.42578125" style="139"/>
    <col min="769" max="769" width="32.7109375" style="139" customWidth="1"/>
    <col min="770" max="770" width="7.28515625" style="139" customWidth="1"/>
    <col min="771" max="771" width="8.42578125" style="139" customWidth="1"/>
    <col min="772" max="772" width="12.140625" style="139" customWidth="1"/>
    <col min="773" max="773" width="7.5703125" style="139" customWidth="1"/>
    <col min="774" max="774" width="9" style="139" customWidth="1"/>
    <col min="775" max="775" width="12.42578125" style="139" customWidth="1"/>
    <col min="776" max="776" width="7.42578125" style="139" customWidth="1"/>
    <col min="777" max="777" width="9.42578125" style="139" customWidth="1"/>
    <col min="778" max="778" width="12.7109375" style="139" customWidth="1"/>
    <col min="779" max="779" width="8.7109375" style="139" customWidth="1"/>
    <col min="780" max="780" width="8.42578125" style="139" customWidth="1"/>
    <col min="781" max="781" width="12.140625" style="139" customWidth="1"/>
    <col min="782" max="782" width="9" style="139" customWidth="1"/>
    <col min="783" max="783" width="9.140625" style="139" customWidth="1"/>
    <col min="784" max="784" width="12" style="139" customWidth="1"/>
    <col min="785" max="785" width="7.7109375" style="139" customWidth="1"/>
    <col min="786" max="786" width="9.85546875" style="139" customWidth="1"/>
    <col min="787" max="787" width="7.5703125" style="139" customWidth="1"/>
    <col min="788" max="788" width="7.7109375" style="139" customWidth="1"/>
    <col min="789" max="789" width="9.42578125" style="139" customWidth="1"/>
    <col min="790" max="790" width="9.5703125" style="139" customWidth="1"/>
    <col min="791" max="792" width="8.5703125" style="139" customWidth="1"/>
    <col min="793" max="793" width="8.7109375" style="139" customWidth="1"/>
    <col min="794" max="794" width="8.85546875" style="139" customWidth="1"/>
    <col min="795" max="795" width="8.5703125" style="139" customWidth="1"/>
    <col min="796" max="796" width="7.85546875" style="139" customWidth="1"/>
    <col min="797" max="798" width="8.7109375" style="139" customWidth="1"/>
    <col min="799" max="799" width="8" style="139" customWidth="1"/>
    <col min="800" max="800" width="8.42578125" style="139" customWidth="1"/>
    <col min="801" max="801" width="8" style="139" customWidth="1"/>
    <col min="802" max="802" width="7.85546875" style="139" customWidth="1"/>
    <col min="803" max="803" width="8" style="139" customWidth="1"/>
    <col min="804" max="804" width="8.28515625" style="139" customWidth="1"/>
    <col min="805" max="805" width="8.85546875" style="139" customWidth="1"/>
    <col min="806" max="806" width="8.5703125" style="139" customWidth="1"/>
    <col min="807" max="808" width="8.7109375" style="139" customWidth="1"/>
    <col min="809" max="809" width="7.85546875" style="139" customWidth="1"/>
    <col min="810" max="811" width="8.7109375" style="139" customWidth="1"/>
    <col min="812" max="812" width="8" style="139" customWidth="1"/>
    <col min="813" max="813" width="8.42578125" style="139" customWidth="1"/>
    <col min="814" max="814" width="8" style="139" customWidth="1"/>
    <col min="815" max="815" width="7.85546875" style="139" customWidth="1"/>
    <col min="816" max="816" width="8" style="139" customWidth="1"/>
    <col min="817" max="817" width="8.28515625" style="139" customWidth="1"/>
    <col min="818" max="818" width="8.85546875" style="139" customWidth="1"/>
    <col min="819" max="819" width="8.5703125" style="139" customWidth="1"/>
    <col min="820" max="821" width="8.7109375" style="139" customWidth="1"/>
    <col min="822" max="822" width="7.85546875" style="139" customWidth="1"/>
    <col min="823" max="824" width="8.7109375" style="139" customWidth="1"/>
    <col min="825" max="825" width="8" style="139" customWidth="1"/>
    <col min="826" max="826" width="8.42578125" style="139" customWidth="1"/>
    <col min="827" max="827" width="8" style="139" customWidth="1"/>
    <col min="828" max="828" width="7.85546875" style="139" customWidth="1"/>
    <col min="829" max="829" width="8" style="139" customWidth="1"/>
    <col min="830" max="830" width="8.28515625" style="139" customWidth="1"/>
    <col min="831" max="831" width="8.85546875" style="139" customWidth="1"/>
    <col min="832" max="832" width="8.5703125" style="139" customWidth="1"/>
    <col min="833" max="834" width="8.7109375" style="139" customWidth="1"/>
    <col min="835" max="1024" width="11.42578125" style="139"/>
    <col min="1025" max="1025" width="32.7109375" style="139" customWidth="1"/>
    <col min="1026" max="1026" width="7.28515625" style="139" customWidth="1"/>
    <col min="1027" max="1027" width="8.42578125" style="139" customWidth="1"/>
    <col min="1028" max="1028" width="12.140625" style="139" customWidth="1"/>
    <col min="1029" max="1029" width="7.5703125" style="139" customWidth="1"/>
    <col min="1030" max="1030" width="9" style="139" customWidth="1"/>
    <col min="1031" max="1031" width="12.42578125" style="139" customWidth="1"/>
    <col min="1032" max="1032" width="7.42578125" style="139" customWidth="1"/>
    <col min="1033" max="1033" width="9.42578125" style="139" customWidth="1"/>
    <col min="1034" max="1034" width="12.7109375" style="139" customWidth="1"/>
    <col min="1035" max="1035" width="8.7109375" style="139" customWidth="1"/>
    <col min="1036" max="1036" width="8.42578125" style="139" customWidth="1"/>
    <col min="1037" max="1037" width="12.140625" style="139" customWidth="1"/>
    <col min="1038" max="1038" width="9" style="139" customWidth="1"/>
    <col min="1039" max="1039" width="9.140625" style="139" customWidth="1"/>
    <col min="1040" max="1040" width="12" style="139" customWidth="1"/>
    <col min="1041" max="1041" width="7.7109375" style="139" customWidth="1"/>
    <col min="1042" max="1042" width="9.85546875" style="139" customWidth="1"/>
    <col min="1043" max="1043" width="7.5703125" style="139" customWidth="1"/>
    <col min="1044" max="1044" width="7.7109375" style="139" customWidth="1"/>
    <col min="1045" max="1045" width="9.42578125" style="139" customWidth="1"/>
    <col min="1046" max="1046" width="9.5703125" style="139" customWidth="1"/>
    <col min="1047" max="1048" width="8.5703125" style="139" customWidth="1"/>
    <col min="1049" max="1049" width="8.7109375" style="139" customWidth="1"/>
    <col min="1050" max="1050" width="8.85546875" style="139" customWidth="1"/>
    <col min="1051" max="1051" width="8.5703125" style="139" customWidth="1"/>
    <col min="1052" max="1052" width="7.85546875" style="139" customWidth="1"/>
    <col min="1053" max="1054" width="8.7109375" style="139" customWidth="1"/>
    <col min="1055" max="1055" width="8" style="139" customWidth="1"/>
    <col min="1056" max="1056" width="8.42578125" style="139" customWidth="1"/>
    <col min="1057" max="1057" width="8" style="139" customWidth="1"/>
    <col min="1058" max="1058" width="7.85546875" style="139" customWidth="1"/>
    <col min="1059" max="1059" width="8" style="139" customWidth="1"/>
    <col min="1060" max="1060" width="8.28515625" style="139" customWidth="1"/>
    <col min="1061" max="1061" width="8.85546875" style="139" customWidth="1"/>
    <col min="1062" max="1062" width="8.5703125" style="139" customWidth="1"/>
    <col min="1063" max="1064" width="8.7109375" style="139" customWidth="1"/>
    <col min="1065" max="1065" width="7.85546875" style="139" customWidth="1"/>
    <col min="1066" max="1067" width="8.7109375" style="139" customWidth="1"/>
    <col min="1068" max="1068" width="8" style="139" customWidth="1"/>
    <col min="1069" max="1069" width="8.42578125" style="139" customWidth="1"/>
    <col min="1070" max="1070" width="8" style="139" customWidth="1"/>
    <col min="1071" max="1071" width="7.85546875" style="139" customWidth="1"/>
    <col min="1072" max="1072" width="8" style="139" customWidth="1"/>
    <col min="1073" max="1073" width="8.28515625" style="139" customWidth="1"/>
    <col min="1074" max="1074" width="8.85546875" style="139" customWidth="1"/>
    <col min="1075" max="1075" width="8.5703125" style="139" customWidth="1"/>
    <col min="1076" max="1077" width="8.7109375" style="139" customWidth="1"/>
    <col min="1078" max="1078" width="7.85546875" style="139" customWidth="1"/>
    <col min="1079" max="1080" width="8.7109375" style="139" customWidth="1"/>
    <col min="1081" max="1081" width="8" style="139" customWidth="1"/>
    <col min="1082" max="1082" width="8.42578125" style="139" customWidth="1"/>
    <col min="1083" max="1083" width="8" style="139" customWidth="1"/>
    <col min="1084" max="1084" width="7.85546875" style="139" customWidth="1"/>
    <col min="1085" max="1085" width="8" style="139" customWidth="1"/>
    <col min="1086" max="1086" width="8.28515625" style="139" customWidth="1"/>
    <col min="1087" max="1087" width="8.85546875" style="139" customWidth="1"/>
    <col min="1088" max="1088" width="8.5703125" style="139" customWidth="1"/>
    <col min="1089" max="1090" width="8.7109375" style="139" customWidth="1"/>
    <col min="1091" max="1280" width="11.42578125" style="139"/>
    <col min="1281" max="1281" width="32.7109375" style="139" customWidth="1"/>
    <col min="1282" max="1282" width="7.28515625" style="139" customWidth="1"/>
    <col min="1283" max="1283" width="8.42578125" style="139" customWidth="1"/>
    <col min="1284" max="1284" width="12.140625" style="139" customWidth="1"/>
    <col min="1285" max="1285" width="7.5703125" style="139" customWidth="1"/>
    <col min="1286" max="1286" width="9" style="139" customWidth="1"/>
    <col min="1287" max="1287" width="12.42578125" style="139" customWidth="1"/>
    <col min="1288" max="1288" width="7.42578125" style="139" customWidth="1"/>
    <col min="1289" max="1289" width="9.42578125" style="139" customWidth="1"/>
    <col min="1290" max="1290" width="12.7109375" style="139" customWidth="1"/>
    <col min="1291" max="1291" width="8.7109375" style="139" customWidth="1"/>
    <col min="1292" max="1292" width="8.42578125" style="139" customWidth="1"/>
    <col min="1293" max="1293" width="12.140625" style="139" customWidth="1"/>
    <col min="1294" max="1294" width="9" style="139" customWidth="1"/>
    <col min="1295" max="1295" width="9.140625" style="139" customWidth="1"/>
    <col min="1296" max="1296" width="12" style="139" customWidth="1"/>
    <col min="1297" max="1297" width="7.7109375" style="139" customWidth="1"/>
    <col min="1298" max="1298" width="9.85546875" style="139" customWidth="1"/>
    <col min="1299" max="1299" width="7.5703125" style="139" customWidth="1"/>
    <col min="1300" max="1300" width="7.7109375" style="139" customWidth="1"/>
    <col min="1301" max="1301" width="9.42578125" style="139" customWidth="1"/>
    <col min="1302" max="1302" width="9.5703125" style="139" customWidth="1"/>
    <col min="1303" max="1304" width="8.5703125" style="139" customWidth="1"/>
    <col min="1305" max="1305" width="8.7109375" style="139" customWidth="1"/>
    <col min="1306" max="1306" width="8.85546875" style="139" customWidth="1"/>
    <col min="1307" max="1307" width="8.5703125" style="139" customWidth="1"/>
    <col min="1308" max="1308" width="7.85546875" style="139" customWidth="1"/>
    <col min="1309" max="1310" width="8.7109375" style="139" customWidth="1"/>
    <col min="1311" max="1311" width="8" style="139" customWidth="1"/>
    <col min="1312" max="1312" width="8.42578125" style="139" customWidth="1"/>
    <col min="1313" max="1313" width="8" style="139" customWidth="1"/>
    <col min="1314" max="1314" width="7.85546875" style="139" customWidth="1"/>
    <col min="1315" max="1315" width="8" style="139" customWidth="1"/>
    <col min="1316" max="1316" width="8.28515625" style="139" customWidth="1"/>
    <col min="1317" max="1317" width="8.85546875" style="139" customWidth="1"/>
    <col min="1318" max="1318" width="8.5703125" style="139" customWidth="1"/>
    <col min="1319" max="1320" width="8.7109375" style="139" customWidth="1"/>
    <col min="1321" max="1321" width="7.85546875" style="139" customWidth="1"/>
    <col min="1322" max="1323" width="8.7109375" style="139" customWidth="1"/>
    <col min="1324" max="1324" width="8" style="139" customWidth="1"/>
    <col min="1325" max="1325" width="8.42578125" style="139" customWidth="1"/>
    <col min="1326" max="1326" width="8" style="139" customWidth="1"/>
    <col min="1327" max="1327" width="7.85546875" style="139" customWidth="1"/>
    <col min="1328" max="1328" width="8" style="139" customWidth="1"/>
    <col min="1329" max="1329" width="8.28515625" style="139" customWidth="1"/>
    <col min="1330" max="1330" width="8.85546875" style="139" customWidth="1"/>
    <col min="1331" max="1331" width="8.5703125" style="139" customWidth="1"/>
    <col min="1332" max="1333" width="8.7109375" style="139" customWidth="1"/>
    <col min="1334" max="1334" width="7.85546875" style="139" customWidth="1"/>
    <col min="1335" max="1336" width="8.7109375" style="139" customWidth="1"/>
    <col min="1337" max="1337" width="8" style="139" customWidth="1"/>
    <col min="1338" max="1338" width="8.42578125" style="139" customWidth="1"/>
    <col min="1339" max="1339" width="8" style="139" customWidth="1"/>
    <col min="1340" max="1340" width="7.85546875" style="139" customWidth="1"/>
    <col min="1341" max="1341" width="8" style="139" customWidth="1"/>
    <col min="1342" max="1342" width="8.28515625" style="139" customWidth="1"/>
    <col min="1343" max="1343" width="8.85546875" style="139" customWidth="1"/>
    <col min="1344" max="1344" width="8.5703125" style="139" customWidth="1"/>
    <col min="1345" max="1346" width="8.7109375" style="139" customWidth="1"/>
    <col min="1347" max="1536" width="11.42578125" style="139"/>
    <col min="1537" max="1537" width="32.7109375" style="139" customWidth="1"/>
    <col min="1538" max="1538" width="7.28515625" style="139" customWidth="1"/>
    <col min="1539" max="1539" width="8.42578125" style="139" customWidth="1"/>
    <col min="1540" max="1540" width="12.140625" style="139" customWidth="1"/>
    <col min="1541" max="1541" width="7.5703125" style="139" customWidth="1"/>
    <col min="1542" max="1542" width="9" style="139" customWidth="1"/>
    <col min="1543" max="1543" width="12.42578125" style="139" customWidth="1"/>
    <col min="1544" max="1544" width="7.42578125" style="139" customWidth="1"/>
    <col min="1545" max="1545" width="9.42578125" style="139" customWidth="1"/>
    <col min="1546" max="1546" width="12.7109375" style="139" customWidth="1"/>
    <col min="1547" max="1547" width="8.7109375" style="139" customWidth="1"/>
    <col min="1548" max="1548" width="8.42578125" style="139" customWidth="1"/>
    <col min="1549" max="1549" width="12.140625" style="139" customWidth="1"/>
    <col min="1550" max="1550" width="9" style="139" customWidth="1"/>
    <col min="1551" max="1551" width="9.140625" style="139" customWidth="1"/>
    <col min="1552" max="1552" width="12" style="139" customWidth="1"/>
    <col min="1553" max="1553" width="7.7109375" style="139" customWidth="1"/>
    <col min="1554" max="1554" width="9.85546875" style="139" customWidth="1"/>
    <col min="1555" max="1555" width="7.5703125" style="139" customWidth="1"/>
    <col min="1556" max="1556" width="7.7109375" style="139" customWidth="1"/>
    <col min="1557" max="1557" width="9.42578125" style="139" customWidth="1"/>
    <col min="1558" max="1558" width="9.5703125" style="139" customWidth="1"/>
    <col min="1559" max="1560" width="8.5703125" style="139" customWidth="1"/>
    <col min="1561" max="1561" width="8.7109375" style="139" customWidth="1"/>
    <col min="1562" max="1562" width="8.85546875" style="139" customWidth="1"/>
    <col min="1563" max="1563" width="8.5703125" style="139" customWidth="1"/>
    <col min="1564" max="1564" width="7.85546875" style="139" customWidth="1"/>
    <col min="1565" max="1566" width="8.7109375" style="139" customWidth="1"/>
    <col min="1567" max="1567" width="8" style="139" customWidth="1"/>
    <col min="1568" max="1568" width="8.42578125" style="139" customWidth="1"/>
    <col min="1569" max="1569" width="8" style="139" customWidth="1"/>
    <col min="1570" max="1570" width="7.85546875" style="139" customWidth="1"/>
    <col min="1571" max="1571" width="8" style="139" customWidth="1"/>
    <col min="1572" max="1572" width="8.28515625" style="139" customWidth="1"/>
    <col min="1573" max="1573" width="8.85546875" style="139" customWidth="1"/>
    <col min="1574" max="1574" width="8.5703125" style="139" customWidth="1"/>
    <col min="1575" max="1576" width="8.7109375" style="139" customWidth="1"/>
    <col min="1577" max="1577" width="7.85546875" style="139" customWidth="1"/>
    <col min="1578" max="1579" width="8.7109375" style="139" customWidth="1"/>
    <col min="1580" max="1580" width="8" style="139" customWidth="1"/>
    <col min="1581" max="1581" width="8.42578125" style="139" customWidth="1"/>
    <col min="1582" max="1582" width="8" style="139" customWidth="1"/>
    <col min="1583" max="1583" width="7.85546875" style="139" customWidth="1"/>
    <col min="1584" max="1584" width="8" style="139" customWidth="1"/>
    <col min="1585" max="1585" width="8.28515625" style="139" customWidth="1"/>
    <col min="1586" max="1586" width="8.85546875" style="139" customWidth="1"/>
    <col min="1587" max="1587" width="8.5703125" style="139" customWidth="1"/>
    <col min="1588" max="1589" width="8.7109375" style="139" customWidth="1"/>
    <col min="1590" max="1590" width="7.85546875" style="139" customWidth="1"/>
    <col min="1591" max="1592" width="8.7109375" style="139" customWidth="1"/>
    <col min="1593" max="1593" width="8" style="139" customWidth="1"/>
    <col min="1594" max="1594" width="8.42578125" style="139" customWidth="1"/>
    <col min="1595" max="1595" width="8" style="139" customWidth="1"/>
    <col min="1596" max="1596" width="7.85546875" style="139" customWidth="1"/>
    <col min="1597" max="1597" width="8" style="139" customWidth="1"/>
    <col min="1598" max="1598" width="8.28515625" style="139" customWidth="1"/>
    <col min="1599" max="1599" width="8.85546875" style="139" customWidth="1"/>
    <col min="1600" max="1600" width="8.5703125" style="139" customWidth="1"/>
    <col min="1601" max="1602" width="8.7109375" style="139" customWidth="1"/>
    <col min="1603" max="1792" width="11.42578125" style="139"/>
    <col min="1793" max="1793" width="32.7109375" style="139" customWidth="1"/>
    <col min="1794" max="1794" width="7.28515625" style="139" customWidth="1"/>
    <col min="1795" max="1795" width="8.42578125" style="139" customWidth="1"/>
    <col min="1796" max="1796" width="12.140625" style="139" customWidth="1"/>
    <col min="1797" max="1797" width="7.5703125" style="139" customWidth="1"/>
    <col min="1798" max="1798" width="9" style="139" customWidth="1"/>
    <col min="1799" max="1799" width="12.42578125" style="139" customWidth="1"/>
    <col min="1800" max="1800" width="7.42578125" style="139" customWidth="1"/>
    <col min="1801" max="1801" width="9.42578125" style="139" customWidth="1"/>
    <col min="1802" max="1802" width="12.7109375" style="139" customWidth="1"/>
    <col min="1803" max="1803" width="8.7109375" style="139" customWidth="1"/>
    <col min="1804" max="1804" width="8.42578125" style="139" customWidth="1"/>
    <col min="1805" max="1805" width="12.140625" style="139" customWidth="1"/>
    <col min="1806" max="1806" width="9" style="139" customWidth="1"/>
    <col min="1807" max="1807" width="9.140625" style="139" customWidth="1"/>
    <col min="1808" max="1808" width="12" style="139" customWidth="1"/>
    <col min="1809" max="1809" width="7.7109375" style="139" customWidth="1"/>
    <col min="1810" max="1810" width="9.85546875" style="139" customWidth="1"/>
    <col min="1811" max="1811" width="7.5703125" style="139" customWidth="1"/>
    <col min="1812" max="1812" width="7.7109375" style="139" customWidth="1"/>
    <col min="1813" max="1813" width="9.42578125" style="139" customWidth="1"/>
    <col min="1814" max="1814" width="9.5703125" style="139" customWidth="1"/>
    <col min="1815" max="1816" width="8.5703125" style="139" customWidth="1"/>
    <col min="1817" max="1817" width="8.7109375" style="139" customWidth="1"/>
    <col min="1818" max="1818" width="8.85546875" style="139" customWidth="1"/>
    <col min="1819" max="1819" width="8.5703125" style="139" customWidth="1"/>
    <col min="1820" max="1820" width="7.85546875" style="139" customWidth="1"/>
    <col min="1821" max="1822" width="8.7109375" style="139" customWidth="1"/>
    <col min="1823" max="1823" width="8" style="139" customWidth="1"/>
    <col min="1824" max="1824" width="8.42578125" style="139" customWidth="1"/>
    <col min="1825" max="1825" width="8" style="139" customWidth="1"/>
    <col min="1826" max="1826" width="7.85546875" style="139" customWidth="1"/>
    <col min="1827" max="1827" width="8" style="139" customWidth="1"/>
    <col min="1828" max="1828" width="8.28515625" style="139" customWidth="1"/>
    <col min="1829" max="1829" width="8.85546875" style="139" customWidth="1"/>
    <col min="1830" max="1830" width="8.5703125" style="139" customWidth="1"/>
    <col min="1831" max="1832" width="8.7109375" style="139" customWidth="1"/>
    <col min="1833" max="1833" width="7.85546875" style="139" customWidth="1"/>
    <col min="1834" max="1835" width="8.7109375" style="139" customWidth="1"/>
    <col min="1836" max="1836" width="8" style="139" customWidth="1"/>
    <col min="1837" max="1837" width="8.42578125" style="139" customWidth="1"/>
    <col min="1838" max="1838" width="8" style="139" customWidth="1"/>
    <col min="1839" max="1839" width="7.85546875" style="139" customWidth="1"/>
    <col min="1840" max="1840" width="8" style="139" customWidth="1"/>
    <col min="1841" max="1841" width="8.28515625" style="139" customWidth="1"/>
    <col min="1842" max="1842" width="8.85546875" style="139" customWidth="1"/>
    <col min="1843" max="1843" width="8.5703125" style="139" customWidth="1"/>
    <col min="1844" max="1845" width="8.7109375" style="139" customWidth="1"/>
    <col min="1846" max="1846" width="7.85546875" style="139" customWidth="1"/>
    <col min="1847" max="1848" width="8.7109375" style="139" customWidth="1"/>
    <col min="1849" max="1849" width="8" style="139" customWidth="1"/>
    <col min="1850" max="1850" width="8.42578125" style="139" customWidth="1"/>
    <col min="1851" max="1851" width="8" style="139" customWidth="1"/>
    <col min="1852" max="1852" width="7.85546875" style="139" customWidth="1"/>
    <col min="1853" max="1853" width="8" style="139" customWidth="1"/>
    <col min="1854" max="1854" width="8.28515625" style="139" customWidth="1"/>
    <col min="1855" max="1855" width="8.85546875" style="139" customWidth="1"/>
    <col min="1856" max="1856" width="8.5703125" style="139" customWidth="1"/>
    <col min="1857" max="1858" width="8.7109375" style="139" customWidth="1"/>
    <col min="1859" max="2048" width="11.42578125" style="139"/>
    <col min="2049" max="2049" width="32.7109375" style="139" customWidth="1"/>
    <col min="2050" max="2050" width="7.28515625" style="139" customWidth="1"/>
    <col min="2051" max="2051" width="8.42578125" style="139" customWidth="1"/>
    <col min="2052" max="2052" width="12.140625" style="139" customWidth="1"/>
    <col min="2053" max="2053" width="7.5703125" style="139" customWidth="1"/>
    <col min="2054" max="2054" width="9" style="139" customWidth="1"/>
    <col min="2055" max="2055" width="12.42578125" style="139" customWidth="1"/>
    <col min="2056" max="2056" width="7.42578125" style="139" customWidth="1"/>
    <col min="2057" max="2057" width="9.42578125" style="139" customWidth="1"/>
    <col min="2058" max="2058" width="12.7109375" style="139" customWidth="1"/>
    <col min="2059" max="2059" width="8.7109375" style="139" customWidth="1"/>
    <col min="2060" max="2060" width="8.42578125" style="139" customWidth="1"/>
    <col min="2061" max="2061" width="12.140625" style="139" customWidth="1"/>
    <col min="2062" max="2062" width="9" style="139" customWidth="1"/>
    <col min="2063" max="2063" width="9.140625" style="139" customWidth="1"/>
    <col min="2064" max="2064" width="12" style="139" customWidth="1"/>
    <col min="2065" max="2065" width="7.7109375" style="139" customWidth="1"/>
    <col min="2066" max="2066" width="9.85546875" style="139" customWidth="1"/>
    <col min="2067" max="2067" width="7.5703125" style="139" customWidth="1"/>
    <col min="2068" max="2068" width="7.7109375" style="139" customWidth="1"/>
    <col min="2069" max="2069" width="9.42578125" style="139" customWidth="1"/>
    <col min="2070" max="2070" width="9.5703125" style="139" customWidth="1"/>
    <col min="2071" max="2072" width="8.5703125" style="139" customWidth="1"/>
    <col min="2073" max="2073" width="8.7109375" style="139" customWidth="1"/>
    <col min="2074" max="2074" width="8.85546875" style="139" customWidth="1"/>
    <col min="2075" max="2075" width="8.5703125" style="139" customWidth="1"/>
    <col min="2076" max="2076" width="7.85546875" style="139" customWidth="1"/>
    <col min="2077" max="2078" width="8.7109375" style="139" customWidth="1"/>
    <col min="2079" max="2079" width="8" style="139" customWidth="1"/>
    <col min="2080" max="2080" width="8.42578125" style="139" customWidth="1"/>
    <col min="2081" max="2081" width="8" style="139" customWidth="1"/>
    <col min="2082" max="2082" width="7.85546875" style="139" customWidth="1"/>
    <col min="2083" max="2083" width="8" style="139" customWidth="1"/>
    <col min="2084" max="2084" width="8.28515625" style="139" customWidth="1"/>
    <col min="2085" max="2085" width="8.85546875" style="139" customWidth="1"/>
    <col min="2086" max="2086" width="8.5703125" style="139" customWidth="1"/>
    <col min="2087" max="2088" width="8.7109375" style="139" customWidth="1"/>
    <col min="2089" max="2089" width="7.85546875" style="139" customWidth="1"/>
    <col min="2090" max="2091" width="8.7109375" style="139" customWidth="1"/>
    <col min="2092" max="2092" width="8" style="139" customWidth="1"/>
    <col min="2093" max="2093" width="8.42578125" style="139" customWidth="1"/>
    <col min="2094" max="2094" width="8" style="139" customWidth="1"/>
    <col min="2095" max="2095" width="7.85546875" style="139" customWidth="1"/>
    <col min="2096" max="2096" width="8" style="139" customWidth="1"/>
    <col min="2097" max="2097" width="8.28515625" style="139" customWidth="1"/>
    <col min="2098" max="2098" width="8.85546875" style="139" customWidth="1"/>
    <col min="2099" max="2099" width="8.5703125" style="139" customWidth="1"/>
    <col min="2100" max="2101" width="8.7109375" style="139" customWidth="1"/>
    <col min="2102" max="2102" width="7.85546875" style="139" customWidth="1"/>
    <col min="2103" max="2104" width="8.7109375" style="139" customWidth="1"/>
    <col min="2105" max="2105" width="8" style="139" customWidth="1"/>
    <col min="2106" max="2106" width="8.42578125" style="139" customWidth="1"/>
    <col min="2107" max="2107" width="8" style="139" customWidth="1"/>
    <col min="2108" max="2108" width="7.85546875" style="139" customWidth="1"/>
    <col min="2109" max="2109" width="8" style="139" customWidth="1"/>
    <col min="2110" max="2110" width="8.28515625" style="139" customWidth="1"/>
    <col min="2111" max="2111" width="8.85546875" style="139" customWidth="1"/>
    <col min="2112" max="2112" width="8.5703125" style="139" customWidth="1"/>
    <col min="2113" max="2114" width="8.7109375" style="139" customWidth="1"/>
    <col min="2115" max="2304" width="11.42578125" style="139"/>
    <col min="2305" max="2305" width="32.7109375" style="139" customWidth="1"/>
    <col min="2306" max="2306" width="7.28515625" style="139" customWidth="1"/>
    <col min="2307" max="2307" width="8.42578125" style="139" customWidth="1"/>
    <col min="2308" max="2308" width="12.140625" style="139" customWidth="1"/>
    <col min="2309" max="2309" width="7.5703125" style="139" customWidth="1"/>
    <col min="2310" max="2310" width="9" style="139" customWidth="1"/>
    <col min="2311" max="2311" width="12.42578125" style="139" customWidth="1"/>
    <col min="2312" max="2312" width="7.42578125" style="139" customWidth="1"/>
    <col min="2313" max="2313" width="9.42578125" style="139" customWidth="1"/>
    <col min="2314" max="2314" width="12.7109375" style="139" customWidth="1"/>
    <col min="2315" max="2315" width="8.7109375" style="139" customWidth="1"/>
    <col min="2316" max="2316" width="8.42578125" style="139" customWidth="1"/>
    <col min="2317" max="2317" width="12.140625" style="139" customWidth="1"/>
    <col min="2318" max="2318" width="9" style="139" customWidth="1"/>
    <col min="2319" max="2319" width="9.140625" style="139" customWidth="1"/>
    <col min="2320" max="2320" width="12" style="139" customWidth="1"/>
    <col min="2321" max="2321" width="7.7109375" style="139" customWidth="1"/>
    <col min="2322" max="2322" width="9.85546875" style="139" customWidth="1"/>
    <col min="2323" max="2323" width="7.5703125" style="139" customWidth="1"/>
    <col min="2324" max="2324" width="7.7109375" style="139" customWidth="1"/>
    <col min="2325" max="2325" width="9.42578125" style="139" customWidth="1"/>
    <col min="2326" max="2326" width="9.5703125" style="139" customWidth="1"/>
    <col min="2327" max="2328" width="8.5703125" style="139" customWidth="1"/>
    <col min="2329" max="2329" width="8.7109375" style="139" customWidth="1"/>
    <col min="2330" max="2330" width="8.85546875" style="139" customWidth="1"/>
    <col min="2331" max="2331" width="8.5703125" style="139" customWidth="1"/>
    <col min="2332" max="2332" width="7.85546875" style="139" customWidth="1"/>
    <col min="2333" max="2334" width="8.7109375" style="139" customWidth="1"/>
    <col min="2335" max="2335" width="8" style="139" customWidth="1"/>
    <col min="2336" max="2336" width="8.42578125" style="139" customWidth="1"/>
    <col min="2337" max="2337" width="8" style="139" customWidth="1"/>
    <col min="2338" max="2338" width="7.85546875" style="139" customWidth="1"/>
    <col min="2339" max="2339" width="8" style="139" customWidth="1"/>
    <col min="2340" max="2340" width="8.28515625" style="139" customWidth="1"/>
    <col min="2341" max="2341" width="8.85546875" style="139" customWidth="1"/>
    <col min="2342" max="2342" width="8.5703125" style="139" customWidth="1"/>
    <col min="2343" max="2344" width="8.7109375" style="139" customWidth="1"/>
    <col min="2345" max="2345" width="7.85546875" style="139" customWidth="1"/>
    <col min="2346" max="2347" width="8.7109375" style="139" customWidth="1"/>
    <col min="2348" max="2348" width="8" style="139" customWidth="1"/>
    <col min="2349" max="2349" width="8.42578125" style="139" customWidth="1"/>
    <col min="2350" max="2350" width="8" style="139" customWidth="1"/>
    <col min="2351" max="2351" width="7.85546875" style="139" customWidth="1"/>
    <col min="2352" max="2352" width="8" style="139" customWidth="1"/>
    <col min="2353" max="2353" width="8.28515625" style="139" customWidth="1"/>
    <col min="2354" max="2354" width="8.85546875" style="139" customWidth="1"/>
    <col min="2355" max="2355" width="8.5703125" style="139" customWidth="1"/>
    <col min="2356" max="2357" width="8.7109375" style="139" customWidth="1"/>
    <col min="2358" max="2358" width="7.85546875" style="139" customWidth="1"/>
    <col min="2359" max="2360" width="8.7109375" style="139" customWidth="1"/>
    <col min="2361" max="2361" width="8" style="139" customWidth="1"/>
    <col min="2362" max="2362" width="8.42578125" style="139" customWidth="1"/>
    <col min="2363" max="2363" width="8" style="139" customWidth="1"/>
    <col min="2364" max="2364" width="7.85546875" style="139" customWidth="1"/>
    <col min="2365" max="2365" width="8" style="139" customWidth="1"/>
    <col min="2366" max="2366" width="8.28515625" style="139" customWidth="1"/>
    <col min="2367" max="2367" width="8.85546875" style="139" customWidth="1"/>
    <col min="2368" max="2368" width="8.5703125" style="139" customWidth="1"/>
    <col min="2369" max="2370" width="8.7109375" style="139" customWidth="1"/>
    <col min="2371" max="2560" width="11.42578125" style="139"/>
    <col min="2561" max="2561" width="32.7109375" style="139" customWidth="1"/>
    <col min="2562" max="2562" width="7.28515625" style="139" customWidth="1"/>
    <col min="2563" max="2563" width="8.42578125" style="139" customWidth="1"/>
    <col min="2564" max="2564" width="12.140625" style="139" customWidth="1"/>
    <col min="2565" max="2565" width="7.5703125" style="139" customWidth="1"/>
    <col min="2566" max="2566" width="9" style="139" customWidth="1"/>
    <col min="2567" max="2567" width="12.42578125" style="139" customWidth="1"/>
    <col min="2568" max="2568" width="7.42578125" style="139" customWidth="1"/>
    <col min="2569" max="2569" width="9.42578125" style="139" customWidth="1"/>
    <col min="2570" max="2570" width="12.7109375" style="139" customWidth="1"/>
    <col min="2571" max="2571" width="8.7109375" style="139" customWidth="1"/>
    <col min="2572" max="2572" width="8.42578125" style="139" customWidth="1"/>
    <col min="2573" max="2573" width="12.140625" style="139" customWidth="1"/>
    <col min="2574" max="2574" width="9" style="139" customWidth="1"/>
    <col min="2575" max="2575" width="9.140625" style="139" customWidth="1"/>
    <col min="2576" max="2576" width="12" style="139" customWidth="1"/>
    <col min="2577" max="2577" width="7.7109375" style="139" customWidth="1"/>
    <col min="2578" max="2578" width="9.85546875" style="139" customWidth="1"/>
    <col min="2579" max="2579" width="7.5703125" style="139" customWidth="1"/>
    <col min="2580" max="2580" width="7.7109375" style="139" customWidth="1"/>
    <col min="2581" max="2581" width="9.42578125" style="139" customWidth="1"/>
    <col min="2582" max="2582" width="9.5703125" style="139" customWidth="1"/>
    <col min="2583" max="2584" width="8.5703125" style="139" customWidth="1"/>
    <col min="2585" max="2585" width="8.7109375" style="139" customWidth="1"/>
    <col min="2586" max="2586" width="8.85546875" style="139" customWidth="1"/>
    <col min="2587" max="2587" width="8.5703125" style="139" customWidth="1"/>
    <col min="2588" max="2588" width="7.85546875" style="139" customWidth="1"/>
    <col min="2589" max="2590" width="8.7109375" style="139" customWidth="1"/>
    <col min="2591" max="2591" width="8" style="139" customWidth="1"/>
    <col min="2592" max="2592" width="8.42578125" style="139" customWidth="1"/>
    <col min="2593" max="2593" width="8" style="139" customWidth="1"/>
    <col min="2594" max="2594" width="7.85546875" style="139" customWidth="1"/>
    <col min="2595" max="2595" width="8" style="139" customWidth="1"/>
    <col min="2596" max="2596" width="8.28515625" style="139" customWidth="1"/>
    <col min="2597" max="2597" width="8.85546875" style="139" customWidth="1"/>
    <col min="2598" max="2598" width="8.5703125" style="139" customWidth="1"/>
    <col min="2599" max="2600" width="8.7109375" style="139" customWidth="1"/>
    <col min="2601" max="2601" width="7.85546875" style="139" customWidth="1"/>
    <col min="2602" max="2603" width="8.7109375" style="139" customWidth="1"/>
    <col min="2604" max="2604" width="8" style="139" customWidth="1"/>
    <col min="2605" max="2605" width="8.42578125" style="139" customWidth="1"/>
    <col min="2606" max="2606" width="8" style="139" customWidth="1"/>
    <col min="2607" max="2607" width="7.85546875" style="139" customWidth="1"/>
    <col min="2608" max="2608" width="8" style="139" customWidth="1"/>
    <col min="2609" max="2609" width="8.28515625" style="139" customWidth="1"/>
    <col min="2610" max="2610" width="8.85546875" style="139" customWidth="1"/>
    <col min="2611" max="2611" width="8.5703125" style="139" customWidth="1"/>
    <col min="2612" max="2613" width="8.7109375" style="139" customWidth="1"/>
    <col min="2614" max="2614" width="7.85546875" style="139" customWidth="1"/>
    <col min="2615" max="2616" width="8.7109375" style="139" customWidth="1"/>
    <col min="2617" max="2617" width="8" style="139" customWidth="1"/>
    <col min="2618" max="2618" width="8.42578125" style="139" customWidth="1"/>
    <col min="2619" max="2619" width="8" style="139" customWidth="1"/>
    <col min="2620" max="2620" width="7.85546875" style="139" customWidth="1"/>
    <col min="2621" max="2621" width="8" style="139" customWidth="1"/>
    <col min="2622" max="2622" width="8.28515625" style="139" customWidth="1"/>
    <col min="2623" max="2623" width="8.85546875" style="139" customWidth="1"/>
    <col min="2624" max="2624" width="8.5703125" style="139" customWidth="1"/>
    <col min="2625" max="2626" width="8.7109375" style="139" customWidth="1"/>
    <col min="2627" max="2816" width="11.42578125" style="139"/>
    <col min="2817" max="2817" width="32.7109375" style="139" customWidth="1"/>
    <col min="2818" max="2818" width="7.28515625" style="139" customWidth="1"/>
    <col min="2819" max="2819" width="8.42578125" style="139" customWidth="1"/>
    <col min="2820" max="2820" width="12.140625" style="139" customWidth="1"/>
    <col min="2821" max="2821" width="7.5703125" style="139" customWidth="1"/>
    <col min="2822" max="2822" width="9" style="139" customWidth="1"/>
    <col min="2823" max="2823" width="12.42578125" style="139" customWidth="1"/>
    <col min="2824" max="2824" width="7.42578125" style="139" customWidth="1"/>
    <col min="2825" max="2825" width="9.42578125" style="139" customWidth="1"/>
    <col min="2826" max="2826" width="12.7109375" style="139" customWidth="1"/>
    <col min="2827" max="2827" width="8.7109375" style="139" customWidth="1"/>
    <col min="2828" max="2828" width="8.42578125" style="139" customWidth="1"/>
    <col min="2829" max="2829" width="12.140625" style="139" customWidth="1"/>
    <col min="2830" max="2830" width="9" style="139" customWidth="1"/>
    <col min="2831" max="2831" width="9.140625" style="139" customWidth="1"/>
    <col min="2832" max="2832" width="12" style="139" customWidth="1"/>
    <col min="2833" max="2833" width="7.7109375" style="139" customWidth="1"/>
    <col min="2834" max="2834" width="9.85546875" style="139" customWidth="1"/>
    <col min="2835" max="2835" width="7.5703125" style="139" customWidth="1"/>
    <col min="2836" max="2836" width="7.7109375" style="139" customWidth="1"/>
    <col min="2837" max="2837" width="9.42578125" style="139" customWidth="1"/>
    <col min="2838" max="2838" width="9.5703125" style="139" customWidth="1"/>
    <col min="2839" max="2840" width="8.5703125" style="139" customWidth="1"/>
    <col min="2841" max="2841" width="8.7109375" style="139" customWidth="1"/>
    <col min="2842" max="2842" width="8.85546875" style="139" customWidth="1"/>
    <col min="2843" max="2843" width="8.5703125" style="139" customWidth="1"/>
    <col min="2844" max="2844" width="7.85546875" style="139" customWidth="1"/>
    <col min="2845" max="2846" width="8.7109375" style="139" customWidth="1"/>
    <col min="2847" max="2847" width="8" style="139" customWidth="1"/>
    <col min="2848" max="2848" width="8.42578125" style="139" customWidth="1"/>
    <col min="2849" max="2849" width="8" style="139" customWidth="1"/>
    <col min="2850" max="2850" width="7.85546875" style="139" customWidth="1"/>
    <col min="2851" max="2851" width="8" style="139" customWidth="1"/>
    <col min="2852" max="2852" width="8.28515625" style="139" customWidth="1"/>
    <col min="2853" max="2853" width="8.85546875" style="139" customWidth="1"/>
    <col min="2854" max="2854" width="8.5703125" style="139" customWidth="1"/>
    <col min="2855" max="2856" width="8.7109375" style="139" customWidth="1"/>
    <col min="2857" max="2857" width="7.85546875" style="139" customWidth="1"/>
    <col min="2858" max="2859" width="8.7109375" style="139" customWidth="1"/>
    <col min="2860" max="2860" width="8" style="139" customWidth="1"/>
    <col min="2861" max="2861" width="8.42578125" style="139" customWidth="1"/>
    <col min="2862" max="2862" width="8" style="139" customWidth="1"/>
    <col min="2863" max="2863" width="7.85546875" style="139" customWidth="1"/>
    <col min="2864" max="2864" width="8" style="139" customWidth="1"/>
    <col min="2865" max="2865" width="8.28515625" style="139" customWidth="1"/>
    <col min="2866" max="2866" width="8.85546875" style="139" customWidth="1"/>
    <col min="2867" max="2867" width="8.5703125" style="139" customWidth="1"/>
    <col min="2868" max="2869" width="8.7109375" style="139" customWidth="1"/>
    <col min="2870" max="2870" width="7.85546875" style="139" customWidth="1"/>
    <col min="2871" max="2872" width="8.7109375" style="139" customWidth="1"/>
    <col min="2873" max="2873" width="8" style="139" customWidth="1"/>
    <col min="2874" max="2874" width="8.42578125" style="139" customWidth="1"/>
    <col min="2875" max="2875" width="8" style="139" customWidth="1"/>
    <col min="2876" max="2876" width="7.85546875" style="139" customWidth="1"/>
    <col min="2877" max="2877" width="8" style="139" customWidth="1"/>
    <col min="2878" max="2878" width="8.28515625" style="139" customWidth="1"/>
    <col min="2879" max="2879" width="8.85546875" style="139" customWidth="1"/>
    <col min="2880" max="2880" width="8.5703125" style="139" customWidth="1"/>
    <col min="2881" max="2882" width="8.7109375" style="139" customWidth="1"/>
    <col min="2883" max="3072" width="11.42578125" style="139"/>
    <col min="3073" max="3073" width="32.7109375" style="139" customWidth="1"/>
    <col min="3074" max="3074" width="7.28515625" style="139" customWidth="1"/>
    <col min="3075" max="3075" width="8.42578125" style="139" customWidth="1"/>
    <col min="3076" max="3076" width="12.140625" style="139" customWidth="1"/>
    <col min="3077" max="3077" width="7.5703125" style="139" customWidth="1"/>
    <col min="3078" max="3078" width="9" style="139" customWidth="1"/>
    <col min="3079" max="3079" width="12.42578125" style="139" customWidth="1"/>
    <col min="3080" max="3080" width="7.42578125" style="139" customWidth="1"/>
    <col min="3081" max="3081" width="9.42578125" style="139" customWidth="1"/>
    <col min="3082" max="3082" width="12.7109375" style="139" customWidth="1"/>
    <col min="3083" max="3083" width="8.7109375" style="139" customWidth="1"/>
    <col min="3084" max="3084" width="8.42578125" style="139" customWidth="1"/>
    <col min="3085" max="3085" width="12.140625" style="139" customWidth="1"/>
    <col min="3086" max="3086" width="9" style="139" customWidth="1"/>
    <col min="3087" max="3087" width="9.140625" style="139" customWidth="1"/>
    <col min="3088" max="3088" width="12" style="139" customWidth="1"/>
    <col min="3089" max="3089" width="7.7109375" style="139" customWidth="1"/>
    <col min="3090" max="3090" width="9.85546875" style="139" customWidth="1"/>
    <col min="3091" max="3091" width="7.5703125" style="139" customWidth="1"/>
    <col min="3092" max="3092" width="7.7109375" style="139" customWidth="1"/>
    <col min="3093" max="3093" width="9.42578125" style="139" customWidth="1"/>
    <col min="3094" max="3094" width="9.5703125" style="139" customWidth="1"/>
    <col min="3095" max="3096" width="8.5703125" style="139" customWidth="1"/>
    <col min="3097" max="3097" width="8.7109375" style="139" customWidth="1"/>
    <col min="3098" max="3098" width="8.85546875" style="139" customWidth="1"/>
    <col min="3099" max="3099" width="8.5703125" style="139" customWidth="1"/>
    <col min="3100" max="3100" width="7.85546875" style="139" customWidth="1"/>
    <col min="3101" max="3102" width="8.7109375" style="139" customWidth="1"/>
    <col min="3103" max="3103" width="8" style="139" customWidth="1"/>
    <col min="3104" max="3104" width="8.42578125" style="139" customWidth="1"/>
    <col min="3105" max="3105" width="8" style="139" customWidth="1"/>
    <col min="3106" max="3106" width="7.85546875" style="139" customWidth="1"/>
    <col min="3107" max="3107" width="8" style="139" customWidth="1"/>
    <col min="3108" max="3108" width="8.28515625" style="139" customWidth="1"/>
    <col min="3109" max="3109" width="8.85546875" style="139" customWidth="1"/>
    <col min="3110" max="3110" width="8.5703125" style="139" customWidth="1"/>
    <col min="3111" max="3112" width="8.7109375" style="139" customWidth="1"/>
    <col min="3113" max="3113" width="7.85546875" style="139" customWidth="1"/>
    <col min="3114" max="3115" width="8.7109375" style="139" customWidth="1"/>
    <col min="3116" max="3116" width="8" style="139" customWidth="1"/>
    <col min="3117" max="3117" width="8.42578125" style="139" customWidth="1"/>
    <col min="3118" max="3118" width="8" style="139" customWidth="1"/>
    <col min="3119" max="3119" width="7.85546875" style="139" customWidth="1"/>
    <col min="3120" max="3120" width="8" style="139" customWidth="1"/>
    <col min="3121" max="3121" width="8.28515625" style="139" customWidth="1"/>
    <col min="3122" max="3122" width="8.85546875" style="139" customWidth="1"/>
    <col min="3123" max="3123" width="8.5703125" style="139" customWidth="1"/>
    <col min="3124" max="3125" width="8.7109375" style="139" customWidth="1"/>
    <col min="3126" max="3126" width="7.85546875" style="139" customWidth="1"/>
    <col min="3127" max="3128" width="8.7109375" style="139" customWidth="1"/>
    <col min="3129" max="3129" width="8" style="139" customWidth="1"/>
    <col min="3130" max="3130" width="8.42578125" style="139" customWidth="1"/>
    <col min="3131" max="3131" width="8" style="139" customWidth="1"/>
    <col min="3132" max="3132" width="7.85546875" style="139" customWidth="1"/>
    <col min="3133" max="3133" width="8" style="139" customWidth="1"/>
    <col min="3134" max="3134" width="8.28515625" style="139" customWidth="1"/>
    <col min="3135" max="3135" width="8.85546875" style="139" customWidth="1"/>
    <col min="3136" max="3136" width="8.5703125" style="139" customWidth="1"/>
    <col min="3137" max="3138" width="8.7109375" style="139" customWidth="1"/>
    <col min="3139" max="3328" width="11.42578125" style="139"/>
    <col min="3329" max="3329" width="32.7109375" style="139" customWidth="1"/>
    <col min="3330" max="3330" width="7.28515625" style="139" customWidth="1"/>
    <col min="3331" max="3331" width="8.42578125" style="139" customWidth="1"/>
    <col min="3332" max="3332" width="12.140625" style="139" customWidth="1"/>
    <col min="3333" max="3333" width="7.5703125" style="139" customWidth="1"/>
    <col min="3334" max="3334" width="9" style="139" customWidth="1"/>
    <col min="3335" max="3335" width="12.42578125" style="139" customWidth="1"/>
    <col min="3336" max="3336" width="7.42578125" style="139" customWidth="1"/>
    <col min="3337" max="3337" width="9.42578125" style="139" customWidth="1"/>
    <col min="3338" max="3338" width="12.7109375" style="139" customWidth="1"/>
    <col min="3339" max="3339" width="8.7109375" style="139" customWidth="1"/>
    <col min="3340" max="3340" width="8.42578125" style="139" customWidth="1"/>
    <col min="3341" max="3341" width="12.140625" style="139" customWidth="1"/>
    <col min="3342" max="3342" width="9" style="139" customWidth="1"/>
    <col min="3343" max="3343" width="9.140625" style="139" customWidth="1"/>
    <col min="3344" max="3344" width="12" style="139" customWidth="1"/>
    <col min="3345" max="3345" width="7.7109375" style="139" customWidth="1"/>
    <col min="3346" max="3346" width="9.85546875" style="139" customWidth="1"/>
    <col min="3347" max="3347" width="7.5703125" style="139" customWidth="1"/>
    <col min="3348" max="3348" width="7.7109375" style="139" customWidth="1"/>
    <col min="3349" max="3349" width="9.42578125" style="139" customWidth="1"/>
    <col min="3350" max="3350" width="9.5703125" style="139" customWidth="1"/>
    <col min="3351" max="3352" width="8.5703125" style="139" customWidth="1"/>
    <col min="3353" max="3353" width="8.7109375" style="139" customWidth="1"/>
    <col min="3354" max="3354" width="8.85546875" style="139" customWidth="1"/>
    <col min="3355" max="3355" width="8.5703125" style="139" customWidth="1"/>
    <col min="3356" max="3356" width="7.85546875" style="139" customWidth="1"/>
    <col min="3357" max="3358" width="8.7109375" style="139" customWidth="1"/>
    <col min="3359" max="3359" width="8" style="139" customWidth="1"/>
    <col min="3360" max="3360" width="8.42578125" style="139" customWidth="1"/>
    <col min="3361" max="3361" width="8" style="139" customWidth="1"/>
    <col min="3362" max="3362" width="7.85546875" style="139" customWidth="1"/>
    <col min="3363" max="3363" width="8" style="139" customWidth="1"/>
    <col min="3364" max="3364" width="8.28515625" style="139" customWidth="1"/>
    <col min="3365" max="3365" width="8.85546875" style="139" customWidth="1"/>
    <col min="3366" max="3366" width="8.5703125" style="139" customWidth="1"/>
    <col min="3367" max="3368" width="8.7109375" style="139" customWidth="1"/>
    <col min="3369" max="3369" width="7.85546875" style="139" customWidth="1"/>
    <col min="3370" max="3371" width="8.7109375" style="139" customWidth="1"/>
    <col min="3372" max="3372" width="8" style="139" customWidth="1"/>
    <col min="3373" max="3373" width="8.42578125" style="139" customWidth="1"/>
    <col min="3374" max="3374" width="8" style="139" customWidth="1"/>
    <col min="3375" max="3375" width="7.85546875" style="139" customWidth="1"/>
    <col min="3376" max="3376" width="8" style="139" customWidth="1"/>
    <col min="3377" max="3377" width="8.28515625" style="139" customWidth="1"/>
    <col min="3378" max="3378" width="8.85546875" style="139" customWidth="1"/>
    <col min="3379" max="3379" width="8.5703125" style="139" customWidth="1"/>
    <col min="3380" max="3381" width="8.7109375" style="139" customWidth="1"/>
    <col min="3382" max="3382" width="7.85546875" style="139" customWidth="1"/>
    <col min="3383" max="3384" width="8.7109375" style="139" customWidth="1"/>
    <col min="3385" max="3385" width="8" style="139" customWidth="1"/>
    <col min="3386" max="3386" width="8.42578125" style="139" customWidth="1"/>
    <col min="3387" max="3387" width="8" style="139" customWidth="1"/>
    <col min="3388" max="3388" width="7.85546875" style="139" customWidth="1"/>
    <col min="3389" max="3389" width="8" style="139" customWidth="1"/>
    <col min="3390" max="3390" width="8.28515625" style="139" customWidth="1"/>
    <col min="3391" max="3391" width="8.85546875" style="139" customWidth="1"/>
    <col min="3392" max="3392" width="8.5703125" style="139" customWidth="1"/>
    <col min="3393" max="3394" width="8.7109375" style="139" customWidth="1"/>
    <col min="3395" max="3584" width="11.42578125" style="139"/>
    <col min="3585" max="3585" width="32.7109375" style="139" customWidth="1"/>
    <col min="3586" max="3586" width="7.28515625" style="139" customWidth="1"/>
    <col min="3587" max="3587" width="8.42578125" style="139" customWidth="1"/>
    <col min="3588" max="3588" width="12.140625" style="139" customWidth="1"/>
    <col min="3589" max="3589" width="7.5703125" style="139" customWidth="1"/>
    <col min="3590" max="3590" width="9" style="139" customWidth="1"/>
    <col min="3591" max="3591" width="12.42578125" style="139" customWidth="1"/>
    <col min="3592" max="3592" width="7.42578125" style="139" customWidth="1"/>
    <col min="3593" max="3593" width="9.42578125" style="139" customWidth="1"/>
    <col min="3594" max="3594" width="12.7109375" style="139" customWidth="1"/>
    <col min="3595" max="3595" width="8.7109375" style="139" customWidth="1"/>
    <col min="3596" max="3596" width="8.42578125" style="139" customWidth="1"/>
    <col min="3597" max="3597" width="12.140625" style="139" customWidth="1"/>
    <col min="3598" max="3598" width="9" style="139" customWidth="1"/>
    <col min="3599" max="3599" width="9.140625" style="139" customWidth="1"/>
    <col min="3600" max="3600" width="12" style="139" customWidth="1"/>
    <col min="3601" max="3601" width="7.7109375" style="139" customWidth="1"/>
    <col min="3602" max="3602" width="9.85546875" style="139" customWidth="1"/>
    <col min="3603" max="3603" width="7.5703125" style="139" customWidth="1"/>
    <col min="3604" max="3604" width="7.7109375" style="139" customWidth="1"/>
    <col min="3605" max="3605" width="9.42578125" style="139" customWidth="1"/>
    <col min="3606" max="3606" width="9.5703125" style="139" customWidth="1"/>
    <col min="3607" max="3608" width="8.5703125" style="139" customWidth="1"/>
    <col min="3609" max="3609" width="8.7109375" style="139" customWidth="1"/>
    <col min="3610" max="3610" width="8.85546875" style="139" customWidth="1"/>
    <col min="3611" max="3611" width="8.5703125" style="139" customWidth="1"/>
    <col min="3612" max="3612" width="7.85546875" style="139" customWidth="1"/>
    <col min="3613" max="3614" width="8.7109375" style="139" customWidth="1"/>
    <col min="3615" max="3615" width="8" style="139" customWidth="1"/>
    <col min="3616" max="3616" width="8.42578125" style="139" customWidth="1"/>
    <col min="3617" max="3617" width="8" style="139" customWidth="1"/>
    <col min="3618" max="3618" width="7.85546875" style="139" customWidth="1"/>
    <col min="3619" max="3619" width="8" style="139" customWidth="1"/>
    <col min="3620" max="3620" width="8.28515625" style="139" customWidth="1"/>
    <col min="3621" max="3621" width="8.85546875" style="139" customWidth="1"/>
    <col min="3622" max="3622" width="8.5703125" style="139" customWidth="1"/>
    <col min="3623" max="3624" width="8.7109375" style="139" customWidth="1"/>
    <col min="3625" max="3625" width="7.85546875" style="139" customWidth="1"/>
    <col min="3626" max="3627" width="8.7109375" style="139" customWidth="1"/>
    <col min="3628" max="3628" width="8" style="139" customWidth="1"/>
    <col min="3629" max="3629" width="8.42578125" style="139" customWidth="1"/>
    <col min="3630" max="3630" width="8" style="139" customWidth="1"/>
    <col min="3631" max="3631" width="7.85546875" style="139" customWidth="1"/>
    <col min="3632" max="3632" width="8" style="139" customWidth="1"/>
    <col min="3633" max="3633" width="8.28515625" style="139" customWidth="1"/>
    <col min="3634" max="3634" width="8.85546875" style="139" customWidth="1"/>
    <col min="3635" max="3635" width="8.5703125" style="139" customWidth="1"/>
    <col min="3636" max="3637" width="8.7109375" style="139" customWidth="1"/>
    <col min="3638" max="3638" width="7.85546875" style="139" customWidth="1"/>
    <col min="3639" max="3640" width="8.7109375" style="139" customWidth="1"/>
    <col min="3641" max="3641" width="8" style="139" customWidth="1"/>
    <col min="3642" max="3642" width="8.42578125" style="139" customWidth="1"/>
    <col min="3643" max="3643" width="8" style="139" customWidth="1"/>
    <col min="3644" max="3644" width="7.85546875" style="139" customWidth="1"/>
    <col min="3645" max="3645" width="8" style="139" customWidth="1"/>
    <col min="3646" max="3646" width="8.28515625" style="139" customWidth="1"/>
    <col min="3647" max="3647" width="8.85546875" style="139" customWidth="1"/>
    <col min="3648" max="3648" width="8.5703125" style="139" customWidth="1"/>
    <col min="3649" max="3650" width="8.7109375" style="139" customWidth="1"/>
    <col min="3651" max="3840" width="11.42578125" style="139"/>
    <col min="3841" max="3841" width="32.7109375" style="139" customWidth="1"/>
    <col min="3842" max="3842" width="7.28515625" style="139" customWidth="1"/>
    <col min="3843" max="3843" width="8.42578125" style="139" customWidth="1"/>
    <col min="3844" max="3844" width="12.140625" style="139" customWidth="1"/>
    <col min="3845" max="3845" width="7.5703125" style="139" customWidth="1"/>
    <col min="3846" max="3846" width="9" style="139" customWidth="1"/>
    <col min="3847" max="3847" width="12.42578125" style="139" customWidth="1"/>
    <col min="3848" max="3848" width="7.42578125" style="139" customWidth="1"/>
    <col min="3849" max="3849" width="9.42578125" style="139" customWidth="1"/>
    <col min="3850" max="3850" width="12.7109375" style="139" customWidth="1"/>
    <col min="3851" max="3851" width="8.7109375" style="139" customWidth="1"/>
    <col min="3852" max="3852" width="8.42578125" style="139" customWidth="1"/>
    <col min="3853" max="3853" width="12.140625" style="139" customWidth="1"/>
    <col min="3854" max="3854" width="9" style="139" customWidth="1"/>
    <col min="3855" max="3855" width="9.140625" style="139" customWidth="1"/>
    <col min="3856" max="3856" width="12" style="139" customWidth="1"/>
    <col min="3857" max="3857" width="7.7109375" style="139" customWidth="1"/>
    <col min="3858" max="3858" width="9.85546875" style="139" customWidth="1"/>
    <col min="3859" max="3859" width="7.5703125" style="139" customWidth="1"/>
    <col min="3860" max="3860" width="7.7109375" style="139" customWidth="1"/>
    <col min="3861" max="3861" width="9.42578125" style="139" customWidth="1"/>
    <col min="3862" max="3862" width="9.5703125" style="139" customWidth="1"/>
    <col min="3863" max="3864" width="8.5703125" style="139" customWidth="1"/>
    <col min="3865" max="3865" width="8.7109375" style="139" customWidth="1"/>
    <col min="3866" max="3866" width="8.85546875" style="139" customWidth="1"/>
    <col min="3867" max="3867" width="8.5703125" style="139" customWidth="1"/>
    <col min="3868" max="3868" width="7.85546875" style="139" customWidth="1"/>
    <col min="3869" max="3870" width="8.7109375" style="139" customWidth="1"/>
    <col min="3871" max="3871" width="8" style="139" customWidth="1"/>
    <col min="3872" max="3872" width="8.42578125" style="139" customWidth="1"/>
    <col min="3873" max="3873" width="8" style="139" customWidth="1"/>
    <col min="3874" max="3874" width="7.85546875" style="139" customWidth="1"/>
    <col min="3875" max="3875" width="8" style="139" customWidth="1"/>
    <col min="3876" max="3876" width="8.28515625" style="139" customWidth="1"/>
    <col min="3877" max="3877" width="8.85546875" style="139" customWidth="1"/>
    <col min="3878" max="3878" width="8.5703125" style="139" customWidth="1"/>
    <col min="3879" max="3880" width="8.7109375" style="139" customWidth="1"/>
    <col min="3881" max="3881" width="7.85546875" style="139" customWidth="1"/>
    <col min="3882" max="3883" width="8.7109375" style="139" customWidth="1"/>
    <col min="3884" max="3884" width="8" style="139" customWidth="1"/>
    <col min="3885" max="3885" width="8.42578125" style="139" customWidth="1"/>
    <col min="3886" max="3886" width="8" style="139" customWidth="1"/>
    <col min="3887" max="3887" width="7.85546875" style="139" customWidth="1"/>
    <col min="3888" max="3888" width="8" style="139" customWidth="1"/>
    <col min="3889" max="3889" width="8.28515625" style="139" customWidth="1"/>
    <col min="3890" max="3890" width="8.85546875" style="139" customWidth="1"/>
    <col min="3891" max="3891" width="8.5703125" style="139" customWidth="1"/>
    <col min="3892" max="3893" width="8.7109375" style="139" customWidth="1"/>
    <col min="3894" max="3894" width="7.85546875" style="139" customWidth="1"/>
    <col min="3895" max="3896" width="8.7109375" style="139" customWidth="1"/>
    <col min="3897" max="3897" width="8" style="139" customWidth="1"/>
    <col min="3898" max="3898" width="8.42578125" style="139" customWidth="1"/>
    <col min="3899" max="3899" width="8" style="139" customWidth="1"/>
    <col min="3900" max="3900" width="7.85546875" style="139" customWidth="1"/>
    <col min="3901" max="3901" width="8" style="139" customWidth="1"/>
    <col min="3902" max="3902" width="8.28515625" style="139" customWidth="1"/>
    <col min="3903" max="3903" width="8.85546875" style="139" customWidth="1"/>
    <col min="3904" max="3904" width="8.5703125" style="139" customWidth="1"/>
    <col min="3905" max="3906" width="8.7109375" style="139" customWidth="1"/>
    <col min="3907" max="4096" width="11.42578125" style="139"/>
    <col min="4097" max="4097" width="32.7109375" style="139" customWidth="1"/>
    <col min="4098" max="4098" width="7.28515625" style="139" customWidth="1"/>
    <col min="4099" max="4099" width="8.42578125" style="139" customWidth="1"/>
    <col min="4100" max="4100" width="12.140625" style="139" customWidth="1"/>
    <col min="4101" max="4101" width="7.5703125" style="139" customWidth="1"/>
    <col min="4102" max="4102" width="9" style="139" customWidth="1"/>
    <col min="4103" max="4103" width="12.42578125" style="139" customWidth="1"/>
    <col min="4104" max="4104" width="7.42578125" style="139" customWidth="1"/>
    <col min="4105" max="4105" width="9.42578125" style="139" customWidth="1"/>
    <col min="4106" max="4106" width="12.7109375" style="139" customWidth="1"/>
    <col min="4107" max="4107" width="8.7109375" style="139" customWidth="1"/>
    <col min="4108" max="4108" width="8.42578125" style="139" customWidth="1"/>
    <col min="4109" max="4109" width="12.140625" style="139" customWidth="1"/>
    <col min="4110" max="4110" width="9" style="139" customWidth="1"/>
    <col min="4111" max="4111" width="9.140625" style="139" customWidth="1"/>
    <col min="4112" max="4112" width="12" style="139" customWidth="1"/>
    <col min="4113" max="4113" width="7.7109375" style="139" customWidth="1"/>
    <col min="4114" max="4114" width="9.85546875" style="139" customWidth="1"/>
    <col min="4115" max="4115" width="7.5703125" style="139" customWidth="1"/>
    <col min="4116" max="4116" width="7.7109375" style="139" customWidth="1"/>
    <col min="4117" max="4117" width="9.42578125" style="139" customWidth="1"/>
    <col min="4118" max="4118" width="9.5703125" style="139" customWidth="1"/>
    <col min="4119" max="4120" width="8.5703125" style="139" customWidth="1"/>
    <col min="4121" max="4121" width="8.7109375" style="139" customWidth="1"/>
    <col min="4122" max="4122" width="8.85546875" style="139" customWidth="1"/>
    <col min="4123" max="4123" width="8.5703125" style="139" customWidth="1"/>
    <col min="4124" max="4124" width="7.85546875" style="139" customWidth="1"/>
    <col min="4125" max="4126" width="8.7109375" style="139" customWidth="1"/>
    <col min="4127" max="4127" width="8" style="139" customWidth="1"/>
    <col min="4128" max="4128" width="8.42578125" style="139" customWidth="1"/>
    <col min="4129" max="4129" width="8" style="139" customWidth="1"/>
    <col min="4130" max="4130" width="7.85546875" style="139" customWidth="1"/>
    <col min="4131" max="4131" width="8" style="139" customWidth="1"/>
    <col min="4132" max="4132" width="8.28515625" style="139" customWidth="1"/>
    <col min="4133" max="4133" width="8.85546875" style="139" customWidth="1"/>
    <col min="4134" max="4134" width="8.5703125" style="139" customWidth="1"/>
    <col min="4135" max="4136" width="8.7109375" style="139" customWidth="1"/>
    <col min="4137" max="4137" width="7.85546875" style="139" customWidth="1"/>
    <col min="4138" max="4139" width="8.7109375" style="139" customWidth="1"/>
    <col min="4140" max="4140" width="8" style="139" customWidth="1"/>
    <col min="4141" max="4141" width="8.42578125" style="139" customWidth="1"/>
    <col min="4142" max="4142" width="8" style="139" customWidth="1"/>
    <col min="4143" max="4143" width="7.85546875" style="139" customWidth="1"/>
    <col min="4144" max="4144" width="8" style="139" customWidth="1"/>
    <col min="4145" max="4145" width="8.28515625" style="139" customWidth="1"/>
    <col min="4146" max="4146" width="8.85546875" style="139" customWidth="1"/>
    <col min="4147" max="4147" width="8.5703125" style="139" customWidth="1"/>
    <col min="4148" max="4149" width="8.7109375" style="139" customWidth="1"/>
    <col min="4150" max="4150" width="7.85546875" style="139" customWidth="1"/>
    <col min="4151" max="4152" width="8.7109375" style="139" customWidth="1"/>
    <col min="4153" max="4153" width="8" style="139" customWidth="1"/>
    <col min="4154" max="4154" width="8.42578125" style="139" customWidth="1"/>
    <col min="4155" max="4155" width="8" style="139" customWidth="1"/>
    <col min="4156" max="4156" width="7.85546875" style="139" customWidth="1"/>
    <col min="4157" max="4157" width="8" style="139" customWidth="1"/>
    <col min="4158" max="4158" width="8.28515625" style="139" customWidth="1"/>
    <col min="4159" max="4159" width="8.85546875" style="139" customWidth="1"/>
    <col min="4160" max="4160" width="8.5703125" style="139" customWidth="1"/>
    <col min="4161" max="4162" width="8.7109375" style="139" customWidth="1"/>
    <col min="4163" max="4352" width="11.42578125" style="139"/>
    <col min="4353" max="4353" width="32.7109375" style="139" customWidth="1"/>
    <col min="4354" max="4354" width="7.28515625" style="139" customWidth="1"/>
    <col min="4355" max="4355" width="8.42578125" style="139" customWidth="1"/>
    <col min="4356" max="4356" width="12.140625" style="139" customWidth="1"/>
    <col min="4357" max="4357" width="7.5703125" style="139" customWidth="1"/>
    <col min="4358" max="4358" width="9" style="139" customWidth="1"/>
    <col min="4359" max="4359" width="12.42578125" style="139" customWidth="1"/>
    <col min="4360" max="4360" width="7.42578125" style="139" customWidth="1"/>
    <col min="4361" max="4361" width="9.42578125" style="139" customWidth="1"/>
    <col min="4362" max="4362" width="12.7109375" style="139" customWidth="1"/>
    <col min="4363" max="4363" width="8.7109375" style="139" customWidth="1"/>
    <col min="4364" max="4364" width="8.42578125" style="139" customWidth="1"/>
    <col min="4365" max="4365" width="12.140625" style="139" customWidth="1"/>
    <col min="4366" max="4366" width="9" style="139" customWidth="1"/>
    <col min="4367" max="4367" width="9.140625" style="139" customWidth="1"/>
    <col min="4368" max="4368" width="12" style="139" customWidth="1"/>
    <col min="4369" max="4369" width="7.7109375" style="139" customWidth="1"/>
    <col min="4370" max="4370" width="9.85546875" style="139" customWidth="1"/>
    <col min="4371" max="4371" width="7.5703125" style="139" customWidth="1"/>
    <col min="4372" max="4372" width="7.7109375" style="139" customWidth="1"/>
    <col min="4373" max="4373" width="9.42578125" style="139" customWidth="1"/>
    <col min="4374" max="4374" width="9.5703125" style="139" customWidth="1"/>
    <col min="4375" max="4376" width="8.5703125" style="139" customWidth="1"/>
    <col min="4377" max="4377" width="8.7109375" style="139" customWidth="1"/>
    <col min="4378" max="4378" width="8.85546875" style="139" customWidth="1"/>
    <col min="4379" max="4379" width="8.5703125" style="139" customWidth="1"/>
    <col min="4380" max="4380" width="7.85546875" style="139" customWidth="1"/>
    <col min="4381" max="4382" width="8.7109375" style="139" customWidth="1"/>
    <col min="4383" max="4383" width="8" style="139" customWidth="1"/>
    <col min="4384" max="4384" width="8.42578125" style="139" customWidth="1"/>
    <col min="4385" max="4385" width="8" style="139" customWidth="1"/>
    <col min="4386" max="4386" width="7.85546875" style="139" customWidth="1"/>
    <col min="4387" max="4387" width="8" style="139" customWidth="1"/>
    <col min="4388" max="4388" width="8.28515625" style="139" customWidth="1"/>
    <col min="4389" max="4389" width="8.85546875" style="139" customWidth="1"/>
    <col min="4390" max="4390" width="8.5703125" style="139" customWidth="1"/>
    <col min="4391" max="4392" width="8.7109375" style="139" customWidth="1"/>
    <col min="4393" max="4393" width="7.85546875" style="139" customWidth="1"/>
    <col min="4394" max="4395" width="8.7109375" style="139" customWidth="1"/>
    <col min="4396" max="4396" width="8" style="139" customWidth="1"/>
    <col min="4397" max="4397" width="8.42578125" style="139" customWidth="1"/>
    <col min="4398" max="4398" width="8" style="139" customWidth="1"/>
    <col min="4399" max="4399" width="7.85546875" style="139" customWidth="1"/>
    <col min="4400" max="4400" width="8" style="139" customWidth="1"/>
    <col min="4401" max="4401" width="8.28515625" style="139" customWidth="1"/>
    <col min="4402" max="4402" width="8.85546875" style="139" customWidth="1"/>
    <col min="4403" max="4403" width="8.5703125" style="139" customWidth="1"/>
    <col min="4404" max="4405" width="8.7109375" style="139" customWidth="1"/>
    <col min="4406" max="4406" width="7.85546875" style="139" customWidth="1"/>
    <col min="4407" max="4408" width="8.7109375" style="139" customWidth="1"/>
    <col min="4409" max="4409" width="8" style="139" customWidth="1"/>
    <col min="4410" max="4410" width="8.42578125" style="139" customWidth="1"/>
    <col min="4411" max="4411" width="8" style="139" customWidth="1"/>
    <col min="4412" max="4412" width="7.85546875" style="139" customWidth="1"/>
    <col min="4413" max="4413" width="8" style="139" customWidth="1"/>
    <col min="4414" max="4414" width="8.28515625" style="139" customWidth="1"/>
    <col min="4415" max="4415" width="8.85546875" style="139" customWidth="1"/>
    <col min="4416" max="4416" width="8.5703125" style="139" customWidth="1"/>
    <col min="4417" max="4418" width="8.7109375" style="139" customWidth="1"/>
    <col min="4419" max="4608" width="11.42578125" style="139"/>
    <col min="4609" max="4609" width="32.7109375" style="139" customWidth="1"/>
    <col min="4610" max="4610" width="7.28515625" style="139" customWidth="1"/>
    <col min="4611" max="4611" width="8.42578125" style="139" customWidth="1"/>
    <col min="4612" max="4612" width="12.140625" style="139" customWidth="1"/>
    <col min="4613" max="4613" width="7.5703125" style="139" customWidth="1"/>
    <col min="4614" max="4614" width="9" style="139" customWidth="1"/>
    <col min="4615" max="4615" width="12.42578125" style="139" customWidth="1"/>
    <col min="4616" max="4616" width="7.42578125" style="139" customWidth="1"/>
    <col min="4617" max="4617" width="9.42578125" style="139" customWidth="1"/>
    <col min="4618" max="4618" width="12.7109375" style="139" customWidth="1"/>
    <col min="4619" max="4619" width="8.7109375" style="139" customWidth="1"/>
    <col min="4620" max="4620" width="8.42578125" style="139" customWidth="1"/>
    <col min="4621" max="4621" width="12.140625" style="139" customWidth="1"/>
    <col min="4622" max="4622" width="9" style="139" customWidth="1"/>
    <col min="4623" max="4623" width="9.140625" style="139" customWidth="1"/>
    <col min="4624" max="4624" width="12" style="139" customWidth="1"/>
    <col min="4625" max="4625" width="7.7109375" style="139" customWidth="1"/>
    <col min="4626" max="4626" width="9.85546875" style="139" customWidth="1"/>
    <col min="4627" max="4627" width="7.5703125" style="139" customWidth="1"/>
    <col min="4628" max="4628" width="7.7109375" style="139" customWidth="1"/>
    <col min="4629" max="4629" width="9.42578125" style="139" customWidth="1"/>
    <col min="4630" max="4630" width="9.5703125" style="139" customWidth="1"/>
    <col min="4631" max="4632" width="8.5703125" style="139" customWidth="1"/>
    <col min="4633" max="4633" width="8.7109375" style="139" customWidth="1"/>
    <col min="4634" max="4634" width="8.85546875" style="139" customWidth="1"/>
    <col min="4635" max="4635" width="8.5703125" style="139" customWidth="1"/>
    <col min="4636" max="4636" width="7.85546875" style="139" customWidth="1"/>
    <col min="4637" max="4638" width="8.7109375" style="139" customWidth="1"/>
    <col min="4639" max="4639" width="8" style="139" customWidth="1"/>
    <col min="4640" max="4640" width="8.42578125" style="139" customWidth="1"/>
    <col min="4641" max="4641" width="8" style="139" customWidth="1"/>
    <col min="4642" max="4642" width="7.85546875" style="139" customWidth="1"/>
    <col min="4643" max="4643" width="8" style="139" customWidth="1"/>
    <col min="4644" max="4644" width="8.28515625" style="139" customWidth="1"/>
    <col min="4645" max="4645" width="8.85546875" style="139" customWidth="1"/>
    <col min="4646" max="4646" width="8.5703125" style="139" customWidth="1"/>
    <col min="4647" max="4648" width="8.7109375" style="139" customWidth="1"/>
    <col min="4649" max="4649" width="7.85546875" style="139" customWidth="1"/>
    <col min="4650" max="4651" width="8.7109375" style="139" customWidth="1"/>
    <col min="4652" max="4652" width="8" style="139" customWidth="1"/>
    <col min="4653" max="4653" width="8.42578125" style="139" customWidth="1"/>
    <col min="4654" max="4654" width="8" style="139" customWidth="1"/>
    <col min="4655" max="4655" width="7.85546875" style="139" customWidth="1"/>
    <col min="4656" max="4656" width="8" style="139" customWidth="1"/>
    <col min="4657" max="4657" width="8.28515625" style="139" customWidth="1"/>
    <col min="4658" max="4658" width="8.85546875" style="139" customWidth="1"/>
    <col min="4659" max="4659" width="8.5703125" style="139" customWidth="1"/>
    <col min="4660" max="4661" width="8.7109375" style="139" customWidth="1"/>
    <col min="4662" max="4662" width="7.85546875" style="139" customWidth="1"/>
    <col min="4663" max="4664" width="8.7109375" style="139" customWidth="1"/>
    <col min="4665" max="4665" width="8" style="139" customWidth="1"/>
    <col min="4666" max="4666" width="8.42578125" style="139" customWidth="1"/>
    <col min="4667" max="4667" width="8" style="139" customWidth="1"/>
    <col min="4668" max="4668" width="7.85546875" style="139" customWidth="1"/>
    <col min="4669" max="4669" width="8" style="139" customWidth="1"/>
    <col min="4670" max="4670" width="8.28515625" style="139" customWidth="1"/>
    <col min="4671" max="4671" width="8.85546875" style="139" customWidth="1"/>
    <col min="4672" max="4672" width="8.5703125" style="139" customWidth="1"/>
    <col min="4673" max="4674" width="8.7109375" style="139" customWidth="1"/>
    <col min="4675" max="4864" width="11.42578125" style="139"/>
    <col min="4865" max="4865" width="32.7109375" style="139" customWidth="1"/>
    <col min="4866" max="4866" width="7.28515625" style="139" customWidth="1"/>
    <col min="4867" max="4867" width="8.42578125" style="139" customWidth="1"/>
    <col min="4868" max="4868" width="12.140625" style="139" customWidth="1"/>
    <col min="4869" max="4869" width="7.5703125" style="139" customWidth="1"/>
    <col min="4870" max="4870" width="9" style="139" customWidth="1"/>
    <col min="4871" max="4871" width="12.42578125" style="139" customWidth="1"/>
    <col min="4872" max="4872" width="7.42578125" style="139" customWidth="1"/>
    <col min="4873" max="4873" width="9.42578125" style="139" customWidth="1"/>
    <col min="4874" max="4874" width="12.7109375" style="139" customWidth="1"/>
    <col min="4875" max="4875" width="8.7109375" style="139" customWidth="1"/>
    <col min="4876" max="4876" width="8.42578125" style="139" customWidth="1"/>
    <col min="4877" max="4877" width="12.140625" style="139" customWidth="1"/>
    <col min="4878" max="4878" width="9" style="139" customWidth="1"/>
    <col min="4879" max="4879" width="9.140625" style="139" customWidth="1"/>
    <col min="4880" max="4880" width="12" style="139" customWidth="1"/>
    <col min="4881" max="4881" width="7.7109375" style="139" customWidth="1"/>
    <col min="4882" max="4882" width="9.85546875" style="139" customWidth="1"/>
    <col min="4883" max="4883" width="7.5703125" style="139" customWidth="1"/>
    <col min="4884" max="4884" width="7.7109375" style="139" customWidth="1"/>
    <col min="4885" max="4885" width="9.42578125" style="139" customWidth="1"/>
    <col min="4886" max="4886" width="9.5703125" style="139" customWidth="1"/>
    <col min="4887" max="4888" width="8.5703125" style="139" customWidth="1"/>
    <col min="4889" max="4889" width="8.7109375" style="139" customWidth="1"/>
    <col min="4890" max="4890" width="8.85546875" style="139" customWidth="1"/>
    <col min="4891" max="4891" width="8.5703125" style="139" customWidth="1"/>
    <col min="4892" max="4892" width="7.85546875" style="139" customWidth="1"/>
    <col min="4893" max="4894" width="8.7109375" style="139" customWidth="1"/>
    <col min="4895" max="4895" width="8" style="139" customWidth="1"/>
    <col min="4896" max="4896" width="8.42578125" style="139" customWidth="1"/>
    <col min="4897" max="4897" width="8" style="139" customWidth="1"/>
    <col min="4898" max="4898" width="7.85546875" style="139" customWidth="1"/>
    <col min="4899" max="4899" width="8" style="139" customWidth="1"/>
    <col min="4900" max="4900" width="8.28515625" style="139" customWidth="1"/>
    <col min="4901" max="4901" width="8.85546875" style="139" customWidth="1"/>
    <col min="4902" max="4902" width="8.5703125" style="139" customWidth="1"/>
    <col min="4903" max="4904" width="8.7109375" style="139" customWidth="1"/>
    <col min="4905" max="4905" width="7.85546875" style="139" customWidth="1"/>
    <col min="4906" max="4907" width="8.7109375" style="139" customWidth="1"/>
    <col min="4908" max="4908" width="8" style="139" customWidth="1"/>
    <col min="4909" max="4909" width="8.42578125" style="139" customWidth="1"/>
    <col min="4910" max="4910" width="8" style="139" customWidth="1"/>
    <col min="4911" max="4911" width="7.85546875" style="139" customWidth="1"/>
    <col min="4912" max="4912" width="8" style="139" customWidth="1"/>
    <col min="4913" max="4913" width="8.28515625" style="139" customWidth="1"/>
    <col min="4914" max="4914" width="8.85546875" style="139" customWidth="1"/>
    <col min="4915" max="4915" width="8.5703125" style="139" customWidth="1"/>
    <col min="4916" max="4917" width="8.7109375" style="139" customWidth="1"/>
    <col min="4918" max="4918" width="7.85546875" style="139" customWidth="1"/>
    <col min="4919" max="4920" width="8.7109375" style="139" customWidth="1"/>
    <col min="4921" max="4921" width="8" style="139" customWidth="1"/>
    <col min="4922" max="4922" width="8.42578125" style="139" customWidth="1"/>
    <col min="4923" max="4923" width="8" style="139" customWidth="1"/>
    <col min="4924" max="4924" width="7.85546875" style="139" customWidth="1"/>
    <col min="4925" max="4925" width="8" style="139" customWidth="1"/>
    <col min="4926" max="4926" width="8.28515625" style="139" customWidth="1"/>
    <col min="4927" max="4927" width="8.85546875" style="139" customWidth="1"/>
    <col min="4928" max="4928" width="8.5703125" style="139" customWidth="1"/>
    <col min="4929" max="4930" width="8.7109375" style="139" customWidth="1"/>
    <col min="4931" max="5120" width="11.42578125" style="139"/>
    <col min="5121" max="5121" width="32.7109375" style="139" customWidth="1"/>
    <col min="5122" max="5122" width="7.28515625" style="139" customWidth="1"/>
    <col min="5123" max="5123" width="8.42578125" style="139" customWidth="1"/>
    <col min="5124" max="5124" width="12.140625" style="139" customWidth="1"/>
    <col min="5125" max="5125" width="7.5703125" style="139" customWidth="1"/>
    <col min="5126" max="5126" width="9" style="139" customWidth="1"/>
    <col min="5127" max="5127" width="12.42578125" style="139" customWidth="1"/>
    <col min="5128" max="5128" width="7.42578125" style="139" customWidth="1"/>
    <col min="5129" max="5129" width="9.42578125" style="139" customWidth="1"/>
    <col min="5130" max="5130" width="12.7109375" style="139" customWidth="1"/>
    <col min="5131" max="5131" width="8.7109375" style="139" customWidth="1"/>
    <col min="5132" max="5132" width="8.42578125" style="139" customWidth="1"/>
    <col min="5133" max="5133" width="12.140625" style="139" customWidth="1"/>
    <col min="5134" max="5134" width="9" style="139" customWidth="1"/>
    <col min="5135" max="5135" width="9.140625" style="139" customWidth="1"/>
    <col min="5136" max="5136" width="12" style="139" customWidth="1"/>
    <col min="5137" max="5137" width="7.7109375" style="139" customWidth="1"/>
    <col min="5138" max="5138" width="9.85546875" style="139" customWidth="1"/>
    <col min="5139" max="5139" width="7.5703125" style="139" customWidth="1"/>
    <col min="5140" max="5140" width="7.7109375" style="139" customWidth="1"/>
    <col min="5141" max="5141" width="9.42578125" style="139" customWidth="1"/>
    <col min="5142" max="5142" width="9.5703125" style="139" customWidth="1"/>
    <col min="5143" max="5144" width="8.5703125" style="139" customWidth="1"/>
    <col min="5145" max="5145" width="8.7109375" style="139" customWidth="1"/>
    <col min="5146" max="5146" width="8.85546875" style="139" customWidth="1"/>
    <col min="5147" max="5147" width="8.5703125" style="139" customWidth="1"/>
    <col min="5148" max="5148" width="7.85546875" style="139" customWidth="1"/>
    <col min="5149" max="5150" width="8.7109375" style="139" customWidth="1"/>
    <col min="5151" max="5151" width="8" style="139" customWidth="1"/>
    <col min="5152" max="5152" width="8.42578125" style="139" customWidth="1"/>
    <col min="5153" max="5153" width="8" style="139" customWidth="1"/>
    <col min="5154" max="5154" width="7.85546875" style="139" customWidth="1"/>
    <col min="5155" max="5155" width="8" style="139" customWidth="1"/>
    <col min="5156" max="5156" width="8.28515625" style="139" customWidth="1"/>
    <col min="5157" max="5157" width="8.85546875" style="139" customWidth="1"/>
    <col min="5158" max="5158" width="8.5703125" style="139" customWidth="1"/>
    <col min="5159" max="5160" width="8.7109375" style="139" customWidth="1"/>
    <col min="5161" max="5161" width="7.85546875" style="139" customWidth="1"/>
    <col min="5162" max="5163" width="8.7109375" style="139" customWidth="1"/>
    <col min="5164" max="5164" width="8" style="139" customWidth="1"/>
    <col min="5165" max="5165" width="8.42578125" style="139" customWidth="1"/>
    <col min="5166" max="5166" width="8" style="139" customWidth="1"/>
    <col min="5167" max="5167" width="7.85546875" style="139" customWidth="1"/>
    <col min="5168" max="5168" width="8" style="139" customWidth="1"/>
    <col min="5169" max="5169" width="8.28515625" style="139" customWidth="1"/>
    <col min="5170" max="5170" width="8.85546875" style="139" customWidth="1"/>
    <col min="5171" max="5171" width="8.5703125" style="139" customWidth="1"/>
    <col min="5172" max="5173" width="8.7109375" style="139" customWidth="1"/>
    <col min="5174" max="5174" width="7.85546875" style="139" customWidth="1"/>
    <col min="5175" max="5176" width="8.7109375" style="139" customWidth="1"/>
    <col min="5177" max="5177" width="8" style="139" customWidth="1"/>
    <col min="5178" max="5178" width="8.42578125" style="139" customWidth="1"/>
    <col min="5179" max="5179" width="8" style="139" customWidth="1"/>
    <col min="5180" max="5180" width="7.85546875" style="139" customWidth="1"/>
    <col min="5181" max="5181" width="8" style="139" customWidth="1"/>
    <col min="5182" max="5182" width="8.28515625" style="139" customWidth="1"/>
    <col min="5183" max="5183" width="8.85546875" style="139" customWidth="1"/>
    <col min="5184" max="5184" width="8.5703125" style="139" customWidth="1"/>
    <col min="5185" max="5186" width="8.7109375" style="139" customWidth="1"/>
    <col min="5187" max="5376" width="11.42578125" style="139"/>
    <col min="5377" max="5377" width="32.7109375" style="139" customWidth="1"/>
    <col min="5378" max="5378" width="7.28515625" style="139" customWidth="1"/>
    <col min="5379" max="5379" width="8.42578125" style="139" customWidth="1"/>
    <col min="5380" max="5380" width="12.140625" style="139" customWidth="1"/>
    <col min="5381" max="5381" width="7.5703125" style="139" customWidth="1"/>
    <col min="5382" max="5382" width="9" style="139" customWidth="1"/>
    <col min="5383" max="5383" width="12.42578125" style="139" customWidth="1"/>
    <col min="5384" max="5384" width="7.42578125" style="139" customWidth="1"/>
    <col min="5385" max="5385" width="9.42578125" style="139" customWidth="1"/>
    <col min="5386" max="5386" width="12.7109375" style="139" customWidth="1"/>
    <col min="5387" max="5387" width="8.7109375" style="139" customWidth="1"/>
    <col min="5388" max="5388" width="8.42578125" style="139" customWidth="1"/>
    <col min="5389" max="5389" width="12.140625" style="139" customWidth="1"/>
    <col min="5390" max="5390" width="9" style="139" customWidth="1"/>
    <col min="5391" max="5391" width="9.140625" style="139" customWidth="1"/>
    <col min="5392" max="5392" width="12" style="139" customWidth="1"/>
    <col min="5393" max="5393" width="7.7109375" style="139" customWidth="1"/>
    <col min="5394" max="5394" width="9.85546875" style="139" customWidth="1"/>
    <col min="5395" max="5395" width="7.5703125" style="139" customWidth="1"/>
    <col min="5396" max="5396" width="7.7109375" style="139" customWidth="1"/>
    <col min="5397" max="5397" width="9.42578125" style="139" customWidth="1"/>
    <col min="5398" max="5398" width="9.5703125" style="139" customWidth="1"/>
    <col min="5399" max="5400" width="8.5703125" style="139" customWidth="1"/>
    <col min="5401" max="5401" width="8.7109375" style="139" customWidth="1"/>
    <col min="5402" max="5402" width="8.85546875" style="139" customWidth="1"/>
    <col min="5403" max="5403" width="8.5703125" style="139" customWidth="1"/>
    <col min="5404" max="5404" width="7.85546875" style="139" customWidth="1"/>
    <col min="5405" max="5406" width="8.7109375" style="139" customWidth="1"/>
    <col min="5407" max="5407" width="8" style="139" customWidth="1"/>
    <col min="5408" max="5408" width="8.42578125" style="139" customWidth="1"/>
    <col min="5409" max="5409" width="8" style="139" customWidth="1"/>
    <col min="5410" max="5410" width="7.85546875" style="139" customWidth="1"/>
    <col min="5411" max="5411" width="8" style="139" customWidth="1"/>
    <col min="5412" max="5412" width="8.28515625" style="139" customWidth="1"/>
    <col min="5413" max="5413" width="8.85546875" style="139" customWidth="1"/>
    <col min="5414" max="5414" width="8.5703125" style="139" customWidth="1"/>
    <col min="5415" max="5416" width="8.7109375" style="139" customWidth="1"/>
    <col min="5417" max="5417" width="7.85546875" style="139" customWidth="1"/>
    <col min="5418" max="5419" width="8.7109375" style="139" customWidth="1"/>
    <col min="5420" max="5420" width="8" style="139" customWidth="1"/>
    <col min="5421" max="5421" width="8.42578125" style="139" customWidth="1"/>
    <col min="5422" max="5422" width="8" style="139" customWidth="1"/>
    <col min="5423" max="5423" width="7.85546875" style="139" customWidth="1"/>
    <col min="5424" max="5424" width="8" style="139" customWidth="1"/>
    <col min="5425" max="5425" width="8.28515625" style="139" customWidth="1"/>
    <col min="5426" max="5426" width="8.85546875" style="139" customWidth="1"/>
    <col min="5427" max="5427" width="8.5703125" style="139" customWidth="1"/>
    <col min="5428" max="5429" width="8.7109375" style="139" customWidth="1"/>
    <col min="5430" max="5430" width="7.85546875" style="139" customWidth="1"/>
    <col min="5431" max="5432" width="8.7109375" style="139" customWidth="1"/>
    <col min="5433" max="5433" width="8" style="139" customWidth="1"/>
    <col min="5434" max="5434" width="8.42578125" style="139" customWidth="1"/>
    <col min="5435" max="5435" width="8" style="139" customWidth="1"/>
    <col min="5436" max="5436" width="7.85546875" style="139" customWidth="1"/>
    <col min="5437" max="5437" width="8" style="139" customWidth="1"/>
    <col min="5438" max="5438" width="8.28515625" style="139" customWidth="1"/>
    <col min="5439" max="5439" width="8.85546875" style="139" customWidth="1"/>
    <col min="5440" max="5440" width="8.5703125" style="139" customWidth="1"/>
    <col min="5441" max="5442" width="8.7109375" style="139" customWidth="1"/>
    <col min="5443" max="5632" width="11.42578125" style="139"/>
    <col min="5633" max="5633" width="32.7109375" style="139" customWidth="1"/>
    <col min="5634" max="5634" width="7.28515625" style="139" customWidth="1"/>
    <col min="5635" max="5635" width="8.42578125" style="139" customWidth="1"/>
    <col min="5636" max="5636" width="12.140625" style="139" customWidth="1"/>
    <col min="5637" max="5637" width="7.5703125" style="139" customWidth="1"/>
    <col min="5638" max="5638" width="9" style="139" customWidth="1"/>
    <col min="5639" max="5639" width="12.42578125" style="139" customWidth="1"/>
    <col min="5640" max="5640" width="7.42578125" style="139" customWidth="1"/>
    <col min="5641" max="5641" width="9.42578125" style="139" customWidth="1"/>
    <col min="5642" max="5642" width="12.7109375" style="139" customWidth="1"/>
    <col min="5643" max="5643" width="8.7109375" style="139" customWidth="1"/>
    <col min="5644" max="5644" width="8.42578125" style="139" customWidth="1"/>
    <col min="5645" max="5645" width="12.140625" style="139" customWidth="1"/>
    <col min="5646" max="5646" width="9" style="139" customWidth="1"/>
    <col min="5647" max="5647" width="9.140625" style="139" customWidth="1"/>
    <col min="5648" max="5648" width="12" style="139" customWidth="1"/>
    <col min="5649" max="5649" width="7.7109375" style="139" customWidth="1"/>
    <col min="5650" max="5650" width="9.85546875" style="139" customWidth="1"/>
    <col min="5651" max="5651" width="7.5703125" style="139" customWidth="1"/>
    <col min="5652" max="5652" width="7.7109375" style="139" customWidth="1"/>
    <col min="5653" max="5653" width="9.42578125" style="139" customWidth="1"/>
    <col min="5654" max="5654" width="9.5703125" style="139" customWidth="1"/>
    <col min="5655" max="5656" width="8.5703125" style="139" customWidth="1"/>
    <col min="5657" max="5657" width="8.7109375" style="139" customWidth="1"/>
    <col min="5658" max="5658" width="8.85546875" style="139" customWidth="1"/>
    <col min="5659" max="5659" width="8.5703125" style="139" customWidth="1"/>
    <col min="5660" max="5660" width="7.85546875" style="139" customWidth="1"/>
    <col min="5661" max="5662" width="8.7109375" style="139" customWidth="1"/>
    <col min="5663" max="5663" width="8" style="139" customWidth="1"/>
    <col min="5664" max="5664" width="8.42578125" style="139" customWidth="1"/>
    <col min="5665" max="5665" width="8" style="139" customWidth="1"/>
    <col min="5666" max="5666" width="7.85546875" style="139" customWidth="1"/>
    <col min="5667" max="5667" width="8" style="139" customWidth="1"/>
    <col min="5668" max="5668" width="8.28515625" style="139" customWidth="1"/>
    <col min="5669" max="5669" width="8.85546875" style="139" customWidth="1"/>
    <col min="5670" max="5670" width="8.5703125" style="139" customWidth="1"/>
    <col min="5671" max="5672" width="8.7109375" style="139" customWidth="1"/>
    <col min="5673" max="5673" width="7.85546875" style="139" customWidth="1"/>
    <col min="5674" max="5675" width="8.7109375" style="139" customWidth="1"/>
    <col min="5676" max="5676" width="8" style="139" customWidth="1"/>
    <col min="5677" max="5677" width="8.42578125" style="139" customWidth="1"/>
    <col min="5678" max="5678" width="8" style="139" customWidth="1"/>
    <col min="5679" max="5679" width="7.85546875" style="139" customWidth="1"/>
    <col min="5680" max="5680" width="8" style="139" customWidth="1"/>
    <col min="5681" max="5681" width="8.28515625" style="139" customWidth="1"/>
    <col min="5682" max="5682" width="8.85546875" style="139" customWidth="1"/>
    <col min="5683" max="5683" width="8.5703125" style="139" customWidth="1"/>
    <col min="5684" max="5685" width="8.7109375" style="139" customWidth="1"/>
    <col min="5686" max="5686" width="7.85546875" style="139" customWidth="1"/>
    <col min="5687" max="5688" width="8.7109375" style="139" customWidth="1"/>
    <col min="5689" max="5689" width="8" style="139" customWidth="1"/>
    <col min="5690" max="5690" width="8.42578125" style="139" customWidth="1"/>
    <col min="5691" max="5691" width="8" style="139" customWidth="1"/>
    <col min="5692" max="5692" width="7.85546875" style="139" customWidth="1"/>
    <col min="5693" max="5693" width="8" style="139" customWidth="1"/>
    <col min="5694" max="5694" width="8.28515625" style="139" customWidth="1"/>
    <col min="5695" max="5695" width="8.85546875" style="139" customWidth="1"/>
    <col min="5696" max="5696" width="8.5703125" style="139" customWidth="1"/>
    <col min="5697" max="5698" width="8.7109375" style="139" customWidth="1"/>
    <col min="5699" max="5888" width="11.42578125" style="139"/>
    <col min="5889" max="5889" width="32.7109375" style="139" customWidth="1"/>
    <col min="5890" max="5890" width="7.28515625" style="139" customWidth="1"/>
    <col min="5891" max="5891" width="8.42578125" style="139" customWidth="1"/>
    <col min="5892" max="5892" width="12.140625" style="139" customWidth="1"/>
    <col min="5893" max="5893" width="7.5703125" style="139" customWidth="1"/>
    <col min="5894" max="5894" width="9" style="139" customWidth="1"/>
    <col min="5895" max="5895" width="12.42578125" style="139" customWidth="1"/>
    <col min="5896" max="5896" width="7.42578125" style="139" customWidth="1"/>
    <col min="5897" max="5897" width="9.42578125" style="139" customWidth="1"/>
    <col min="5898" max="5898" width="12.7109375" style="139" customWidth="1"/>
    <col min="5899" max="5899" width="8.7109375" style="139" customWidth="1"/>
    <col min="5900" max="5900" width="8.42578125" style="139" customWidth="1"/>
    <col min="5901" max="5901" width="12.140625" style="139" customWidth="1"/>
    <col min="5902" max="5902" width="9" style="139" customWidth="1"/>
    <col min="5903" max="5903" width="9.140625" style="139" customWidth="1"/>
    <col min="5904" max="5904" width="12" style="139" customWidth="1"/>
    <col min="5905" max="5905" width="7.7109375" style="139" customWidth="1"/>
    <col min="5906" max="5906" width="9.85546875" style="139" customWidth="1"/>
    <col min="5907" max="5907" width="7.5703125" style="139" customWidth="1"/>
    <col min="5908" max="5908" width="7.7109375" style="139" customWidth="1"/>
    <col min="5909" max="5909" width="9.42578125" style="139" customWidth="1"/>
    <col min="5910" max="5910" width="9.5703125" style="139" customWidth="1"/>
    <col min="5911" max="5912" width="8.5703125" style="139" customWidth="1"/>
    <col min="5913" max="5913" width="8.7109375" style="139" customWidth="1"/>
    <col min="5914" max="5914" width="8.85546875" style="139" customWidth="1"/>
    <col min="5915" max="5915" width="8.5703125" style="139" customWidth="1"/>
    <col min="5916" max="5916" width="7.85546875" style="139" customWidth="1"/>
    <col min="5917" max="5918" width="8.7109375" style="139" customWidth="1"/>
    <col min="5919" max="5919" width="8" style="139" customWidth="1"/>
    <col min="5920" max="5920" width="8.42578125" style="139" customWidth="1"/>
    <col min="5921" max="5921" width="8" style="139" customWidth="1"/>
    <col min="5922" max="5922" width="7.85546875" style="139" customWidth="1"/>
    <col min="5923" max="5923" width="8" style="139" customWidth="1"/>
    <col min="5924" max="5924" width="8.28515625" style="139" customWidth="1"/>
    <col min="5925" max="5925" width="8.85546875" style="139" customWidth="1"/>
    <col min="5926" max="5926" width="8.5703125" style="139" customWidth="1"/>
    <col min="5927" max="5928" width="8.7109375" style="139" customWidth="1"/>
    <col min="5929" max="5929" width="7.85546875" style="139" customWidth="1"/>
    <col min="5930" max="5931" width="8.7109375" style="139" customWidth="1"/>
    <col min="5932" max="5932" width="8" style="139" customWidth="1"/>
    <col min="5933" max="5933" width="8.42578125" style="139" customWidth="1"/>
    <col min="5934" max="5934" width="8" style="139" customWidth="1"/>
    <col min="5935" max="5935" width="7.85546875" style="139" customWidth="1"/>
    <col min="5936" max="5936" width="8" style="139" customWidth="1"/>
    <col min="5937" max="5937" width="8.28515625" style="139" customWidth="1"/>
    <col min="5938" max="5938" width="8.85546875" style="139" customWidth="1"/>
    <col min="5939" max="5939" width="8.5703125" style="139" customWidth="1"/>
    <col min="5940" max="5941" width="8.7109375" style="139" customWidth="1"/>
    <col min="5942" max="5942" width="7.85546875" style="139" customWidth="1"/>
    <col min="5943" max="5944" width="8.7109375" style="139" customWidth="1"/>
    <col min="5945" max="5945" width="8" style="139" customWidth="1"/>
    <col min="5946" max="5946" width="8.42578125" style="139" customWidth="1"/>
    <col min="5947" max="5947" width="8" style="139" customWidth="1"/>
    <col min="5948" max="5948" width="7.85546875" style="139" customWidth="1"/>
    <col min="5949" max="5949" width="8" style="139" customWidth="1"/>
    <col min="5950" max="5950" width="8.28515625" style="139" customWidth="1"/>
    <col min="5951" max="5951" width="8.85546875" style="139" customWidth="1"/>
    <col min="5952" max="5952" width="8.5703125" style="139" customWidth="1"/>
    <col min="5953" max="5954" width="8.7109375" style="139" customWidth="1"/>
    <col min="5955" max="6144" width="11.42578125" style="139"/>
    <col min="6145" max="6145" width="32.7109375" style="139" customWidth="1"/>
    <col min="6146" max="6146" width="7.28515625" style="139" customWidth="1"/>
    <col min="6147" max="6147" width="8.42578125" style="139" customWidth="1"/>
    <col min="6148" max="6148" width="12.140625" style="139" customWidth="1"/>
    <col min="6149" max="6149" width="7.5703125" style="139" customWidth="1"/>
    <col min="6150" max="6150" width="9" style="139" customWidth="1"/>
    <col min="6151" max="6151" width="12.42578125" style="139" customWidth="1"/>
    <col min="6152" max="6152" width="7.42578125" style="139" customWidth="1"/>
    <col min="6153" max="6153" width="9.42578125" style="139" customWidth="1"/>
    <col min="6154" max="6154" width="12.7109375" style="139" customWidth="1"/>
    <col min="6155" max="6155" width="8.7109375" style="139" customWidth="1"/>
    <col min="6156" max="6156" width="8.42578125" style="139" customWidth="1"/>
    <col min="6157" max="6157" width="12.140625" style="139" customWidth="1"/>
    <col min="6158" max="6158" width="9" style="139" customWidth="1"/>
    <col min="6159" max="6159" width="9.140625" style="139" customWidth="1"/>
    <col min="6160" max="6160" width="12" style="139" customWidth="1"/>
    <col min="6161" max="6161" width="7.7109375" style="139" customWidth="1"/>
    <col min="6162" max="6162" width="9.85546875" style="139" customWidth="1"/>
    <col min="6163" max="6163" width="7.5703125" style="139" customWidth="1"/>
    <col min="6164" max="6164" width="7.7109375" style="139" customWidth="1"/>
    <col min="6165" max="6165" width="9.42578125" style="139" customWidth="1"/>
    <col min="6166" max="6166" width="9.5703125" style="139" customWidth="1"/>
    <col min="6167" max="6168" width="8.5703125" style="139" customWidth="1"/>
    <col min="6169" max="6169" width="8.7109375" style="139" customWidth="1"/>
    <col min="6170" max="6170" width="8.85546875" style="139" customWidth="1"/>
    <col min="6171" max="6171" width="8.5703125" style="139" customWidth="1"/>
    <col min="6172" max="6172" width="7.85546875" style="139" customWidth="1"/>
    <col min="6173" max="6174" width="8.7109375" style="139" customWidth="1"/>
    <col min="6175" max="6175" width="8" style="139" customWidth="1"/>
    <col min="6176" max="6176" width="8.42578125" style="139" customWidth="1"/>
    <col min="6177" max="6177" width="8" style="139" customWidth="1"/>
    <col min="6178" max="6178" width="7.85546875" style="139" customWidth="1"/>
    <col min="6179" max="6179" width="8" style="139" customWidth="1"/>
    <col min="6180" max="6180" width="8.28515625" style="139" customWidth="1"/>
    <col min="6181" max="6181" width="8.85546875" style="139" customWidth="1"/>
    <col min="6182" max="6182" width="8.5703125" style="139" customWidth="1"/>
    <col min="6183" max="6184" width="8.7109375" style="139" customWidth="1"/>
    <col min="6185" max="6185" width="7.85546875" style="139" customWidth="1"/>
    <col min="6186" max="6187" width="8.7109375" style="139" customWidth="1"/>
    <col min="6188" max="6188" width="8" style="139" customWidth="1"/>
    <col min="6189" max="6189" width="8.42578125" style="139" customWidth="1"/>
    <col min="6190" max="6190" width="8" style="139" customWidth="1"/>
    <col min="6191" max="6191" width="7.85546875" style="139" customWidth="1"/>
    <col min="6192" max="6192" width="8" style="139" customWidth="1"/>
    <col min="6193" max="6193" width="8.28515625" style="139" customWidth="1"/>
    <col min="6194" max="6194" width="8.85546875" style="139" customWidth="1"/>
    <col min="6195" max="6195" width="8.5703125" style="139" customWidth="1"/>
    <col min="6196" max="6197" width="8.7109375" style="139" customWidth="1"/>
    <col min="6198" max="6198" width="7.85546875" style="139" customWidth="1"/>
    <col min="6199" max="6200" width="8.7109375" style="139" customWidth="1"/>
    <col min="6201" max="6201" width="8" style="139" customWidth="1"/>
    <col min="6202" max="6202" width="8.42578125" style="139" customWidth="1"/>
    <col min="6203" max="6203" width="8" style="139" customWidth="1"/>
    <col min="6204" max="6204" width="7.85546875" style="139" customWidth="1"/>
    <col min="6205" max="6205" width="8" style="139" customWidth="1"/>
    <col min="6206" max="6206" width="8.28515625" style="139" customWidth="1"/>
    <col min="6207" max="6207" width="8.85546875" style="139" customWidth="1"/>
    <col min="6208" max="6208" width="8.5703125" style="139" customWidth="1"/>
    <col min="6209" max="6210" width="8.7109375" style="139" customWidth="1"/>
    <col min="6211" max="6400" width="11.42578125" style="139"/>
    <col min="6401" max="6401" width="32.7109375" style="139" customWidth="1"/>
    <col min="6402" max="6402" width="7.28515625" style="139" customWidth="1"/>
    <col min="6403" max="6403" width="8.42578125" style="139" customWidth="1"/>
    <col min="6404" max="6404" width="12.140625" style="139" customWidth="1"/>
    <col min="6405" max="6405" width="7.5703125" style="139" customWidth="1"/>
    <col min="6406" max="6406" width="9" style="139" customWidth="1"/>
    <col min="6407" max="6407" width="12.42578125" style="139" customWidth="1"/>
    <col min="6408" max="6408" width="7.42578125" style="139" customWidth="1"/>
    <col min="6409" max="6409" width="9.42578125" style="139" customWidth="1"/>
    <col min="6410" max="6410" width="12.7109375" style="139" customWidth="1"/>
    <col min="6411" max="6411" width="8.7109375" style="139" customWidth="1"/>
    <col min="6412" max="6412" width="8.42578125" style="139" customWidth="1"/>
    <col min="6413" max="6413" width="12.140625" style="139" customWidth="1"/>
    <col min="6414" max="6414" width="9" style="139" customWidth="1"/>
    <col min="6415" max="6415" width="9.140625" style="139" customWidth="1"/>
    <col min="6416" max="6416" width="12" style="139" customWidth="1"/>
    <col min="6417" max="6417" width="7.7109375" style="139" customWidth="1"/>
    <col min="6418" max="6418" width="9.85546875" style="139" customWidth="1"/>
    <col min="6419" max="6419" width="7.5703125" style="139" customWidth="1"/>
    <col min="6420" max="6420" width="7.7109375" style="139" customWidth="1"/>
    <col min="6421" max="6421" width="9.42578125" style="139" customWidth="1"/>
    <col min="6422" max="6422" width="9.5703125" style="139" customWidth="1"/>
    <col min="6423" max="6424" width="8.5703125" style="139" customWidth="1"/>
    <col min="6425" max="6425" width="8.7109375" style="139" customWidth="1"/>
    <col min="6426" max="6426" width="8.85546875" style="139" customWidth="1"/>
    <col min="6427" max="6427" width="8.5703125" style="139" customWidth="1"/>
    <col min="6428" max="6428" width="7.85546875" style="139" customWidth="1"/>
    <col min="6429" max="6430" width="8.7109375" style="139" customWidth="1"/>
    <col min="6431" max="6431" width="8" style="139" customWidth="1"/>
    <col min="6432" max="6432" width="8.42578125" style="139" customWidth="1"/>
    <col min="6433" max="6433" width="8" style="139" customWidth="1"/>
    <col min="6434" max="6434" width="7.85546875" style="139" customWidth="1"/>
    <col min="6435" max="6435" width="8" style="139" customWidth="1"/>
    <col min="6436" max="6436" width="8.28515625" style="139" customWidth="1"/>
    <col min="6437" max="6437" width="8.85546875" style="139" customWidth="1"/>
    <col min="6438" max="6438" width="8.5703125" style="139" customWidth="1"/>
    <col min="6439" max="6440" width="8.7109375" style="139" customWidth="1"/>
    <col min="6441" max="6441" width="7.85546875" style="139" customWidth="1"/>
    <col min="6442" max="6443" width="8.7109375" style="139" customWidth="1"/>
    <col min="6444" max="6444" width="8" style="139" customWidth="1"/>
    <col min="6445" max="6445" width="8.42578125" style="139" customWidth="1"/>
    <col min="6446" max="6446" width="8" style="139" customWidth="1"/>
    <col min="6447" max="6447" width="7.85546875" style="139" customWidth="1"/>
    <col min="6448" max="6448" width="8" style="139" customWidth="1"/>
    <col min="6449" max="6449" width="8.28515625" style="139" customWidth="1"/>
    <col min="6450" max="6450" width="8.85546875" style="139" customWidth="1"/>
    <col min="6451" max="6451" width="8.5703125" style="139" customWidth="1"/>
    <col min="6452" max="6453" width="8.7109375" style="139" customWidth="1"/>
    <col min="6454" max="6454" width="7.85546875" style="139" customWidth="1"/>
    <col min="6455" max="6456" width="8.7109375" style="139" customWidth="1"/>
    <col min="6457" max="6457" width="8" style="139" customWidth="1"/>
    <col min="6458" max="6458" width="8.42578125" style="139" customWidth="1"/>
    <col min="6459" max="6459" width="8" style="139" customWidth="1"/>
    <col min="6460" max="6460" width="7.85546875" style="139" customWidth="1"/>
    <col min="6461" max="6461" width="8" style="139" customWidth="1"/>
    <col min="6462" max="6462" width="8.28515625" style="139" customWidth="1"/>
    <col min="6463" max="6463" width="8.85546875" style="139" customWidth="1"/>
    <col min="6464" max="6464" width="8.5703125" style="139" customWidth="1"/>
    <col min="6465" max="6466" width="8.7109375" style="139" customWidth="1"/>
    <col min="6467" max="6656" width="11.42578125" style="139"/>
    <col min="6657" max="6657" width="32.7109375" style="139" customWidth="1"/>
    <col min="6658" max="6658" width="7.28515625" style="139" customWidth="1"/>
    <col min="6659" max="6659" width="8.42578125" style="139" customWidth="1"/>
    <col min="6660" max="6660" width="12.140625" style="139" customWidth="1"/>
    <col min="6661" max="6661" width="7.5703125" style="139" customWidth="1"/>
    <col min="6662" max="6662" width="9" style="139" customWidth="1"/>
    <col min="6663" max="6663" width="12.42578125" style="139" customWidth="1"/>
    <col min="6664" max="6664" width="7.42578125" style="139" customWidth="1"/>
    <col min="6665" max="6665" width="9.42578125" style="139" customWidth="1"/>
    <col min="6666" max="6666" width="12.7109375" style="139" customWidth="1"/>
    <col min="6667" max="6667" width="8.7109375" style="139" customWidth="1"/>
    <col min="6668" max="6668" width="8.42578125" style="139" customWidth="1"/>
    <col min="6669" max="6669" width="12.140625" style="139" customWidth="1"/>
    <col min="6670" max="6670" width="9" style="139" customWidth="1"/>
    <col min="6671" max="6671" width="9.140625" style="139" customWidth="1"/>
    <col min="6672" max="6672" width="12" style="139" customWidth="1"/>
    <col min="6673" max="6673" width="7.7109375" style="139" customWidth="1"/>
    <col min="6674" max="6674" width="9.85546875" style="139" customWidth="1"/>
    <col min="6675" max="6675" width="7.5703125" style="139" customWidth="1"/>
    <col min="6676" max="6676" width="7.7109375" style="139" customWidth="1"/>
    <col min="6677" max="6677" width="9.42578125" style="139" customWidth="1"/>
    <col min="6678" max="6678" width="9.5703125" style="139" customWidth="1"/>
    <col min="6679" max="6680" width="8.5703125" style="139" customWidth="1"/>
    <col min="6681" max="6681" width="8.7109375" style="139" customWidth="1"/>
    <col min="6682" max="6682" width="8.85546875" style="139" customWidth="1"/>
    <col min="6683" max="6683" width="8.5703125" style="139" customWidth="1"/>
    <col min="6684" max="6684" width="7.85546875" style="139" customWidth="1"/>
    <col min="6685" max="6686" width="8.7109375" style="139" customWidth="1"/>
    <col min="6687" max="6687" width="8" style="139" customWidth="1"/>
    <col min="6688" max="6688" width="8.42578125" style="139" customWidth="1"/>
    <col min="6689" max="6689" width="8" style="139" customWidth="1"/>
    <col min="6690" max="6690" width="7.85546875" style="139" customWidth="1"/>
    <col min="6691" max="6691" width="8" style="139" customWidth="1"/>
    <col min="6692" max="6692" width="8.28515625" style="139" customWidth="1"/>
    <col min="6693" max="6693" width="8.85546875" style="139" customWidth="1"/>
    <col min="6694" max="6694" width="8.5703125" style="139" customWidth="1"/>
    <col min="6695" max="6696" width="8.7109375" style="139" customWidth="1"/>
    <col min="6697" max="6697" width="7.85546875" style="139" customWidth="1"/>
    <col min="6698" max="6699" width="8.7109375" style="139" customWidth="1"/>
    <col min="6700" max="6700" width="8" style="139" customWidth="1"/>
    <col min="6701" max="6701" width="8.42578125" style="139" customWidth="1"/>
    <col min="6702" max="6702" width="8" style="139" customWidth="1"/>
    <col min="6703" max="6703" width="7.85546875" style="139" customWidth="1"/>
    <col min="6704" max="6704" width="8" style="139" customWidth="1"/>
    <col min="6705" max="6705" width="8.28515625" style="139" customWidth="1"/>
    <col min="6706" max="6706" width="8.85546875" style="139" customWidth="1"/>
    <col min="6707" max="6707" width="8.5703125" style="139" customWidth="1"/>
    <col min="6708" max="6709" width="8.7109375" style="139" customWidth="1"/>
    <col min="6710" max="6710" width="7.85546875" style="139" customWidth="1"/>
    <col min="6711" max="6712" width="8.7109375" style="139" customWidth="1"/>
    <col min="6713" max="6713" width="8" style="139" customWidth="1"/>
    <col min="6714" max="6714" width="8.42578125" style="139" customWidth="1"/>
    <col min="6715" max="6715" width="8" style="139" customWidth="1"/>
    <col min="6716" max="6716" width="7.85546875" style="139" customWidth="1"/>
    <col min="6717" max="6717" width="8" style="139" customWidth="1"/>
    <col min="6718" max="6718" width="8.28515625" style="139" customWidth="1"/>
    <col min="6719" max="6719" width="8.85546875" style="139" customWidth="1"/>
    <col min="6720" max="6720" width="8.5703125" style="139" customWidth="1"/>
    <col min="6721" max="6722" width="8.7109375" style="139" customWidth="1"/>
    <col min="6723" max="6912" width="11.42578125" style="139"/>
    <col min="6913" max="6913" width="32.7109375" style="139" customWidth="1"/>
    <col min="6914" max="6914" width="7.28515625" style="139" customWidth="1"/>
    <col min="6915" max="6915" width="8.42578125" style="139" customWidth="1"/>
    <col min="6916" max="6916" width="12.140625" style="139" customWidth="1"/>
    <col min="6917" max="6917" width="7.5703125" style="139" customWidth="1"/>
    <col min="6918" max="6918" width="9" style="139" customWidth="1"/>
    <col min="6919" max="6919" width="12.42578125" style="139" customWidth="1"/>
    <col min="6920" max="6920" width="7.42578125" style="139" customWidth="1"/>
    <col min="6921" max="6921" width="9.42578125" style="139" customWidth="1"/>
    <col min="6922" max="6922" width="12.7109375" style="139" customWidth="1"/>
    <col min="6923" max="6923" width="8.7109375" style="139" customWidth="1"/>
    <col min="6924" max="6924" width="8.42578125" style="139" customWidth="1"/>
    <col min="6925" max="6925" width="12.140625" style="139" customWidth="1"/>
    <col min="6926" max="6926" width="9" style="139" customWidth="1"/>
    <col min="6927" max="6927" width="9.140625" style="139" customWidth="1"/>
    <col min="6928" max="6928" width="12" style="139" customWidth="1"/>
    <col min="6929" max="6929" width="7.7109375" style="139" customWidth="1"/>
    <col min="6930" max="6930" width="9.85546875" style="139" customWidth="1"/>
    <col min="6931" max="6931" width="7.5703125" style="139" customWidth="1"/>
    <col min="6932" max="6932" width="7.7109375" style="139" customWidth="1"/>
    <col min="6933" max="6933" width="9.42578125" style="139" customWidth="1"/>
    <col min="6934" max="6934" width="9.5703125" style="139" customWidth="1"/>
    <col min="6935" max="6936" width="8.5703125" style="139" customWidth="1"/>
    <col min="6937" max="6937" width="8.7109375" style="139" customWidth="1"/>
    <col min="6938" max="6938" width="8.85546875" style="139" customWidth="1"/>
    <col min="6939" max="6939" width="8.5703125" style="139" customWidth="1"/>
    <col min="6940" max="6940" width="7.85546875" style="139" customWidth="1"/>
    <col min="6941" max="6942" width="8.7109375" style="139" customWidth="1"/>
    <col min="6943" max="6943" width="8" style="139" customWidth="1"/>
    <col min="6944" max="6944" width="8.42578125" style="139" customWidth="1"/>
    <col min="6945" max="6945" width="8" style="139" customWidth="1"/>
    <col min="6946" max="6946" width="7.85546875" style="139" customWidth="1"/>
    <col min="6947" max="6947" width="8" style="139" customWidth="1"/>
    <col min="6948" max="6948" width="8.28515625" style="139" customWidth="1"/>
    <col min="6949" max="6949" width="8.85546875" style="139" customWidth="1"/>
    <col min="6950" max="6950" width="8.5703125" style="139" customWidth="1"/>
    <col min="6951" max="6952" width="8.7109375" style="139" customWidth="1"/>
    <col min="6953" max="6953" width="7.85546875" style="139" customWidth="1"/>
    <col min="6954" max="6955" width="8.7109375" style="139" customWidth="1"/>
    <col min="6956" max="6956" width="8" style="139" customWidth="1"/>
    <col min="6957" max="6957" width="8.42578125" style="139" customWidth="1"/>
    <col min="6958" max="6958" width="8" style="139" customWidth="1"/>
    <col min="6959" max="6959" width="7.85546875" style="139" customWidth="1"/>
    <col min="6960" max="6960" width="8" style="139" customWidth="1"/>
    <col min="6961" max="6961" width="8.28515625" style="139" customWidth="1"/>
    <col min="6962" max="6962" width="8.85546875" style="139" customWidth="1"/>
    <col min="6963" max="6963" width="8.5703125" style="139" customWidth="1"/>
    <col min="6964" max="6965" width="8.7109375" style="139" customWidth="1"/>
    <col min="6966" max="6966" width="7.85546875" style="139" customWidth="1"/>
    <col min="6967" max="6968" width="8.7109375" style="139" customWidth="1"/>
    <col min="6969" max="6969" width="8" style="139" customWidth="1"/>
    <col min="6970" max="6970" width="8.42578125" style="139" customWidth="1"/>
    <col min="6971" max="6971" width="8" style="139" customWidth="1"/>
    <col min="6972" max="6972" width="7.85546875" style="139" customWidth="1"/>
    <col min="6973" max="6973" width="8" style="139" customWidth="1"/>
    <col min="6974" max="6974" width="8.28515625" style="139" customWidth="1"/>
    <col min="6975" max="6975" width="8.85546875" style="139" customWidth="1"/>
    <col min="6976" max="6976" width="8.5703125" style="139" customWidth="1"/>
    <col min="6977" max="6978" width="8.7109375" style="139" customWidth="1"/>
    <col min="6979" max="7168" width="11.42578125" style="139"/>
    <col min="7169" max="7169" width="32.7109375" style="139" customWidth="1"/>
    <col min="7170" max="7170" width="7.28515625" style="139" customWidth="1"/>
    <col min="7171" max="7171" width="8.42578125" style="139" customWidth="1"/>
    <col min="7172" max="7172" width="12.140625" style="139" customWidth="1"/>
    <col min="7173" max="7173" width="7.5703125" style="139" customWidth="1"/>
    <col min="7174" max="7174" width="9" style="139" customWidth="1"/>
    <col min="7175" max="7175" width="12.42578125" style="139" customWidth="1"/>
    <col min="7176" max="7176" width="7.42578125" style="139" customWidth="1"/>
    <col min="7177" max="7177" width="9.42578125" style="139" customWidth="1"/>
    <col min="7178" max="7178" width="12.7109375" style="139" customWidth="1"/>
    <col min="7179" max="7179" width="8.7109375" style="139" customWidth="1"/>
    <col min="7180" max="7180" width="8.42578125" style="139" customWidth="1"/>
    <col min="7181" max="7181" width="12.140625" style="139" customWidth="1"/>
    <col min="7182" max="7182" width="9" style="139" customWidth="1"/>
    <col min="7183" max="7183" width="9.140625" style="139" customWidth="1"/>
    <col min="7184" max="7184" width="12" style="139" customWidth="1"/>
    <col min="7185" max="7185" width="7.7109375" style="139" customWidth="1"/>
    <col min="7186" max="7186" width="9.85546875" style="139" customWidth="1"/>
    <col min="7187" max="7187" width="7.5703125" style="139" customWidth="1"/>
    <col min="7188" max="7188" width="7.7109375" style="139" customWidth="1"/>
    <col min="7189" max="7189" width="9.42578125" style="139" customWidth="1"/>
    <col min="7190" max="7190" width="9.5703125" style="139" customWidth="1"/>
    <col min="7191" max="7192" width="8.5703125" style="139" customWidth="1"/>
    <col min="7193" max="7193" width="8.7109375" style="139" customWidth="1"/>
    <col min="7194" max="7194" width="8.85546875" style="139" customWidth="1"/>
    <col min="7195" max="7195" width="8.5703125" style="139" customWidth="1"/>
    <col min="7196" max="7196" width="7.85546875" style="139" customWidth="1"/>
    <col min="7197" max="7198" width="8.7109375" style="139" customWidth="1"/>
    <col min="7199" max="7199" width="8" style="139" customWidth="1"/>
    <col min="7200" max="7200" width="8.42578125" style="139" customWidth="1"/>
    <col min="7201" max="7201" width="8" style="139" customWidth="1"/>
    <col min="7202" max="7202" width="7.85546875" style="139" customWidth="1"/>
    <col min="7203" max="7203" width="8" style="139" customWidth="1"/>
    <col min="7204" max="7204" width="8.28515625" style="139" customWidth="1"/>
    <col min="7205" max="7205" width="8.85546875" style="139" customWidth="1"/>
    <col min="7206" max="7206" width="8.5703125" style="139" customWidth="1"/>
    <col min="7207" max="7208" width="8.7109375" style="139" customWidth="1"/>
    <col min="7209" max="7209" width="7.85546875" style="139" customWidth="1"/>
    <col min="7210" max="7211" width="8.7109375" style="139" customWidth="1"/>
    <col min="7212" max="7212" width="8" style="139" customWidth="1"/>
    <col min="7213" max="7213" width="8.42578125" style="139" customWidth="1"/>
    <col min="7214" max="7214" width="8" style="139" customWidth="1"/>
    <col min="7215" max="7215" width="7.85546875" style="139" customWidth="1"/>
    <col min="7216" max="7216" width="8" style="139" customWidth="1"/>
    <col min="7217" max="7217" width="8.28515625" style="139" customWidth="1"/>
    <col min="7218" max="7218" width="8.85546875" style="139" customWidth="1"/>
    <col min="7219" max="7219" width="8.5703125" style="139" customWidth="1"/>
    <col min="7220" max="7221" width="8.7109375" style="139" customWidth="1"/>
    <col min="7222" max="7222" width="7.85546875" style="139" customWidth="1"/>
    <col min="7223" max="7224" width="8.7109375" style="139" customWidth="1"/>
    <col min="7225" max="7225" width="8" style="139" customWidth="1"/>
    <col min="7226" max="7226" width="8.42578125" style="139" customWidth="1"/>
    <col min="7227" max="7227" width="8" style="139" customWidth="1"/>
    <col min="7228" max="7228" width="7.85546875" style="139" customWidth="1"/>
    <col min="7229" max="7229" width="8" style="139" customWidth="1"/>
    <col min="7230" max="7230" width="8.28515625" style="139" customWidth="1"/>
    <col min="7231" max="7231" width="8.85546875" style="139" customWidth="1"/>
    <col min="7232" max="7232" width="8.5703125" style="139" customWidth="1"/>
    <col min="7233" max="7234" width="8.7109375" style="139" customWidth="1"/>
    <col min="7235" max="7424" width="11.42578125" style="139"/>
    <col min="7425" max="7425" width="32.7109375" style="139" customWidth="1"/>
    <col min="7426" max="7426" width="7.28515625" style="139" customWidth="1"/>
    <col min="7427" max="7427" width="8.42578125" style="139" customWidth="1"/>
    <col min="7428" max="7428" width="12.140625" style="139" customWidth="1"/>
    <col min="7429" max="7429" width="7.5703125" style="139" customWidth="1"/>
    <col min="7430" max="7430" width="9" style="139" customWidth="1"/>
    <col min="7431" max="7431" width="12.42578125" style="139" customWidth="1"/>
    <col min="7432" max="7432" width="7.42578125" style="139" customWidth="1"/>
    <col min="7433" max="7433" width="9.42578125" style="139" customWidth="1"/>
    <col min="7434" max="7434" width="12.7109375" style="139" customWidth="1"/>
    <col min="7435" max="7435" width="8.7109375" style="139" customWidth="1"/>
    <col min="7436" max="7436" width="8.42578125" style="139" customWidth="1"/>
    <col min="7437" max="7437" width="12.140625" style="139" customWidth="1"/>
    <col min="7438" max="7438" width="9" style="139" customWidth="1"/>
    <col min="7439" max="7439" width="9.140625" style="139" customWidth="1"/>
    <col min="7440" max="7440" width="12" style="139" customWidth="1"/>
    <col min="7441" max="7441" width="7.7109375" style="139" customWidth="1"/>
    <col min="7442" max="7442" width="9.85546875" style="139" customWidth="1"/>
    <col min="7443" max="7443" width="7.5703125" style="139" customWidth="1"/>
    <col min="7444" max="7444" width="7.7109375" style="139" customWidth="1"/>
    <col min="7445" max="7445" width="9.42578125" style="139" customWidth="1"/>
    <col min="7446" max="7446" width="9.5703125" style="139" customWidth="1"/>
    <col min="7447" max="7448" width="8.5703125" style="139" customWidth="1"/>
    <col min="7449" max="7449" width="8.7109375" style="139" customWidth="1"/>
    <col min="7450" max="7450" width="8.85546875" style="139" customWidth="1"/>
    <col min="7451" max="7451" width="8.5703125" style="139" customWidth="1"/>
    <col min="7452" max="7452" width="7.85546875" style="139" customWidth="1"/>
    <col min="7453" max="7454" width="8.7109375" style="139" customWidth="1"/>
    <col min="7455" max="7455" width="8" style="139" customWidth="1"/>
    <col min="7456" max="7456" width="8.42578125" style="139" customWidth="1"/>
    <col min="7457" max="7457" width="8" style="139" customWidth="1"/>
    <col min="7458" max="7458" width="7.85546875" style="139" customWidth="1"/>
    <col min="7459" max="7459" width="8" style="139" customWidth="1"/>
    <col min="7460" max="7460" width="8.28515625" style="139" customWidth="1"/>
    <col min="7461" max="7461" width="8.85546875" style="139" customWidth="1"/>
    <col min="7462" max="7462" width="8.5703125" style="139" customWidth="1"/>
    <col min="7463" max="7464" width="8.7109375" style="139" customWidth="1"/>
    <col min="7465" max="7465" width="7.85546875" style="139" customWidth="1"/>
    <col min="7466" max="7467" width="8.7109375" style="139" customWidth="1"/>
    <col min="7468" max="7468" width="8" style="139" customWidth="1"/>
    <col min="7469" max="7469" width="8.42578125" style="139" customWidth="1"/>
    <col min="7470" max="7470" width="8" style="139" customWidth="1"/>
    <col min="7471" max="7471" width="7.85546875" style="139" customWidth="1"/>
    <col min="7472" max="7472" width="8" style="139" customWidth="1"/>
    <col min="7473" max="7473" width="8.28515625" style="139" customWidth="1"/>
    <col min="7474" max="7474" width="8.85546875" style="139" customWidth="1"/>
    <col min="7475" max="7475" width="8.5703125" style="139" customWidth="1"/>
    <col min="7476" max="7477" width="8.7109375" style="139" customWidth="1"/>
    <col min="7478" max="7478" width="7.85546875" style="139" customWidth="1"/>
    <col min="7479" max="7480" width="8.7109375" style="139" customWidth="1"/>
    <col min="7481" max="7481" width="8" style="139" customWidth="1"/>
    <col min="7482" max="7482" width="8.42578125" style="139" customWidth="1"/>
    <col min="7483" max="7483" width="8" style="139" customWidth="1"/>
    <col min="7484" max="7484" width="7.85546875" style="139" customWidth="1"/>
    <col min="7485" max="7485" width="8" style="139" customWidth="1"/>
    <col min="7486" max="7486" width="8.28515625" style="139" customWidth="1"/>
    <col min="7487" max="7487" width="8.85546875" style="139" customWidth="1"/>
    <col min="7488" max="7488" width="8.5703125" style="139" customWidth="1"/>
    <col min="7489" max="7490" width="8.7109375" style="139" customWidth="1"/>
    <col min="7491" max="7680" width="11.42578125" style="139"/>
    <col min="7681" max="7681" width="32.7109375" style="139" customWidth="1"/>
    <col min="7682" max="7682" width="7.28515625" style="139" customWidth="1"/>
    <col min="7683" max="7683" width="8.42578125" style="139" customWidth="1"/>
    <col min="7684" max="7684" width="12.140625" style="139" customWidth="1"/>
    <col min="7685" max="7685" width="7.5703125" style="139" customWidth="1"/>
    <col min="7686" max="7686" width="9" style="139" customWidth="1"/>
    <col min="7687" max="7687" width="12.42578125" style="139" customWidth="1"/>
    <col min="7688" max="7688" width="7.42578125" style="139" customWidth="1"/>
    <col min="7689" max="7689" width="9.42578125" style="139" customWidth="1"/>
    <col min="7690" max="7690" width="12.7109375" style="139" customWidth="1"/>
    <col min="7691" max="7691" width="8.7109375" style="139" customWidth="1"/>
    <col min="7692" max="7692" width="8.42578125" style="139" customWidth="1"/>
    <col min="7693" max="7693" width="12.140625" style="139" customWidth="1"/>
    <col min="7694" max="7694" width="9" style="139" customWidth="1"/>
    <col min="7695" max="7695" width="9.140625" style="139" customWidth="1"/>
    <col min="7696" max="7696" width="12" style="139" customWidth="1"/>
    <col min="7697" max="7697" width="7.7109375" style="139" customWidth="1"/>
    <col min="7698" max="7698" width="9.85546875" style="139" customWidth="1"/>
    <col min="7699" max="7699" width="7.5703125" style="139" customWidth="1"/>
    <col min="7700" max="7700" width="7.7109375" style="139" customWidth="1"/>
    <col min="7701" max="7701" width="9.42578125" style="139" customWidth="1"/>
    <col min="7702" max="7702" width="9.5703125" style="139" customWidth="1"/>
    <col min="7703" max="7704" width="8.5703125" style="139" customWidth="1"/>
    <col min="7705" max="7705" width="8.7109375" style="139" customWidth="1"/>
    <col min="7706" max="7706" width="8.85546875" style="139" customWidth="1"/>
    <col min="7707" max="7707" width="8.5703125" style="139" customWidth="1"/>
    <col min="7708" max="7708" width="7.85546875" style="139" customWidth="1"/>
    <col min="7709" max="7710" width="8.7109375" style="139" customWidth="1"/>
    <col min="7711" max="7711" width="8" style="139" customWidth="1"/>
    <col min="7712" max="7712" width="8.42578125" style="139" customWidth="1"/>
    <col min="7713" max="7713" width="8" style="139" customWidth="1"/>
    <col min="7714" max="7714" width="7.85546875" style="139" customWidth="1"/>
    <col min="7715" max="7715" width="8" style="139" customWidth="1"/>
    <col min="7716" max="7716" width="8.28515625" style="139" customWidth="1"/>
    <col min="7717" max="7717" width="8.85546875" style="139" customWidth="1"/>
    <col min="7718" max="7718" width="8.5703125" style="139" customWidth="1"/>
    <col min="7719" max="7720" width="8.7109375" style="139" customWidth="1"/>
    <col min="7721" max="7721" width="7.85546875" style="139" customWidth="1"/>
    <col min="7722" max="7723" width="8.7109375" style="139" customWidth="1"/>
    <col min="7724" max="7724" width="8" style="139" customWidth="1"/>
    <col min="7725" max="7725" width="8.42578125" style="139" customWidth="1"/>
    <col min="7726" max="7726" width="8" style="139" customWidth="1"/>
    <col min="7727" max="7727" width="7.85546875" style="139" customWidth="1"/>
    <col min="7728" max="7728" width="8" style="139" customWidth="1"/>
    <col min="7729" max="7729" width="8.28515625" style="139" customWidth="1"/>
    <col min="7730" max="7730" width="8.85546875" style="139" customWidth="1"/>
    <col min="7731" max="7731" width="8.5703125" style="139" customWidth="1"/>
    <col min="7732" max="7733" width="8.7109375" style="139" customWidth="1"/>
    <col min="7734" max="7734" width="7.85546875" style="139" customWidth="1"/>
    <col min="7735" max="7736" width="8.7109375" style="139" customWidth="1"/>
    <col min="7737" max="7737" width="8" style="139" customWidth="1"/>
    <col min="7738" max="7738" width="8.42578125" style="139" customWidth="1"/>
    <col min="7739" max="7739" width="8" style="139" customWidth="1"/>
    <col min="7740" max="7740" width="7.85546875" style="139" customWidth="1"/>
    <col min="7741" max="7741" width="8" style="139" customWidth="1"/>
    <col min="7742" max="7742" width="8.28515625" style="139" customWidth="1"/>
    <col min="7743" max="7743" width="8.85546875" style="139" customWidth="1"/>
    <col min="7744" max="7744" width="8.5703125" style="139" customWidth="1"/>
    <col min="7745" max="7746" width="8.7109375" style="139" customWidth="1"/>
    <col min="7747" max="7936" width="11.42578125" style="139"/>
    <col min="7937" max="7937" width="32.7109375" style="139" customWidth="1"/>
    <col min="7938" max="7938" width="7.28515625" style="139" customWidth="1"/>
    <col min="7939" max="7939" width="8.42578125" style="139" customWidth="1"/>
    <col min="7940" max="7940" width="12.140625" style="139" customWidth="1"/>
    <col min="7941" max="7941" width="7.5703125" style="139" customWidth="1"/>
    <col min="7942" max="7942" width="9" style="139" customWidth="1"/>
    <col min="7943" max="7943" width="12.42578125" style="139" customWidth="1"/>
    <col min="7944" max="7944" width="7.42578125" style="139" customWidth="1"/>
    <col min="7945" max="7945" width="9.42578125" style="139" customWidth="1"/>
    <col min="7946" max="7946" width="12.7109375" style="139" customWidth="1"/>
    <col min="7947" max="7947" width="8.7109375" style="139" customWidth="1"/>
    <col min="7948" max="7948" width="8.42578125" style="139" customWidth="1"/>
    <col min="7949" max="7949" width="12.140625" style="139" customWidth="1"/>
    <col min="7950" max="7950" width="9" style="139" customWidth="1"/>
    <col min="7951" max="7951" width="9.140625" style="139" customWidth="1"/>
    <col min="7952" max="7952" width="12" style="139" customWidth="1"/>
    <col min="7953" max="7953" width="7.7109375" style="139" customWidth="1"/>
    <col min="7954" max="7954" width="9.85546875" style="139" customWidth="1"/>
    <col min="7955" max="7955" width="7.5703125" style="139" customWidth="1"/>
    <col min="7956" max="7956" width="7.7109375" style="139" customWidth="1"/>
    <col min="7957" max="7957" width="9.42578125" style="139" customWidth="1"/>
    <col min="7958" max="7958" width="9.5703125" style="139" customWidth="1"/>
    <col min="7959" max="7960" width="8.5703125" style="139" customWidth="1"/>
    <col min="7961" max="7961" width="8.7109375" style="139" customWidth="1"/>
    <col min="7962" max="7962" width="8.85546875" style="139" customWidth="1"/>
    <col min="7963" max="7963" width="8.5703125" style="139" customWidth="1"/>
    <col min="7964" max="7964" width="7.85546875" style="139" customWidth="1"/>
    <col min="7965" max="7966" width="8.7109375" style="139" customWidth="1"/>
    <col min="7967" max="7967" width="8" style="139" customWidth="1"/>
    <col min="7968" max="7968" width="8.42578125" style="139" customWidth="1"/>
    <col min="7969" max="7969" width="8" style="139" customWidth="1"/>
    <col min="7970" max="7970" width="7.85546875" style="139" customWidth="1"/>
    <col min="7971" max="7971" width="8" style="139" customWidth="1"/>
    <col min="7972" max="7972" width="8.28515625" style="139" customWidth="1"/>
    <col min="7973" max="7973" width="8.85546875" style="139" customWidth="1"/>
    <col min="7974" max="7974" width="8.5703125" style="139" customWidth="1"/>
    <col min="7975" max="7976" width="8.7109375" style="139" customWidth="1"/>
    <col min="7977" max="7977" width="7.85546875" style="139" customWidth="1"/>
    <col min="7978" max="7979" width="8.7109375" style="139" customWidth="1"/>
    <col min="7980" max="7980" width="8" style="139" customWidth="1"/>
    <col min="7981" max="7981" width="8.42578125" style="139" customWidth="1"/>
    <col min="7982" max="7982" width="8" style="139" customWidth="1"/>
    <col min="7983" max="7983" width="7.85546875" style="139" customWidth="1"/>
    <col min="7984" max="7984" width="8" style="139" customWidth="1"/>
    <col min="7985" max="7985" width="8.28515625" style="139" customWidth="1"/>
    <col min="7986" max="7986" width="8.85546875" style="139" customWidth="1"/>
    <col min="7987" max="7987" width="8.5703125" style="139" customWidth="1"/>
    <col min="7988" max="7989" width="8.7109375" style="139" customWidth="1"/>
    <col min="7990" max="7990" width="7.85546875" style="139" customWidth="1"/>
    <col min="7991" max="7992" width="8.7109375" style="139" customWidth="1"/>
    <col min="7993" max="7993" width="8" style="139" customWidth="1"/>
    <col min="7994" max="7994" width="8.42578125" style="139" customWidth="1"/>
    <col min="7995" max="7995" width="8" style="139" customWidth="1"/>
    <col min="7996" max="7996" width="7.85546875" style="139" customWidth="1"/>
    <col min="7997" max="7997" width="8" style="139" customWidth="1"/>
    <col min="7998" max="7998" width="8.28515625" style="139" customWidth="1"/>
    <col min="7999" max="7999" width="8.85546875" style="139" customWidth="1"/>
    <col min="8000" max="8000" width="8.5703125" style="139" customWidth="1"/>
    <col min="8001" max="8002" width="8.7109375" style="139" customWidth="1"/>
    <col min="8003" max="8192" width="11.42578125" style="139"/>
    <col min="8193" max="8193" width="32.7109375" style="139" customWidth="1"/>
    <col min="8194" max="8194" width="7.28515625" style="139" customWidth="1"/>
    <col min="8195" max="8195" width="8.42578125" style="139" customWidth="1"/>
    <col min="8196" max="8196" width="12.140625" style="139" customWidth="1"/>
    <col min="8197" max="8197" width="7.5703125" style="139" customWidth="1"/>
    <col min="8198" max="8198" width="9" style="139" customWidth="1"/>
    <col min="8199" max="8199" width="12.42578125" style="139" customWidth="1"/>
    <col min="8200" max="8200" width="7.42578125" style="139" customWidth="1"/>
    <col min="8201" max="8201" width="9.42578125" style="139" customWidth="1"/>
    <col min="8202" max="8202" width="12.7109375" style="139" customWidth="1"/>
    <col min="8203" max="8203" width="8.7109375" style="139" customWidth="1"/>
    <col min="8204" max="8204" width="8.42578125" style="139" customWidth="1"/>
    <col min="8205" max="8205" width="12.140625" style="139" customWidth="1"/>
    <col min="8206" max="8206" width="9" style="139" customWidth="1"/>
    <col min="8207" max="8207" width="9.140625" style="139" customWidth="1"/>
    <col min="8208" max="8208" width="12" style="139" customWidth="1"/>
    <col min="8209" max="8209" width="7.7109375" style="139" customWidth="1"/>
    <col min="8210" max="8210" width="9.85546875" style="139" customWidth="1"/>
    <col min="8211" max="8211" width="7.5703125" style="139" customWidth="1"/>
    <col min="8212" max="8212" width="7.7109375" style="139" customWidth="1"/>
    <col min="8213" max="8213" width="9.42578125" style="139" customWidth="1"/>
    <col min="8214" max="8214" width="9.5703125" style="139" customWidth="1"/>
    <col min="8215" max="8216" width="8.5703125" style="139" customWidth="1"/>
    <col min="8217" max="8217" width="8.7109375" style="139" customWidth="1"/>
    <col min="8218" max="8218" width="8.85546875" style="139" customWidth="1"/>
    <col min="8219" max="8219" width="8.5703125" style="139" customWidth="1"/>
    <col min="8220" max="8220" width="7.85546875" style="139" customWidth="1"/>
    <col min="8221" max="8222" width="8.7109375" style="139" customWidth="1"/>
    <col min="8223" max="8223" width="8" style="139" customWidth="1"/>
    <col min="8224" max="8224" width="8.42578125" style="139" customWidth="1"/>
    <col min="8225" max="8225" width="8" style="139" customWidth="1"/>
    <col min="8226" max="8226" width="7.85546875" style="139" customWidth="1"/>
    <col min="8227" max="8227" width="8" style="139" customWidth="1"/>
    <col min="8228" max="8228" width="8.28515625" style="139" customWidth="1"/>
    <col min="8229" max="8229" width="8.85546875" style="139" customWidth="1"/>
    <col min="8230" max="8230" width="8.5703125" style="139" customWidth="1"/>
    <col min="8231" max="8232" width="8.7109375" style="139" customWidth="1"/>
    <col min="8233" max="8233" width="7.85546875" style="139" customWidth="1"/>
    <col min="8234" max="8235" width="8.7109375" style="139" customWidth="1"/>
    <col min="8236" max="8236" width="8" style="139" customWidth="1"/>
    <col min="8237" max="8237" width="8.42578125" style="139" customWidth="1"/>
    <col min="8238" max="8238" width="8" style="139" customWidth="1"/>
    <col min="8239" max="8239" width="7.85546875" style="139" customWidth="1"/>
    <col min="8240" max="8240" width="8" style="139" customWidth="1"/>
    <col min="8241" max="8241" width="8.28515625" style="139" customWidth="1"/>
    <col min="8242" max="8242" width="8.85546875" style="139" customWidth="1"/>
    <col min="8243" max="8243" width="8.5703125" style="139" customWidth="1"/>
    <col min="8244" max="8245" width="8.7109375" style="139" customWidth="1"/>
    <col min="8246" max="8246" width="7.85546875" style="139" customWidth="1"/>
    <col min="8247" max="8248" width="8.7109375" style="139" customWidth="1"/>
    <col min="8249" max="8249" width="8" style="139" customWidth="1"/>
    <col min="8250" max="8250" width="8.42578125" style="139" customWidth="1"/>
    <col min="8251" max="8251" width="8" style="139" customWidth="1"/>
    <col min="8252" max="8252" width="7.85546875" style="139" customWidth="1"/>
    <col min="8253" max="8253" width="8" style="139" customWidth="1"/>
    <col min="8254" max="8254" width="8.28515625" style="139" customWidth="1"/>
    <col min="8255" max="8255" width="8.85546875" style="139" customWidth="1"/>
    <col min="8256" max="8256" width="8.5703125" style="139" customWidth="1"/>
    <col min="8257" max="8258" width="8.7109375" style="139" customWidth="1"/>
    <col min="8259" max="8448" width="11.42578125" style="139"/>
    <col min="8449" max="8449" width="32.7109375" style="139" customWidth="1"/>
    <col min="8450" max="8450" width="7.28515625" style="139" customWidth="1"/>
    <col min="8451" max="8451" width="8.42578125" style="139" customWidth="1"/>
    <col min="8452" max="8452" width="12.140625" style="139" customWidth="1"/>
    <col min="8453" max="8453" width="7.5703125" style="139" customWidth="1"/>
    <col min="8454" max="8454" width="9" style="139" customWidth="1"/>
    <col min="8455" max="8455" width="12.42578125" style="139" customWidth="1"/>
    <col min="8456" max="8456" width="7.42578125" style="139" customWidth="1"/>
    <col min="8457" max="8457" width="9.42578125" style="139" customWidth="1"/>
    <col min="8458" max="8458" width="12.7109375" style="139" customWidth="1"/>
    <col min="8459" max="8459" width="8.7109375" style="139" customWidth="1"/>
    <col min="8460" max="8460" width="8.42578125" style="139" customWidth="1"/>
    <col min="8461" max="8461" width="12.140625" style="139" customWidth="1"/>
    <col min="8462" max="8462" width="9" style="139" customWidth="1"/>
    <col min="8463" max="8463" width="9.140625" style="139" customWidth="1"/>
    <col min="8464" max="8464" width="12" style="139" customWidth="1"/>
    <col min="8465" max="8465" width="7.7109375" style="139" customWidth="1"/>
    <col min="8466" max="8466" width="9.85546875" style="139" customWidth="1"/>
    <col min="8467" max="8467" width="7.5703125" style="139" customWidth="1"/>
    <col min="8468" max="8468" width="7.7109375" style="139" customWidth="1"/>
    <col min="8469" max="8469" width="9.42578125" style="139" customWidth="1"/>
    <col min="8470" max="8470" width="9.5703125" style="139" customWidth="1"/>
    <col min="8471" max="8472" width="8.5703125" style="139" customWidth="1"/>
    <col min="8473" max="8473" width="8.7109375" style="139" customWidth="1"/>
    <col min="8474" max="8474" width="8.85546875" style="139" customWidth="1"/>
    <col min="8475" max="8475" width="8.5703125" style="139" customWidth="1"/>
    <col min="8476" max="8476" width="7.85546875" style="139" customWidth="1"/>
    <col min="8477" max="8478" width="8.7109375" style="139" customWidth="1"/>
    <col min="8479" max="8479" width="8" style="139" customWidth="1"/>
    <col min="8480" max="8480" width="8.42578125" style="139" customWidth="1"/>
    <col min="8481" max="8481" width="8" style="139" customWidth="1"/>
    <col min="8482" max="8482" width="7.85546875" style="139" customWidth="1"/>
    <col min="8483" max="8483" width="8" style="139" customWidth="1"/>
    <col min="8484" max="8484" width="8.28515625" style="139" customWidth="1"/>
    <col min="8485" max="8485" width="8.85546875" style="139" customWidth="1"/>
    <col min="8486" max="8486" width="8.5703125" style="139" customWidth="1"/>
    <col min="8487" max="8488" width="8.7109375" style="139" customWidth="1"/>
    <col min="8489" max="8489" width="7.85546875" style="139" customWidth="1"/>
    <col min="8490" max="8491" width="8.7109375" style="139" customWidth="1"/>
    <col min="8492" max="8492" width="8" style="139" customWidth="1"/>
    <col min="8493" max="8493" width="8.42578125" style="139" customWidth="1"/>
    <col min="8494" max="8494" width="8" style="139" customWidth="1"/>
    <col min="8495" max="8495" width="7.85546875" style="139" customWidth="1"/>
    <col min="8496" max="8496" width="8" style="139" customWidth="1"/>
    <col min="8497" max="8497" width="8.28515625" style="139" customWidth="1"/>
    <col min="8498" max="8498" width="8.85546875" style="139" customWidth="1"/>
    <col min="8499" max="8499" width="8.5703125" style="139" customWidth="1"/>
    <col min="8500" max="8501" width="8.7109375" style="139" customWidth="1"/>
    <col min="8502" max="8502" width="7.85546875" style="139" customWidth="1"/>
    <col min="8503" max="8504" width="8.7109375" style="139" customWidth="1"/>
    <col min="8505" max="8505" width="8" style="139" customWidth="1"/>
    <col min="8506" max="8506" width="8.42578125" style="139" customWidth="1"/>
    <col min="8507" max="8507" width="8" style="139" customWidth="1"/>
    <col min="8508" max="8508" width="7.85546875" style="139" customWidth="1"/>
    <col min="8509" max="8509" width="8" style="139" customWidth="1"/>
    <col min="8510" max="8510" width="8.28515625" style="139" customWidth="1"/>
    <col min="8511" max="8511" width="8.85546875" style="139" customWidth="1"/>
    <col min="8512" max="8512" width="8.5703125" style="139" customWidth="1"/>
    <col min="8513" max="8514" width="8.7109375" style="139" customWidth="1"/>
    <col min="8515" max="8704" width="11.42578125" style="139"/>
    <col min="8705" max="8705" width="32.7109375" style="139" customWidth="1"/>
    <col min="8706" max="8706" width="7.28515625" style="139" customWidth="1"/>
    <col min="8707" max="8707" width="8.42578125" style="139" customWidth="1"/>
    <col min="8708" max="8708" width="12.140625" style="139" customWidth="1"/>
    <col min="8709" max="8709" width="7.5703125" style="139" customWidth="1"/>
    <col min="8710" max="8710" width="9" style="139" customWidth="1"/>
    <col min="8711" max="8711" width="12.42578125" style="139" customWidth="1"/>
    <col min="8712" max="8712" width="7.42578125" style="139" customWidth="1"/>
    <col min="8713" max="8713" width="9.42578125" style="139" customWidth="1"/>
    <col min="8714" max="8714" width="12.7109375" style="139" customWidth="1"/>
    <col min="8715" max="8715" width="8.7109375" style="139" customWidth="1"/>
    <col min="8716" max="8716" width="8.42578125" style="139" customWidth="1"/>
    <col min="8717" max="8717" width="12.140625" style="139" customWidth="1"/>
    <col min="8718" max="8718" width="9" style="139" customWidth="1"/>
    <col min="8719" max="8719" width="9.140625" style="139" customWidth="1"/>
    <col min="8720" max="8720" width="12" style="139" customWidth="1"/>
    <col min="8721" max="8721" width="7.7109375" style="139" customWidth="1"/>
    <col min="8722" max="8722" width="9.85546875" style="139" customWidth="1"/>
    <col min="8723" max="8723" width="7.5703125" style="139" customWidth="1"/>
    <col min="8724" max="8724" width="7.7109375" style="139" customWidth="1"/>
    <col min="8725" max="8725" width="9.42578125" style="139" customWidth="1"/>
    <col min="8726" max="8726" width="9.5703125" style="139" customWidth="1"/>
    <col min="8727" max="8728" width="8.5703125" style="139" customWidth="1"/>
    <col min="8729" max="8729" width="8.7109375" style="139" customWidth="1"/>
    <col min="8730" max="8730" width="8.85546875" style="139" customWidth="1"/>
    <col min="8731" max="8731" width="8.5703125" style="139" customWidth="1"/>
    <col min="8732" max="8732" width="7.85546875" style="139" customWidth="1"/>
    <col min="8733" max="8734" width="8.7109375" style="139" customWidth="1"/>
    <col min="8735" max="8735" width="8" style="139" customWidth="1"/>
    <col min="8736" max="8736" width="8.42578125" style="139" customWidth="1"/>
    <col min="8737" max="8737" width="8" style="139" customWidth="1"/>
    <col min="8738" max="8738" width="7.85546875" style="139" customWidth="1"/>
    <col min="8739" max="8739" width="8" style="139" customWidth="1"/>
    <col min="8740" max="8740" width="8.28515625" style="139" customWidth="1"/>
    <col min="8741" max="8741" width="8.85546875" style="139" customWidth="1"/>
    <col min="8742" max="8742" width="8.5703125" style="139" customWidth="1"/>
    <col min="8743" max="8744" width="8.7109375" style="139" customWidth="1"/>
    <col min="8745" max="8745" width="7.85546875" style="139" customWidth="1"/>
    <col min="8746" max="8747" width="8.7109375" style="139" customWidth="1"/>
    <col min="8748" max="8748" width="8" style="139" customWidth="1"/>
    <col min="8749" max="8749" width="8.42578125" style="139" customWidth="1"/>
    <col min="8750" max="8750" width="8" style="139" customWidth="1"/>
    <col min="8751" max="8751" width="7.85546875" style="139" customWidth="1"/>
    <col min="8752" max="8752" width="8" style="139" customWidth="1"/>
    <col min="8753" max="8753" width="8.28515625" style="139" customWidth="1"/>
    <col min="8754" max="8754" width="8.85546875" style="139" customWidth="1"/>
    <col min="8755" max="8755" width="8.5703125" style="139" customWidth="1"/>
    <col min="8756" max="8757" width="8.7109375" style="139" customWidth="1"/>
    <col min="8758" max="8758" width="7.85546875" style="139" customWidth="1"/>
    <col min="8759" max="8760" width="8.7109375" style="139" customWidth="1"/>
    <col min="8761" max="8761" width="8" style="139" customWidth="1"/>
    <col min="8762" max="8762" width="8.42578125" style="139" customWidth="1"/>
    <col min="8763" max="8763" width="8" style="139" customWidth="1"/>
    <col min="8764" max="8764" width="7.85546875" style="139" customWidth="1"/>
    <col min="8765" max="8765" width="8" style="139" customWidth="1"/>
    <col min="8766" max="8766" width="8.28515625" style="139" customWidth="1"/>
    <col min="8767" max="8767" width="8.85546875" style="139" customWidth="1"/>
    <col min="8768" max="8768" width="8.5703125" style="139" customWidth="1"/>
    <col min="8769" max="8770" width="8.7109375" style="139" customWidth="1"/>
    <col min="8771" max="8960" width="11.42578125" style="139"/>
    <col min="8961" max="8961" width="32.7109375" style="139" customWidth="1"/>
    <col min="8962" max="8962" width="7.28515625" style="139" customWidth="1"/>
    <col min="8963" max="8963" width="8.42578125" style="139" customWidth="1"/>
    <col min="8964" max="8964" width="12.140625" style="139" customWidth="1"/>
    <col min="8965" max="8965" width="7.5703125" style="139" customWidth="1"/>
    <col min="8966" max="8966" width="9" style="139" customWidth="1"/>
    <col min="8967" max="8967" width="12.42578125" style="139" customWidth="1"/>
    <col min="8968" max="8968" width="7.42578125" style="139" customWidth="1"/>
    <col min="8969" max="8969" width="9.42578125" style="139" customWidth="1"/>
    <col min="8970" max="8970" width="12.7109375" style="139" customWidth="1"/>
    <col min="8971" max="8971" width="8.7109375" style="139" customWidth="1"/>
    <col min="8972" max="8972" width="8.42578125" style="139" customWidth="1"/>
    <col min="8973" max="8973" width="12.140625" style="139" customWidth="1"/>
    <col min="8974" max="8974" width="9" style="139" customWidth="1"/>
    <col min="8975" max="8975" width="9.140625" style="139" customWidth="1"/>
    <col min="8976" max="8976" width="12" style="139" customWidth="1"/>
    <col min="8977" max="8977" width="7.7109375" style="139" customWidth="1"/>
    <col min="8978" max="8978" width="9.85546875" style="139" customWidth="1"/>
    <col min="8979" max="8979" width="7.5703125" style="139" customWidth="1"/>
    <col min="8980" max="8980" width="7.7109375" style="139" customWidth="1"/>
    <col min="8981" max="8981" width="9.42578125" style="139" customWidth="1"/>
    <col min="8982" max="8982" width="9.5703125" style="139" customWidth="1"/>
    <col min="8983" max="8984" width="8.5703125" style="139" customWidth="1"/>
    <col min="8985" max="8985" width="8.7109375" style="139" customWidth="1"/>
    <col min="8986" max="8986" width="8.85546875" style="139" customWidth="1"/>
    <col min="8987" max="8987" width="8.5703125" style="139" customWidth="1"/>
    <col min="8988" max="8988" width="7.85546875" style="139" customWidth="1"/>
    <col min="8989" max="8990" width="8.7109375" style="139" customWidth="1"/>
    <col min="8991" max="8991" width="8" style="139" customWidth="1"/>
    <col min="8992" max="8992" width="8.42578125" style="139" customWidth="1"/>
    <col min="8993" max="8993" width="8" style="139" customWidth="1"/>
    <col min="8994" max="8994" width="7.85546875" style="139" customWidth="1"/>
    <col min="8995" max="8995" width="8" style="139" customWidth="1"/>
    <col min="8996" max="8996" width="8.28515625" style="139" customWidth="1"/>
    <col min="8997" max="8997" width="8.85546875" style="139" customWidth="1"/>
    <col min="8998" max="8998" width="8.5703125" style="139" customWidth="1"/>
    <col min="8999" max="9000" width="8.7109375" style="139" customWidth="1"/>
    <col min="9001" max="9001" width="7.85546875" style="139" customWidth="1"/>
    <col min="9002" max="9003" width="8.7109375" style="139" customWidth="1"/>
    <col min="9004" max="9004" width="8" style="139" customWidth="1"/>
    <col min="9005" max="9005" width="8.42578125" style="139" customWidth="1"/>
    <col min="9006" max="9006" width="8" style="139" customWidth="1"/>
    <col min="9007" max="9007" width="7.85546875" style="139" customWidth="1"/>
    <col min="9008" max="9008" width="8" style="139" customWidth="1"/>
    <col min="9009" max="9009" width="8.28515625" style="139" customWidth="1"/>
    <col min="9010" max="9010" width="8.85546875" style="139" customWidth="1"/>
    <col min="9011" max="9011" width="8.5703125" style="139" customWidth="1"/>
    <col min="9012" max="9013" width="8.7109375" style="139" customWidth="1"/>
    <col min="9014" max="9014" width="7.85546875" style="139" customWidth="1"/>
    <col min="9015" max="9016" width="8.7109375" style="139" customWidth="1"/>
    <col min="9017" max="9017" width="8" style="139" customWidth="1"/>
    <col min="9018" max="9018" width="8.42578125" style="139" customWidth="1"/>
    <col min="9019" max="9019" width="8" style="139" customWidth="1"/>
    <col min="9020" max="9020" width="7.85546875" style="139" customWidth="1"/>
    <col min="9021" max="9021" width="8" style="139" customWidth="1"/>
    <col min="9022" max="9022" width="8.28515625" style="139" customWidth="1"/>
    <col min="9023" max="9023" width="8.85546875" style="139" customWidth="1"/>
    <col min="9024" max="9024" width="8.5703125" style="139" customWidth="1"/>
    <col min="9025" max="9026" width="8.7109375" style="139" customWidth="1"/>
    <col min="9027" max="9216" width="11.42578125" style="139"/>
    <col min="9217" max="9217" width="32.7109375" style="139" customWidth="1"/>
    <col min="9218" max="9218" width="7.28515625" style="139" customWidth="1"/>
    <col min="9219" max="9219" width="8.42578125" style="139" customWidth="1"/>
    <col min="9220" max="9220" width="12.140625" style="139" customWidth="1"/>
    <col min="9221" max="9221" width="7.5703125" style="139" customWidth="1"/>
    <col min="9222" max="9222" width="9" style="139" customWidth="1"/>
    <col min="9223" max="9223" width="12.42578125" style="139" customWidth="1"/>
    <col min="9224" max="9224" width="7.42578125" style="139" customWidth="1"/>
    <col min="9225" max="9225" width="9.42578125" style="139" customWidth="1"/>
    <col min="9226" max="9226" width="12.7109375" style="139" customWidth="1"/>
    <col min="9227" max="9227" width="8.7109375" style="139" customWidth="1"/>
    <col min="9228" max="9228" width="8.42578125" style="139" customWidth="1"/>
    <col min="9229" max="9229" width="12.140625" style="139" customWidth="1"/>
    <col min="9230" max="9230" width="9" style="139" customWidth="1"/>
    <col min="9231" max="9231" width="9.140625" style="139" customWidth="1"/>
    <col min="9232" max="9232" width="12" style="139" customWidth="1"/>
    <col min="9233" max="9233" width="7.7109375" style="139" customWidth="1"/>
    <col min="9234" max="9234" width="9.85546875" style="139" customWidth="1"/>
    <col min="9235" max="9235" width="7.5703125" style="139" customWidth="1"/>
    <col min="9236" max="9236" width="7.7109375" style="139" customWidth="1"/>
    <col min="9237" max="9237" width="9.42578125" style="139" customWidth="1"/>
    <col min="9238" max="9238" width="9.5703125" style="139" customWidth="1"/>
    <col min="9239" max="9240" width="8.5703125" style="139" customWidth="1"/>
    <col min="9241" max="9241" width="8.7109375" style="139" customWidth="1"/>
    <col min="9242" max="9242" width="8.85546875" style="139" customWidth="1"/>
    <col min="9243" max="9243" width="8.5703125" style="139" customWidth="1"/>
    <col min="9244" max="9244" width="7.85546875" style="139" customWidth="1"/>
    <col min="9245" max="9246" width="8.7109375" style="139" customWidth="1"/>
    <col min="9247" max="9247" width="8" style="139" customWidth="1"/>
    <col min="9248" max="9248" width="8.42578125" style="139" customWidth="1"/>
    <col min="9249" max="9249" width="8" style="139" customWidth="1"/>
    <col min="9250" max="9250" width="7.85546875" style="139" customWidth="1"/>
    <col min="9251" max="9251" width="8" style="139" customWidth="1"/>
    <col min="9252" max="9252" width="8.28515625" style="139" customWidth="1"/>
    <col min="9253" max="9253" width="8.85546875" style="139" customWidth="1"/>
    <col min="9254" max="9254" width="8.5703125" style="139" customWidth="1"/>
    <col min="9255" max="9256" width="8.7109375" style="139" customWidth="1"/>
    <col min="9257" max="9257" width="7.85546875" style="139" customWidth="1"/>
    <col min="9258" max="9259" width="8.7109375" style="139" customWidth="1"/>
    <col min="9260" max="9260" width="8" style="139" customWidth="1"/>
    <col min="9261" max="9261" width="8.42578125" style="139" customWidth="1"/>
    <col min="9262" max="9262" width="8" style="139" customWidth="1"/>
    <col min="9263" max="9263" width="7.85546875" style="139" customWidth="1"/>
    <col min="9264" max="9264" width="8" style="139" customWidth="1"/>
    <col min="9265" max="9265" width="8.28515625" style="139" customWidth="1"/>
    <col min="9266" max="9266" width="8.85546875" style="139" customWidth="1"/>
    <col min="9267" max="9267" width="8.5703125" style="139" customWidth="1"/>
    <col min="9268" max="9269" width="8.7109375" style="139" customWidth="1"/>
    <col min="9270" max="9270" width="7.85546875" style="139" customWidth="1"/>
    <col min="9271" max="9272" width="8.7109375" style="139" customWidth="1"/>
    <col min="9273" max="9273" width="8" style="139" customWidth="1"/>
    <col min="9274" max="9274" width="8.42578125" style="139" customWidth="1"/>
    <col min="9275" max="9275" width="8" style="139" customWidth="1"/>
    <col min="9276" max="9276" width="7.85546875" style="139" customWidth="1"/>
    <col min="9277" max="9277" width="8" style="139" customWidth="1"/>
    <col min="9278" max="9278" width="8.28515625" style="139" customWidth="1"/>
    <col min="9279" max="9279" width="8.85546875" style="139" customWidth="1"/>
    <col min="9280" max="9280" width="8.5703125" style="139" customWidth="1"/>
    <col min="9281" max="9282" width="8.7109375" style="139" customWidth="1"/>
    <col min="9283" max="9472" width="11.42578125" style="139"/>
    <col min="9473" max="9473" width="32.7109375" style="139" customWidth="1"/>
    <col min="9474" max="9474" width="7.28515625" style="139" customWidth="1"/>
    <col min="9475" max="9475" width="8.42578125" style="139" customWidth="1"/>
    <col min="9476" max="9476" width="12.140625" style="139" customWidth="1"/>
    <col min="9477" max="9477" width="7.5703125" style="139" customWidth="1"/>
    <col min="9478" max="9478" width="9" style="139" customWidth="1"/>
    <col min="9479" max="9479" width="12.42578125" style="139" customWidth="1"/>
    <col min="9480" max="9480" width="7.42578125" style="139" customWidth="1"/>
    <col min="9481" max="9481" width="9.42578125" style="139" customWidth="1"/>
    <col min="9482" max="9482" width="12.7109375" style="139" customWidth="1"/>
    <col min="9483" max="9483" width="8.7109375" style="139" customWidth="1"/>
    <col min="9484" max="9484" width="8.42578125" style="139" customWidth="1"/>
    <col min="9485" max="9485" width="12.140625" style="139" customWidth="1"/>
    <col min="9486" max="9486" width="9" style="139" customWidth="1"/>
    <col min="9487" max="9487" width="9.140625" style="139" customWidth="1"/>
    <col min="9488" max="9488" width="12" style="139" customWidth="1"/>
    <col min="9489" max="9489" width="7.7109375" style="139" customWidth="1"/>
    <col min="9490" max="9490" width="9.85546875" style="139" customWidth="1"/>
    <col min="9491" max="9491" width="7.5703125" style="139" customWidth="1"/>
    <col min="9492" max="9492" width="7.7109375" style="139" customWidth="1"/>
    <col min="9493" max="9493" width="9.42578125" style="139" customWidth="1"/>
    <col min="9494" max="9494" width="9.5703125" style="139" customWidth="1"/>
    <col min="9495" max="9496" width="8.5703125" style="139" customWidth="1"/>
    <col min="9497" max="9497" width="8.7109375" style="139" customWidth="1"/>
    <col min="9498" max="9498" width="8.85546875" style="139" customWidth="1"/>
    <col min="9499" max="9499" width="8.5703125" style="139" customWidth="1"/>
    <col min="9500" max="9500" width="7.85546875" style="139" customWidth="1"/>
    <col min="9501" max="9502" width="8.7109375" style="139" customWidth="1"/>
    <col min="9503" max="9503" width="8" style="139" customWidth="1"/>
    <col min="9504" max="9504" width="8.42578125" style="139" customWidth="1"/>
    <col min="9505" max="9505" width="8" style="139" customWidth="1"/>
    <col min="9506" max="9506" width="7.85546875" style="139" customWidth="1"/>
    <col min="9507" max="9507" width="8" style="139" customWidth="1"/>
    <col min="9508" max="9508" width="8.28515625" style="139" customWidth="1"/>
    <col min="9509" max="9509" width="8.85546875" style="139" customWidth="1"/>
    <col min="9510" max="9510" width="8.5703125" style="139" customWidth="1"/>
    <col min="9511" max="9512" width="8.7109375" style="139" customWidth="1"/>
    <col min="9513" max="9513" width="7.85546875" style="139" customWidth="1"/>
    <col min="9514" max="9515" width="8.7109375" style="139" customWidth="1"/>
    <col min="9516" max="9516" width="8" style="139" customWidth="1"/>
    <col min="9517" max="9517" width="8.42578125" style="139" customWidth="1"/>
    <col min="9518" max="9518" width="8" style="139" customWidth="1"/>
    <col min="9519" max="9519" width="7.85546875" style="139" customWidth="1"/>
    <col min="9520" max="9520" width="8" style="139" customWidth="1"/>
    <col min="9521" max="9521" width="8.28515625" style="139" customWidth="1"/>
    <col min="9522" max="9522" width="8.85546875" style="139" customWidth="1"/>
    <col min="9523" max="9523" width="8.5703125" style="139" customWidth="1"/>
    <col min="9524" max="9525" width="8.7109375" style="139" customWidth="1"/>
    <col min="9526" max="9526" width="7.85546875" style="139" customWidth="1"/>
    <col min="9527" max="9528" width="8.7109375" style="139" customWidth="1"/>
    <col min="9529" max="9529" width="8" style="139" customWidth="1"/>
    <col min="9530" max="9530" width="8.42578125" style="139" customWidth="1"/>
    <col min="9531" max="9531" width="8" style="139" customWidth="1"/>
    <col min="9532" max="9532" width="7.85546875" style="139" customWidth="1"/>
    <col min="9533" max="9533" width="8" style="139" customWidth="1"/>
    <col min="9534" max="9534" width="8.28515625" style="139" customWidth="1"/>
    <col min="9535" max="9535" width="8.85546875" style="139" customWidth="1"/>
    <col min="9536" max="9536" width="8.5703125" style="139" customWidth="1"/>
    <col min="9537" max="9538" width="8.7109375" style="139" customWidth="1"/>
    <col min="9539" max="9728" width="11.42578125" style="139"/>
    <col min="9729" max="9729" width="32.7109375" style="139" customWidth="1"/>
    <col min="9730" max="9730" width="7.28515625" style="139" customWidth="1"/>
    <col min="9731" max="9731" width="8.42578125" style="139" customWidth="1"/>
    <col min="9732" max="9732" width="12.140625" style="139" customWidth="1"/>
    <col min="9733" max="9733" width="7.5703125" style="139" customWidth="1"/>
    <col min="9734" max="9734" width="9" style="139" customWidth="1"/>
    <col min="9735" max="9735" width="12.42578125" style="139" customWidth="1"/>
    <col min="9736" max="9736" width="7.42578125" style="139" customWidth="1"/>
    <col min="9737" max="9737" width="9.42578125" style="139" customWidth="1"/>
    <col min="9738" max="9738" width="12.7109375" style="139" customWidth="1"/>
    <col min="9739" max="9739" width="8.7109375" style="139" customWidth="1"/>
    <col min="9740" max="9740" width="8.42578125" style="139" customWidth="1"/>
    <col min="9741" max="9741" width="12.140625" style="139" customWidth="1"/>
    <col min="9742" max="9742" width="9" style="139" customWidth="1"/>
    <col min="9743" max="9743" width="9.140625" style="139" customWidth="1"/>
    <col min="9744" max="9744" width="12" style="139" customWidth="1"/>
    <col min="9745" max="9745" width="7.7109375" style="139" customWidth="1"/>
    <col min="9746" max="9746" width="9.85546875" style="139" customWidth="1"/>
    <col min="9747" max="9747" width="7.5703125" style="139" customWidth="1"/>
    <col min="9748" max="9748" width="7.7109375" style="139" customWidth="1"/>
    <col min="9749" max="9749" width="9.42578125" style="139" customWidth="1"/>
    <col min="9750" max="9750" width="9.5703125" style="139" customWidth="1"/>
    <col min="9751" max="9752" width="8.5703125" style="139" customWidth="1"/>
    <col min="9753" max="9753" width="8.7109375" style="139" customWidth="1"/>
    <col min="9754" max="9754" width="8.85546875" style="139" customWidth="1"/>
    <col min="9755" max="9755" width="8.5703125" style="139" customWidth="1"/>
    <col min="9756" max="9756" width="7.85546875" style="139" customWidth="1"/>
    <col min="9757" max="9758" width="8.7109375" style="139" customWidth="1"/>
    <col min="9759" max="9759" width="8" style="139" customWidth="1"/>
    <col min="9760" max="9760" width="8.42578125" style="139" customWidth="1"/>
    <col min="9761" max="9761" width="8" style="139" customWidth="1"/>
    <col min="9762" max="9762" width="7.85546875" style="139" customWidth="1"/>
    <col min="9763" max="9763" width="8" style="139" customWidth="1"/>
    <col min="9764" max="9764" width="8.28515625" style="139" customWidth="1"/>
    <col min="9765" max="9765" width="8.85546875" style="139" customWidth="1"/>
    <col min="9766" max="9766" width="8.5703125" style="139" customWidth="1"/>
    <col min="9767" max="9768" width="8.7109375" style="139" customWidth="1"/>
    <col min="9769" max="9769" width="7.85546875" style="139" customWidth="1"/>
    <col min="9770" max="9771" width="8.7109375" style="139" customWidth="1"/>
    <col min="9772" max="9772" width="8" style="139" customWidth="1"/>
    <col min="9773" max="9773" width="8.42578125" style="139" customWidth="1"/>
    <col min="9774" max="9774" width="8" style="139" customWidth="1"/>
    <col min="9775" max="9775" width="7.85546875" style="139" customWidth="1"/>
    <col min="9776" max="9776" width="8" style="139" customWidth="1"/>
    <col min="9777" max="9777" width="8.28515625" style="139" customWidth="1"/>
    <col min="9778" max="9778" width="8.85546875" style="139" customWidth="1"/>
    <col min="9779" max="9779" width="8.5703125" style="139" customWidth="1"/>
    <col min="9780" max="9781" width="8.7109375" style="139" customWidth="1"/>
    <col min="9782" max="9782" width="7.85546875" style="139" customWidth="1"/>
    <col min="9783" max="9784" width="8.7109375" style="139" customWidth="1"/>
    <col min="9785" max="9785" width="8" style="139" customWidth="1"/>
    <col min="9786" max="9786" width="8.42578125" style="139" customWidth="1"/>
    <col min="9787" max="9787" width="8" style="139" customWidth="1"/>
    <col min="9788" max="9788" width="7.85546875" style="139" customWidth="1"/>
    <col min="9789" max="9789" width="8" style="139" customWidth="1"/>
    <col min="9790" max="9790" width="8.28515625" style="139" customWidth="1"/>
    <col min="9791" max="9791" width="8.85546875" style="139" customWidth="1"/>
    <col min="9792" max="9792" width="8.5703125" style="139" customWidth="1"/>
    <col min="9793" max="9794" width="8.7109375" style="139" customWidth="1"/>
    <col min="9795" max="9984" width="11.42578125" style="139"/>
    <col min="9985" max="9985" width="32.7109375" style="139" customWidth="1"/>
    <col min="9986" max="9986" width="7.28515625" style="139" customWidth="1"/>
    <col min="9987" max="9987" width="8.42578125" style="139" customWidth="1"/>
    <col min="9988" max="9988" width="12.140625" style="139" customWidth="1"/>
    <col min="9989" max="9989" width="7.5703125" style="139" customWidth="1"/>
    <col min="9990" max="9990" width="9" style="139" customWidth="1"/>
    <col min="9991" max="9991" width="12.42578125" style="139" customWidth="1"/>
    <col min="9992" max="9992" width="7.42578125" style="139" customWidth="1"/>
    <col min="9993" max="9993" width="9.42578125" style="139" customWidth="1"/>
    <col min="9994" max="9994" width="12.7109375" style="139" customWidth="1"/>
    <col min="9995" max="9995" width="8.7109375" style="139" customWidth="1"/>
    <col min="9996" max="9996" width="8.42578125" style="139" customWidth="1"/>
    <col min="9997" max="9997" width="12.140625" style="139" customWidth="1"/>
    <col min="9998" max="9998" width="9" style="139" customWidth="1"/>
    <col min="9999" max="9999" width="9.140625" style="139" customWidth="1"/>
    <col min="10000" max="10000" width="12" style="139" customWidth="1"/>
    <col min="10001" max="10001" width="7.7109375" style="139" customWidth="1"/>
    <col min="10002" max="10002" width="9.85546875" style="139" customWidth="1"/>
    <col min="10003" max="10003" width="7.5703125" style="139" customWidth="1"/>
    <col min="10004" max="10004" width="7.7109375" style="139" customWidth="1"/>
    <col min="10005" max="10005" width="9.42578125" style="139" customWidth="1"/>
    <col min="10006" max="10006" width="9.5703125" style="139" customWidth="1"/>
    <col min="10007" max="10008" width="8.5703125" style="139" customWidth="1"/>
    <col min="10009" max="10009" width="8.7109375" style="139" customWidth="1"/>
    <col min="10010" max="10010" width="8.85546875" style="139" customWidth="1"/>
    <col min="10011" max="10011" width="8.5703125" style="139" customWidth="1"/>
    <col min="10012" max="10012" width="7.85546875" style="139" customWidth="1"/>
    <col min="10013" max="10014" width="8.7109375" style="139" customWidth="1"/>
    <col min="10015" max="10015" width="8" style="139" customWidth="1"/>
    <col min="10016" max="10016" width="8.42578125" style="139" customWidth="1"/>
    <col min="10017" max="10017" width="8" style="139" customWidth="1"/>
    <col min="10018" max="10018" width="7.85546875" style="139" customWidth="1"/>
    <col min="10019" max="10019" width="8" style="139" customWidth="1"/>
    <col min="10020" max="10020" width="8.28515625" style="139" customWidth="1"/>
    <col min="10021" max="10021" width="8.85546875" style="139" customWidth="1"/>
    <col min="10022" max="10022" width="8.5703125" style="139" customWidth="1"/>
    <col min="10023" max="10024" width="8.7109375" style="139" customWidth="1"/>
    <col min="10025" max="10025" width="7.85546875" style="139" customWidth="1"/>
    <col min="10026" max="10027" width="8.7109375" style="139" customWidth="1"/>
    <col min="10028" max="10028" width="8" style="139" customWidth="1"/>
    <col min="10029" max="10029" width="8.42578125" style="139" customWidth="1"/>
    <col min="10030" max="10030" width="8" style="139" customWidth="1"/>
    <col min="10031" max="10031" width="7.85546875" style="139" customWidth="1"/>
    <col min="10032" max="10032" width="8" style="139" customWidth="1"/>
    <col min="10033" max="10033" width="8.28515625" style="139" customWidth="1"/>
    <col min="10034" max="10034" width="8.85546875" style="139" customWidth="1"/>
    <col min="10035" max="10035" width="8.5703125" style="139" customWidth="1"/>
    <col min="10036" max="10037" width="8.7109375" style="139" customWidth="1"/>
    <col min="10038" max="10038" width="7.85546875" style="139" customWidth="1"/>
    <col min="10039" max="10040" width="8.7109375" style="139" customWidth="1"/>
    <col min="10041" max="10041" width="8" style="139" customWidth="1"/>
    <col min="10042" max="10042" width="8.42578125" style="139" customWidth="1"/>
    <col min="10043" max="10043" width="8" style="139" customWidth="1"/>
    <col min="10044" max="10044" width="7.85546875" style="139" customWidth="1"/>
    <col min="10045" max="10045" width="8" style="139" customWidth="1"/>
    <col min="10046" max="10046" width="8.28515625" style="139" customWidth="1"/>
    <col min="10047" max="10047" width="8.85546875" style="139" customWidth="1"/>
    <col min="10048" max="10048" width="8.5703125" style="139" customWidth="1"/>
    <col min="10049" max="10050" width="8.7109375" style="139" customWidth="1"/>
    <col min="10051" max="10240" width="11.42578125" style="139"/>
    <col min="10241" max="10241" width="32.7109375" style="139" customWidth="1"/>
    <col min="10242" max="10242" width="7.28515625" style="139" customWidth="1"/>
    <col min="10243" max="10243" width="8.42578125" style="139" customWidth="1"/>
    <col min="10244" max="10244" width="12.140625" style="139" customWidth="1"/>
    <col min="10245" max="10245" width="7.5703125" style="139" customWidth="1"/>
    <col min="10246" max="10246" width="9" style="139" customWidth="1"/>
    <col min="10247" max="10247" width="12.42578125" style="139" customWidth="1"/>
    <col min="10248" max="10248" width="7.42578125" style="139" customWidth="1"/>
    <col min="10249" max="10249" width="9.42578125" style="139" customWidth="1"/>
    <col min="10250" max="10250" width="12.7109375" style="139" customWidth="1"/>
    <col min="10251" max="10251" width="8.7109375" style="139" customWidth="1"/>
    <col min="10252" max="10252" width="8.42578125" style="139" customWidth="1"/>
    <col min="10253" max="10253" width="12.140625" style="139" customWidth="1"/>
    <col min="10254" max="10254" width="9" style="139" customWidth="1"/>
    <col min="10255" max="10255" width="9.140625" style="139" customWidth="1"/>
    <col min="10256" max="10256" width="12" style="139" customWidth="1"/>
    <col min="10257" max="10257" width="7.7109375" style="139" customWidth="1"/>
    <col min="10258" max="10258" width="9.85546875" style="139" customWidth="1"/>
    <col min="10259" max="10259" width="7.5703125" style="139" customWidth="1"/>
    <col min="10260" max="10260" width="7.7109375" style="139" customWidth="1"/>
    <col min="10261" max="10261" width="9.42578125" style="139" customWidth="1"/>
    <col min="10262" max="10262" width="9.5703125" style="139" customWidth="1"/>
    <col min="10263" max="10264" width="8.5703125" style="139" customWidth="1"/>
    <col min="10265" max="10265" width="8.7109375" style="139" customWidth="1"/>
    <col min="10266" max="10266" width="8.85546875" style="139" customWidth="1"/>
    <col min="10267" max="10267" width="8.5703125" style="139" customWidth="1"/>
    <col min="10268" max="10268" width="7.85546875" style="139" customWidth="1"/>
    <col min="10269" max="10270" width="8.7109375" style="139" customWidth="1"/>
    <col min="10271" max="10271" width="8" style="139" customWidth="1"/>
    <col min="10272" max="10272" width="8.42578125" style="139" customWidth="1"/>
    <col min="10273" max="10273" width="8" style="139" customWidth="1"/>
    <col min="10274" max="10274" width="7.85546875" style="139" customWidth="1"/>
    <col min="10275" max="10275" width="8" style="139" customWidth="1"/>
    <col min="10276" max="10276" width="8.28515625" style="139" customWidth="1"/>
    <col min="10277" max="10277" width="8.85546875" style="139" customWidth="1"/>
    <col min="10278" max="10278" width="8.5703125" style="139" customWidth="1"/>
    <col min="10279" max="10280" width="8.7109375" style="139" customWidth="1"/>
    <col min="10281" max="10281" width="7.85546875" style="139" customWidth="1"/>
    <col min="10282" max="10283" width="8.7109375" style="139" customWidth="1"/>
    <col min="10284" max="10284" width="8" style="139" customWidth="1"/>
    <col min="10285" max="10285" width="8.42578125" style="139" customWidth="1"/>
    <col min="10286" max="10286" width="8" style="139" customWidth="1"/>
    <col min="10287" max="10287" width="7.85546875" style="139" customWidth="1"/>
    <col min="10288" max="10288" width="8" style="139" customWidth="1"/>
    <col min="10289" max="10289" width="8.28515625" style="139" customWidth="1"/>
    <col min="10290" max="10290" width="8.85546875" style="139" customWidth="1"/>
    <col min="10291" max="10291" width="8.5703125" style="139" customWidth="1"/>
    <col min="10292" max="10293" width="8.7109375" style="139" customWidth="1"/>
    <col min="10294" max="10294" width="7.85546875" style="139" customWidth="1"/>
    <col min="10295" max="10296" width="8.7109375" style="139" customWidth="1"/>
    <col min="10297" max="10297" width="8" style="139" customWidth="1"/>
    <col min="10298" max="10298" width="8.42578125" style="139" customWidth="1"/>
    <col min="10299" max="10299" width="8" style="139" customWidth="1"/>
    <col min="10300" max="10300" width="7.85546875" style="139" customWidth="1"/>
    <col min="10301" max="10301" width="8" style="139" customWidth="1"/>
    <col min="10302" max="10302" width="8.28515625" style="139" customWidth="1"/>
    <col min="10303" max="10303" width="8.85546875" style="139" customWidth="1"/>
    <col min="10304" max="10304" width="8.5703125" style="139" customWidth="1"/>
    <col min="10305" max="10306" width="8.7109375" style="139" customWidth="1"/>
    <col min="10307" max="10496" width="11.42578125" style="139"/>
    <col min="10497" max="10497" width="32.7109375" style="139" customWidth="1"/>
    <col min="10498" max="10498" width="7.28515625" style="139" customWidth="1"/>
    <col min="10499" max="10499" width="8.42578125" style="139" customWidth="1"/>
    <col min="10500" max="10500" width="12.140625" style="139" customWidth="1"/>
    <col min="10501" max="10501" width="7.5703125" style="139" customWidth="1"/>
    <col min="10502" max="10502" width="9" style="139" customWidth="1"/>
    <col min="10503" max="10503" width="12.42578125" style="139" customWidth="1"/>
    <col min="10504" max="10504" width="7.42578125" style="139" customWidth="1"/>
    <col min="10505" max="10505" width="9.42578125" style="139" customWidth="1"/>
    <col min="10506" max="10506" width="12.7109375" style="139" customWidth="1"/>
    <col min="10507" max="10507" width="8.7109375" style="139" customWidth="1"/>
    <col min="10508" max="10508" width="8.42578125" style="139" customWidth="1"/>
    <col min="10509" max="10509" width="12.140625" style="139" customWidth="1"/>
    <col min="10510" max="10510" width="9" style="139" customWidth="1"/>
    <col min="10511" max="10511" width="9.140625" style="139" customWidth="1"/>
    <col min="10512" max="10512" width="12" style="139" customWidth="1"/>
    <col min="10513" max="10513" width="7.7109375" style="139" customWidth="1"/>
    <col min="10514" max="10514" width="9.85546875" style="139" customWidth="1"/>
    <col min="10515" max="10515" width="7.5703125" style="139" customWidth="1"/>
    <col min="10516" max="10516" width="7.7109375" style="139" customWidth="1"/>
    <col min="10517" max="10517" width="9.42578125" style="139" customWidth="1"/>
    <col min="10518" max="10518" width="9.5703125" style="139" customWidth="1"/>
    <col min="10519" max="10520" width="8.5703125" style="139" customWidth="1"/>
    <col min="10521" max="10521" width="8.7109375" style="139" customWidth="1"/>
    <col min="10522" max="10522" width="8.85546875" style="139" customWidth="1"/>
    <col min="10523" max="10523" width="8.5703125" style="139" customWidth="1"/>
    <col min="10524" max="10524" width="7.85546875" style="139" customWidth="1"/>
    <col min="10525" max="10526" width="8.7109375" style="139" customWidth="1"/>
    <col min="10527" max="10527" width="8" style="139" customWidth="1"/>
    <col min="10528" max="10528" width="8.42578125" style="139" customWidth="1"/>
    <col min="10529" max="10529" width="8" style="139" customWidth="1"/>
    <col min="10530" max="10530" width="7.85546875" style="139" customWidth="1"/>
    <col min="10531" max="10531" width="8" style="139" customWidth="1"/>
    <col min="10532" max="10532" width="8.28515625" style="139" customWidth="1"/>
    <col min="10533" max="10533" width="8.85546875" style="139" customWidth="1"/>
    <col min="10534" max="10534" width="8.5703125" style="139" customWidth="1"/>
    <col min="10535" max="10536" width="8.7109375" style="139" customWidth="1"/>
    <col min="10537" max="10537" width="7.85546875" style="139" customWidth="1"/>
    <col min="10538" max="10539" width="8.7109375" style="139" customWidth="1"/>
    <col min="10540" max="10540" width="8" style="139" customWidth="1"/>
    <col min="10541" max="10541" width="8.42578125" style="139" customWidth="1"/>
    <col min="10542" max="10542" width="8" style="139" customWidth="1"/>
    <col min="10543" max="10543" width="7.85546875" style="139" customWidth="1"/>
    <col min="10544" max="10544" width="8" style="139" customWidth="1"/>
    <col min="10545" max="10545" width="8.28515625" style="139" customWidth="1"/>
    <col min="10546" max="10546" width="8.85546875" style="139" customWidth="1"/>
    <col min="10547" max="10547" width="8.5703125" style="139" customWidth="1"/>
    <col min="10548" max="10549" width="8.7109375" style="139" customWidth="1"/>
    <col min="10550" max="10550" width="7.85546875" style="139" customWidth="1"/>
    <col min="10551" max="10552" width="8.7109375" style="139" customWidth="1"/>
    <col min="10553" max="10553" width="8" style="139" customWidth="1"/>
    <col min="10554" max="10554" width="8.42578125" style="139" customWidth="1"/>
    <col min="10555" max="10555" width="8" style="139" customWidth="1"/>
    <col min="10556" max="10556" width="7.85546875" style="139" customWidth="1"/>
    <col min="10557" max="10557" width="8" style="139" customWidth="1"/>
    <col min="10558" max="10558" width="8.28515625" style="139" customWidth="1"/>
    <col min="10559" max="10559" width="8.85546875" style="139" customWidth="1"/>
    <col min="10560" max="10560" width="8.5703125" style="139" customWidth="1"/>
    <col min="10561" max="10562" width="8.7109375" style="139" customWidth="1"/>
    <col min="10563" max="10752" width="11.42578125" style="139"/>
    <col min="10753" max="10753" width="32.7109375" style="139" customWidth="1"/>
    <col min="10754" max="10754" width="7.28515625" style="139" customWidth="1"/>
    <col min="10755" max="10755" width="8.42578125" style="139" customWidth="1"/>
    <col min="10756" max="10756" width="12.140625" style="139" customWidth="1"/>
    <col min="10757" max="10757" width="7.5703125" style="139" customWidth="1"/>
    <col min="10758" max="10758" width="9" style="139" customWidth="1"/>
    <col min="10759" max="10759" width="12.42578125" style="139" customWidth="1"/>
    <col min="10760" max="10760" width="7.42578125" style="139" customWidth="1"/>
    <col min="10761" max="10761" width="9.42578125" style="139" customWidth="1"/>
    <col min="10762" max="10762" width="12.7109375" style="139" customWidth="1"/>
    <col min="10763" max="10763" width="8.7109375" style="139" customWidth="1"/>
    <col min="10764" max="10764" width="8.42578125" style="139" customWidth="1"/>
    <col min="10765" max="10765" width="12.140625" style="139" customWidth="1"/>
    <col min="10766" max="10766" width="9" style="139" customWidth="1"/>
    <col min="10767" max="10767" width="9.140625" style="139" customWidth="1"/>
    <col min="10768" max="10768" width="12" style="139" customWidth="1"/>
    <col min="10769" max="10769" width="7.7109375" style="139" customWidth="1"/>
    <col min="10770" max="10770" width="9.85546875" style="139" customWidth="1"/>
    <col min="10771" max="10771" width="7.5703125" style="139" customWidth="1"/>
    <col min="10772" max="10772" width="7.7109375" style="139" customWidth="1"/>
    <col min="10773" max="10773" width="9.42578125" style="139" customWidth="1"/>
    <col min="10774" max="10774" width="9.5703125" style="139" customWidth="1"/>
    <col min="10775" max="10776" width="8.5703125" style="139" customWidth="1"/>
    <col min="10777" max="10777" width="8.7109375" style="139" customWidth="1"/>
    <col min="10778" max="10778" width="8.85546875" style="139" customWidth="1"/>
    <col min="10779" max="10779" width="8.5703125" style="139" customWidth="1"/>
    <col min="10780" max="10780" width="7.85546875" style="139" customWidth="1"/>
    <col min="10781" max="10782" width="8.7109375" style="139" customWidth="1"/>
    <col min="10783" max="10783" width="8" style="139" customWidth="1"/>
    <col min="10784" max="10784" width="8.42578125" style="139" customWidth="1"/>
    <col min="10785" max="10785" width="8" style="139" customWidth="1"/>
    <col min="10786" max="10786" width="7.85546875" style="139" customWidth="1"/>
    <col min="10787" max="10787" width="8" style="139" customWidth="1"/>
    <col min="10788" max="10788" width="8.28515625" style="139" customWidth="1"/>
    <col min="10789" max="10789" width="8.85546875" style="139" customWidth="1"/>
    <col min="10790" max="10790" width="8.5703125" style="139" customWidth="1"/>
    <col min="10791" max="10792" width="8.7109375" style="139" customWidth="1"/>
    <col min="10793" max="10793" width="7.85546875" style="139" customWidth="1"/>
    <col min="10794" max="10795" width="8.7109375" style="139" customWidth="1"/>
    <col min="10796" max="10796" width="8" style="139" customWidth="1"/>
    <col min="10797" max="10797" width="8.42578125" style="139" customWidth="1"/>
    <col min="10798" max="10798" width="8" style="139" customWidth="1"/>
    <col min="10799" max="10799" width="7.85546875" style="139" customWidth="1"/>
    <col min="10800" max="10800" width="8" style="139" customWidth="1"/>
    <col min="10801" max="10801" width="8.28515625" style="139" customWidth="1"/>
    <col min="10802" max="10802" width="8.85546875" style="139" customWidth="1"/>
    <col min="10803" max="10803" width="8.5703125" style="139" customWidth="1"/>
    <col min="10804" max="10805" width="8.7109375" style="139" customWidth="1"/>
    <col min="10806" max="10806" width="7.85546875" style="139" customWidth="1"/>
    <col min="10807" max="10808" width="8.7109375" style="139" customWidth="1"/>
    <col min="10809" max="10809" width="8" style="139" customWidth="1"/>
    <col min="10810" max="10810" width="8.42578125" style="139" customWidth="1"/>
    <col min="10811" max="10811" width="8" style="139" customWidth="1"/>
    <col min="10812" max="10812" width="7.85546875" style="139" customWidth="1"/>
    <col min="10813" max="10813" width="8" style="139" customWidth="1"/>
    <col min="10814" max="10814" width="8.28515625" style="139" customWidth="1"/>
    <col min="10815" max="10815" width="8.85546875" style="139" customWidth="1"/>
    <col min="10816" max="10816" width="8.5703125" style="139" customWidth="1"/>
    <col min="10817" max="10818" width="8.7109375" style="139" customWidth="1"/>
    <col min="10819" max="11008" width="11.42578125" style="139"/>
    <col min="11009" max="11009" width="32.7109375" style="139" customWidth="1"/>
    <col min="11010" max="11010" width="7.28515625" style="139" customWidth="1"/>
    <col min="11011" max="11011" width="8.42578125" style="139" customWidth="1"/>
    <col min="11012" max="11012" width="12.140625" style="139" customWidth="1"/>
    <col min="11013" max="11013" width="7.5703125" style="139" customWidth="1"/>
    <col min="11014" max="11014" width="9" style="139" customWidth="1"/>
    <col min="11015" max="11015" width="12.42578125" style="139" customWidth="1"/>
    <col min="11016" max="11016" width="7.42578125" style="139" customWidth="1"/>
    <col min="11017" max="11017" width="9.42578125" style="139" customWidth="1"/>
    <col min="11018" max="11018" width="12.7109375" style="139" customWidth="1"/>
    <col min="11019" max="11019" width="8.7109375" style="139" customWidth="1"/>
    <col min="11020" max="11020" width="8.42578125" style="139" customWidth="1"/>
    <col min="11021" max="11021" width="12.140625" style="139" customWidth="1"/>
    <col min="11022" max="11022" width="9" style="139" customWidth="1"/>
    <col min="11023" max="11023" width="9.140625" style="139" customWidth="1"/>
    <col min="11024" max="11024" width="12" style="139" customWidth="1"/>
    <col min="11025" max="11025" width="7.7109375" style="139" customWidth="1"/>
    <col min="11026" max="11026" width="9.85546875" style="139" customWidth="1"/>
    <col min="11027" max="11027" width="7.5703125" style="139" customWidth="1"/>
    <col min="11028" max="11028" width="7.7109375" style="139" customWidth="1"/>
    <col min="11029" max="11029" width="9.42578125" style="139" customWidth="1"/>
    <col min="11030" max="11030" width="9.5703125" style="139" customWidth="1"/>
    <col min="11031" max="11032" width="8.5703125" style="139" customWidth="1"/>
    <col min="11033" max="11033" width="8.7109375" style="139" customWidth="1"/>
    <col min="11034" max="11034" width="8.85546875" style="139" customWidth="1"/>
    <col min="11035" max="11035" width="8.5703125" style="139" customWidth="1"/>
    <col min="11036" max="11036" width="7.85546875" style="139" customWidth="1"/>
    <col min="11037" max="11038" width="8.7109375" style="139" customWidth="1"/>
    <col min="11039" max="11039" width="8" style="139" customWidth="1"/>
    <col min="11040" max="11040" width="8.42578125" style="139" customWidth="1"/>
    <col min="11041" max="11041" width="8" style="139" customWidth="1"/>
    <col min="11042" max="11042" width="7.85546875" style="139" customWidth="1"/>
    <col min="11043" max="11043" width="8" style="139" customWidth="1"/>
    <col min="11044" max="11044" width="8.28515625" style="139" customWidth="1"/>
    <col min="11045" max="11045" width="8.85546875" style="139" customWidth="1"/>
    <col min="11046" max="11046" width="8.5703125" style="139" customWidth="1"/>
    <col min="11047" max="11048" width="8.7109375" style="139" customWidth="1"/>
    <col min="11049" max="11049" width="7.85546875" style="139" customWidth="1"/>
    <col min="11050" max="11051" width="8.7109375" style="139" customWidth="1"/>
    <col min="11052" max="11052" width="8" style="139" customWidth="1"/>
    <col min="11053" max="11053" width="8.42578125" style="139" customWidth="1"/>
    <col min="11054" max="11054" width="8" style="139" customWidth="1"/>
    <col min="11055" max="11055" width="7.85546875" style="139" customWidth="1"/>
    <col min="11056" max="11056" width="8" style="139" customWidth="1"/>
    <col min="11057" max="11057" width="8.28515625" style="139" customWidth="1"/>
    <col min="11058" max="11058" width="8.85546875" style="139" customWidth="1"/>
    <col min="11059" max="11059" width="8.5703125" style="139" customWidth="1"/>
    <col min="11060" max="11061" width="8.7109375" style="139" customWidth="1"/>
    <col min="11062" max="11062" width="7.85546875" style="139" customWidth="1"/>
    <col min="11063" max="11064" width="8.7109375" style="139" customWidth="1"/>
    <col min="11065" max="11065" width="8" style="139" customWidth="1"/>
    <col min="11066" max="11066" width="8.42578125" style="139" customWidth="1"/>
    <col min="11067" max="11067" width="8" style="139" customWidth="1"/>
    <col min="11068" max="11068" width="7.85546875" style="139" customWidth="1"/>
    <col min="11069" max="11069" width="8" style="139" customWidth="1"/>
    <col min="11070" max="11070" width="8.28515625" style="139" customWidth="1"/>
    <col min="11071" max="11071" width="8.85546875" style="139" customWidth="1"/>
    <col min="11072" max="11072" width="8.5703125" style="139" customWidth="1"/>
    <col min="11073" max="11074" width="8.7109375" style="139" customWidth="1"/>
    <col min="11075" max="11264" width="11.42578125" style="139"/>
    <col min="11265" max="11265" width="32.7109375" style="139" customWidth="1"/>
    <col min="11266" max="11266" width="7.28515625" style="139" customWidth="1"/>
    <col min="11267" max="11267" width="8.42578125" style="139" customWidth="1"/>
    <col min="11268" max="11268" width="12.140625" style="139" customWidth="1"/>
    <col min="11269" max="11269" width="7.5703125" style="139" customWidth="1"/>
    <col min="11270" max="11270" width="9" style="139" customWidth="1"/>
    <col min="11271" max="11271" width="12.42578125" style="139" customWidth="1"/>
    <col min="11272" max="11272" width="7.42578125" style="139" customWidth="1"/>
    <col min="11273" max="11273" width="9.42578125" style="139" customWidth="1"/>
    <col min="11274" max="11274" width="12.7109375" style="139" customWidth="1"/>
    <col min="11275" max="11275" width="8.7109375" style="139" customWidth="1"/>
    <col min="11276" max="11276" width="8.42578125" style="139" customWidth="1"/>
    <col min="11277" max="11277" width="12.140625" style="139" customWidth="1"/>
    <col min="11278" max="11278" width="9" style="139" customWidth="1"/>
    <col min="11279" max="11279" width="9.140625" style="139" customWidth="1"/>
    <col min="11280" max="11280" width="12" style="139" customWidth="1"/>
    <col min="11281" max="11281" width="7.7109375" style="139" customWidth="1"/>
    <col min="11282" max="11282" width="9.85546875" style="139" customWidth="1"/>
    <col min="11283" max="11283" width="7.5703125" style="139" customWidth="1"/>
    <col min="11284" max="11284" width="7.7109375" style="139" customWidth="1"/>
    <col min="11285" max="11285" width="9.42578125" style="139" customWidth="1"/>
    <col min="11286" max="11286" width="9.5703125" style="139" customWidth="1"/>
    <col min="11287" max="11288" width="8.5703125" style="139" customWidth="1"/>
    <col min="11289" max="11289" width="8.7109375" style="139" customWidth="1"/>
    <col min="11290" max="11290" width="8.85546875" style="139" customWidth="1"/>
    <col min="11291" max="11291" width="8.5703125" style="139" customWidth="1"/>
    <col min="11292" max="11292" width="7.85546875" style="139" customWidth="1"/>
    <col min="11293" max="11294" width="8.7109375" style="139" customWidth="1"/>
    <col min="11295" max="11295" width="8" style="139" customWidth="1"/>
    <col min="11296" max="11296" width="8.42578125" style="139" customWidth="1"/>
    <col min="11297" max="11297" width="8" style="139" customWidth="1"/>
    <col min="11298" max="11298" width="7.85546875" style="139" customWidth="1"/>
    <col min="11299" max="11299" width="8" style="139" customWidth="1"/>
    <col min="11300" max="11300" width="8.28515625" style="139" customWidth="1"/>
    <col min="11301" max="11301" width="8.85546875" style="139" customWidth="1"/>
    <col min="11302" max="11302" width="8.5703125" style="139" customWidth="1"/>
    <col min="11303" max="11304" width="8.7109375" style="139" customWidth="1"/>
    <col min="11305" max="11305" width="7.85546875" style="139" customWidth="1"/>
    <col min="11306" max="11307" width="8.7109375" style="139" customWidth="1"/>
    <col min="11308" max="11308" width="8" style="139" customWidth="1"/>
    <col min="11309" max="11309" width="8.42578125" style="139" customWidth="1"/>
    <col min="11310" max="11310" width="8" style="139" customWidth="1"/>
    <col min="11311" max="11311" width="7.85546875" style="139" customWidth="1"/>
    <col min="11312" max="11312" width="8" style="139" customWidth="1"/>
    <col min="11313" max="11313" width="8.28515625" style="139" customWidth="1"/>
    <col min="11314" max="11314" width="8.85546875" style="139" customWidth="1"/>
    <col min="11315" max="11315" width="8.5703125" style="139" customWidth="1"/>
    <col min="11316" max="11317" width="8.7109375" style="139" customWidth="1"/>
    <col min="11318" max="11318" width="7.85546875" style="139" customWidth="1"/>
    <col min="11319" max="11320" width="8.7109375" style="139" customWidth="1"/>
    <col min="11321" max="11321" width="8" style="139" customWidth="1"/>
    <col min="11322" max="11322" width="8.42578125" style="139" customWidth="1"/>
    <col min="11323" max="11323" width="8" style="139" customWidth="1"/>
    <col min="11324" max="11324" width="7.85546875" style="139" customWidth="1"/>
    <col min="11325" max="11325" width="8" style="139" customWidth="1"/>
    <col min="11326" max="11326" width="8.28515625" style="139" customWidth="1"/>
    <col min="11327" max="11327" width="8.85546875" style="139" customWidth="1"/>
    <col min="11328" max="11328" width="8.5703125" style="139" customWidth="1"/>
    <col min="11329" max="11330" width="8.7109375" style="139" customWidth="1"/>
    <col min="11331" max="11520" width="11.42578125" style="139"/>
    <col min="11521" max="11521" width="32.7109375" style="139" customWidth="1"/>
    <col min="11522" max="11522" width="7.28515625" style="139" customWidth="1"/>
    <col min="11523" max="11523" width="8.42578125" style="139" customWidth="1"/>
    <col min="11524" max="11524" width="12.140625" style="139" customWidth="1"/>
    <col min="11525" max="11525" width="7.5703125" style="139" customWidth="1"/>
    <col min="11526" max="11526" width="9" style="139" customWidth="1"/>
    <col min="11527" max="11527" width="12.42578125" style="139" customWidth="1"/>
    <col min="11528" max="11528" width="7.42578125" style="139" customWidth="1"/>
    <col min="11529" max="11529" width="9.42578125" style="139" customWidth="1"/>
    <col min="11530" max="11530" width="12.7109375" style="139" customWidth="1"/>
    <col min="11531" max="11531" width="8.7109375" style="139" customWidth="1"/>
    <col min="11532" max="11532" width="8.42578125" style="139" customWidth="1"/>
    <col min="11533" max="11533" width="12.140625" style="139" customWidth="1"/>
    <col min="11534" max="11534" width="9" style="139" customWidth="1"/>
    <col min="11535" max="11535" width="9.140625" style="139" customWidth="1"/>
    <col min="11536" max="11536" width="12" style="139" customWidth="1"/>
    <col min="11537" max="11537" width="7.7109375" style="139" customWidth="1"/>
    <col min="11538" max="11538" width="9.85546875" style="139" customWidth="1"/>
    <col min="11539" max="11539" width="7.5703125" style="139" customWidth="1"/>
    <col min="11540" max="11540" width="7.7109375" style="139" customWidth="1"/>
    <col min="11541" max="11541" width="9.42578125" style="139" customWidth="1"/>
    <col min="11542" max="11542" width="9.5703125" style="139" customWidth="1"/>
    <col min="11543" max="11544" width="8.5703125" style="139" customWidth="1"/>
    <col min="11545" max="11545" width="8.7109375" style="139" customWidth="1"/>
    <col min="11546" max="11546" width="8.85546875" style="139" customWidth="1"/>
    <col min="11547" max="11547" width="8.5703125" style="139" customWidth="1"/>
    <col min="11548" max="11548" width="7.85546875" style="139" customWidth="1"/>
    <col min="11549" max="11550" width="8.7109375" style="139" customWidth="1"/>
    <col min="11551" max="11551" width="8" style="139" customWidth="1"/>
    <col min="11552" max="11552" width="8.42578125" style="139" customWidth="1"/>
    <col min="11553" max="11553" width="8" style="139" customWidth="1"/>
    <col min="11554" max="11554" width="7.85546875" style="139" customWidth="1"/>
    <col min="11555" max="11555" width="8" style="139" customWidth="1"/>
    <col min="11556" max="11556" width="8.28515625" style="139" customWidth="1"/>
    <col min="11557" max="11557" width="8.85546875" style="139" customWidth="1"/>
    <col min="11558" max="11558" width="8.5703125" style="139" customWidth="1"/>
    <col min="11559" max="11560" width="8.7109375" style="139" customWidth="1"/>
    <col min="11561" max="11561" width="7.85546875" style="139" customWidth="1"/>
    <col min="11562" max="11563" width="8.7109375" style="139" customWidth="1"/>
    <col min="11564" max="11564" width="8" style="139" customWidth="1"/>
    <col min="11565" max="11565" width="8.42578125" style="139" customWidth="1"/>
    <col min="11566" max="11566" width="8" style="139" customWidth="1"/>
    <col min="11567" max="11567" width="7.85546875" style="139" customWidth="1"/>
    <col min="11568" max="11568" width="8" style="139" customWidth="1"/>
    <col min="11569" max="11569" width="8.28515625" style="139" customWidth="1"/>
    <col min="11570" max="11570" width="8.85546875" style="139" customWidth="1"/>
    <col min="11571" max="11571" width="8.5703125" style="139" customWidth="1"/>
    <col min="11572" max="11573" width="8.7109375" style="139" customWidth="1"/>
    <col min="11574" max="11574" width="7.85546875" style="139" customWidth="1"/>
    <col min="11575" max="11576" width="8.7109375" style="139" customWidth="1"/>
    <col min="11577" max="11577" width="8" style="139" customWidth="1"/>
    <col min="11578" max="11578" width="8.42578125" style="139" customWidth="1"/>
    <col min="11579" max="11579" width="8" style="139" customWidth="1"/>
    <col min="11580" max="11580" width="7.85546875" style="139" customWidth="1"/>
    <col min="11581" max="11581" width="8" style="139" customWidth="1"/>
    <col min="11582" max="11582" width="8.28515625" style="139" customWidth="1"/>
    <col min="11583" max="11583" width="8.85546875" style="139" customWidth="1"/>
    <col min="11584" max="11584" width="8.5703125" style="139" customWidth="1"/>
    <col min="11585" max="11586" width="8.7109375" style="139" customWidth="1"/>
    <col min="11587" max="11776" width="11.42578125" style="139"/>
    <col min="11777" max="11777" width="32.7109375" style="139" customWidth="1"/>
    <col min="11778" max="11778" width="7.28515625" style="139" customWidth="1"/>
    <col min="11779" max="11779" width="8.42578125" style="139" customWidth="1"/>
    <col min="11780" max="11780" width="12.140625" style="139" customWidth="1"/>
    <col min="11781" max="11781" width="7.5703125" style="139" customWidth="1"/>
    <col min="11782" max="11782" width="9" style="139" customWidth="1"/>
    <col min="11783" max="11783" width="12.42578125" style="139" customWidth="1"/>
    <col min="11784" max="11784" width="7.42578125" style="139" customWidth="1"/>
    <col min="11785" max="11785" width="9.42578125" style="139" customWidth="1"/>
    <col min="11786" max="11786" width="12.7109375" style="139" customWidth="1"/>
    <col min="11787" max="11787" width="8.7109375" style="139" customWidth="1"/>
    <col min="11788" max="11788" width="8.42578125" style="139" customWidth="1"/>
    <col min="11789" max="11789" width="12.140625" style="139" customWidth="1"/>
    <col min="11790" max="11790" width="9" style="139" customWidth="1"/>
    <col min="11791" max="11791" width="9.140625" style="139" customWidth="1"/>
    <col min="11792" max="11792" width="12" style="139" customWidth="1"/>
    <col min="11793" max="11793" width="7.7109375" style="139" customWidth="1"/>
    <col min="11794" max="11794" width="9.85546875" style="139" customWidth="1"/>
    <col min="11795" max="11795" width="7.5703125" style="139" customWidth="1"/>
    <col min="11796" max="11796" width="7.7109375" style="139" customWidth="1"/>
    <col min="11797" max="11797" width="9.42578125" style="139" customWidth="1"/>
    <col min="11798" max="11798" width="9.5703125" style="139" customWidth="1"/>
    <col min="11799" max="11800" width="8.5703125" style="139" customWidth="1"/>
    <col min="11801" max="11801" width="8.7109375" style="139" customWidth="1"/>
    <col min="11802" max="11802" width="8.85546875" style="139" customWidth="1"/>
    <col min="11803" max="11803" width="8.5703125" style="139" customWidth="1"/>
    <col min="11804" max="11804" width="7.85546875" style="139" customWidth="1"/>
    <col min="11805" max="11806" width="8.7109375" style="139" customWidth="1"/>
    <col min="11807" max="11807" width="8" style="139" customWidth="1"/>
    <col min="11808" max="11808" width="8.42578125" style="139" customWidth="1"/>
    <col min="11809" max="11809" width="8" style="139" customWidth="1"/>
    <col min="11810" max="11810" width="7.85546875" style="139" customWidth="1"/>
    <col min="11811" max="11811" width="8" style="139" customWidth="1"/>
    <col min="11812" max="11812" width="8.28515625" style="139" customWidth="1"/>
    <col min="11813" max="11813" width="8.85546875" style="139" customWidth="1"/>
    <col min="11814" max="11814" width="8.5703125" style="139" customWidth="1"/>
    <col min="11815" max="11816" width="8.7109375" style="139" customWidth="1"/>
    <col min="11817" max="11817" width="7.85546875" style="139" customWidth="1"/>
    <col min="11818" max="11819" width="8.7109375" style="139" customWidth="1"/>
    <col min="11820" max="11820" width="8" style="139" customWidth="1"/>
    <col min="11821" max="11821" width="8.42578125" style="139" customWidth="1"/>
    <col min="11822" max="11822" width="8" style="139" customWidth="1"/>
    <col min="11823" max="11823" width="7.85546875" style="139" customWidth="1"/>
    <col min="11824" max="11824" width="8" style="139" customWidth="1"/>
    <col min="11825" max="11825" width="8.28515625" style="139" customWidth="1"/>
    <col min="11826" max="11826" width="8.85546875" style="139" customWidth="1"/>
    <col min="11827" max="11827" width="8.5703125" style="139" customWidth="1"/>
    <col min="11828" max="11829" width="8.7109375" style="139" customWidth="1"/>
    <col min="11830" max="11830" width="7.85546875" style="139" customWidth="1"/>
    <col min="11831" max="11832" width="8.7109375" style="139" customWidth="1"/>
    <col min="11833" max="11833" width="8" style="139" customWidth="1"/>
    <col min="11834" max="11834" width="8.42578125" style="139" customWidth="1"/>
    <col min="11835" max="11835" width="8" style="139" customWidth="1"/>
    <col min="11836" max="11836" width="7.85546875" style="139" customWidth="1"/>
    <col min="11837" max="11837" width="8" style="139" customWidth="1"/>
    <col min="11838" max="11838" width="8.28515625" style="139" customWidth="1"/>
    <col min="11839" max="11839" width="8.85546875" style="139" customWidth="1"/>
    <col min="11840" max="11840" width="8.5703125" style="139" customWidth="1"/>
    <col min="11841" max="11842" width="8.7109375" style="139" customWidth="1"/>
    <col min="11843" max="12032" width="11.42578125" style="139"/>
    <col min="12033" max="12033" width="32.7109375" style="139" customWidth="1"/>
    <col min="12034" max="12034" width="7.28515625" style="139" customWidth="1"/>
    <col min="12035" max="12035" width="8.42578125" style="139" customWidth="1"/>
    <col min="12036" max="12036" width="12.140625" style="139" customWidth="1"/>
    <col min="12037" max="12037" width="7.5703125" style="139" customWidth="1"/>
    <col min="12038" max="12038" width="9" style="139" customWidth="1"/>
    <col min="12039" max="12039" width="12.42578125" style="139" customWidth="1"/>
    <col min="12040" max="12040" width="7.42578125" style="139" customWidth="1"/>
    <col min="12041" max="12041" width="9.42578125" style="139" customWidth="1"/>
    <col min="12042" max="12042" width="12.7109375" style="139" customWidth="1"/>
    <col min="12043" max="12043" width="8.7109375" style="139" customWidth="1"/>
    <col min="12044" max="12044" width="8.42578125" style="139" customWidth="1"/>
    <col min="12045" max="12045" width="12.140625" style="139" customWidth="1"/>
    <col min="12046" max="12046" width="9" style="139" customWidth="1"/>
    <col min="12047" max="12047" width="9.140625" style="139" customWidth="1"/>
    <col min="12048" max="12048" width="12" style="139" customWidth="1"/>
    <col min="12049" max="12049" width="7.7109375" style="139" customWidth="1"/>
    <col min="12050" max="12050" width="9.85546875" style="139" customWidth="1"/>
    <col min="12051" max="12051" width="7.5703125" style="139" customWidth="1"/>
    <col min="12052" max="12052" width="7.7109375" style="139" customWidth="1"/>
    <col min="12053" max="12053" width="9.42578125" style="139" customWidth="1"/>
    <col min="12054" max="12054" width="9.5703125" style="139" customWidth="1"/>
    <col min="12055" max="12056" width="8.5703125" style="139" customWidth="1"/>
    <col min="12057" max="12057" width="8.7109375" style="139" customWidth="1"/>
    <col min="12058" max="12058" width="8.85546875" style="139" customWidth="1"/>
    <col min="12059" max="12059" width="8.5703125" style="139" customWidth="1"/>
    <col min="12060" max="12060" width="7.85546875" style="139" customWidth="1"/>
    <col min="12061" max="12062" width="8.7109375" style="139" customWidth="1"/>
    <col min="12063" max="12063" width="8" style="139" customWidth="1"/>
    <col min="12064" max="12064" width="8.42578125" style="139" customWidth="1"/>
    <col min="12065" max="12065" width="8" style="139" customWidth="1"/>
    <col min="12066" max="12066" width="7.85546875" style="139" customWidth="1"/>
    <col min="12067" max="12067" width="8" style="139" customWidth="1"/>
    <col min="12068" max="12068" width="8.28515625" style="139" customWidth="1"/>
    <col min="12069" max="12069" width="8.85546875" style="139" customWidth="1"/>
    <col min="12070" max="12070" width="8.5703125" style="139" customWidth="1"/>
    <col min="12071" max="12072" width="8.7109375" style="139" customWidth="1"/>
    <col min="12073" max="12073" width="7.85546875" style="139" customWidth="1"/>
    <col min="12074" max="12075" width="8.7109375" style="139" customWidth="1"/>
    <col min="12076" max="12076" width="8" style="139" customWidth="1"/>
    <col min="12077" max="12077" width="8.42578125" style="139" customWidth="1"/>
    <col min="12078" max="12078" width="8" style="139" customWidth="1"/>
    <col min="12079" max="12079" width="7.85546875" style="139" customWidth="1"/>
    <col min="12080" max="12080" width="8" style="139" customWidth="1"/>
    <col min="12081" max="12081" width="8.28515625" style="139" customWidth="1"/>
    <col min="12082" max="12082" width="8.85546875" style="139" customWidth="1"/>
    <col min="12083" max="12083" width="8.5703125" style="139" customWidth="1"/>
    <col min="12084" max="12085" width="8.7109375" style="139" customWidth="1"/>
    <col min="12086" max="12086" width="7.85546875" style="139" customWidth="1"/>
    <col min="12087" max="12088" width="8.7109375" style="139" customWidth="1"/>
    <col min="12089" max="12089" width="8" style="139" customWidth="1"/>
    <col min="12090" max="12090" width="8.42578125" style="139" customWidth="1"/>
    <col min="12091" max="12091" width="8" style="139" customWidth="1"/>
    <col min="12092" max="12092" width="7.85546875" style="139" customWidth="1"/>
    <col min="12093" max="12093" width="8" style="139" customWidth="1"/>
    <col min="12094" max="12094" width="8.28515625" style="139" customWidth="1"/>
    <col min="12095" max="12095" width="8.85546875" style="139" customWidth="1"/>
    <col min="12096" max="12096" width="8.5703125" style="139" customWidth="1"/>
    <col min="12097" max="12098" width="8.7109375" style="139" customWidth="1"/>
    <col min="12099" max="12288" width="11.42578125" style="139"/>
    <col min="12289" max="12289" width="32.7109375" style="139" customWidth="1"/>
    <col min="12290" max="12290" width="7.28515625" style="139" customWidth="1"/>
    <col min="12291" max="12291" width="8.42578125" style="139" customWidth="1"/>
    <col min="12292" max="12292" width="12.140625" style="139" customWidth="1"/>
    <col min="12293" max="12293" width="7.5703125" style="139" customWidth="1"/>
    <col min="12294" max="12294" width="9" style="139" customWidth="1"/>
    <col min="12295" max="12295" width="12.42578125" style="139" customWidth="1"/>
    <col min="12296" max="12296" width="7.42578125" style="139" customWidth="1"/>
    <col min="12297" max="12297" width="9.42578125" style="139" customWidth="1"/>
    <col min="12298" max="12298" width="12.7109375" style="139" customWidth="1"/>
    <col min="12299" max="12299" width="8.7109375" style="139" customWidth="1"/>
    <col min="12300" max="12300" width="8.42578125" style="139" customWidth="1"/>
    <col min="12301" max="12301" width="12.140625" style="139" customWidth="1"/>
    <col min="12302" max="12302" width="9" style="139" customWidth="1"/>
    <col min="12303" max="12303" width="9.140625" style="139" customWidth="1"/>
    <col min="12304" max="12304" width="12" style="139" customWidth="1"/>
    <col min="12305" max="12305" width="7.7109375" style="139" customWidth="1"/>
    <col min="12306" max="12306" width="9.85546875" style="139" customWidth="1"/>
    <col min="12307" max="12307" width="7.5703125" style="139" customWidth="1"/>
    <col min="12308" max="12308" width="7.7109375" style="139" customWidth="1"/>
    <col min="12309" max="12309" width="9.42578125" style="139" customWidth="1"/>
    <col min="12310" max="12310" width="9.5703125" style="139" customWidth="1"/>
    <col min="12311" max="12312" width="8.5703125" style="139" customWidth="1"/>
    <col min="12313" max="12313" width="8.7109375" style="139" customWidth="1"/>
    <col min="12314" max="12314" width="8.85546875" style="139" customWidth="1"/>
    <col min="12315" max="12315" width="8.5703125" style="139" customWidth="1"/>
    <col min="12316" max="12316" width="7.85546875" style="139" customWidth="1"/>
    <col min="12317" max="12318" width="8.7109375" style="139" customWidth="1"/>
    <col min="12319" max="12319" width="8" style="139" customWidth="1"/>
    <col min="12320" max="12320" width="8.42578125" style="139" customWidth="1"/>
    <col min="12321" max="12321" width="8" style="139" customWidth="1"/>
    <col min="12322" max="12322" width="7.85546875" style="139" customWidth="1"/>
    <col min="12323" max="12323" width="8" style="139" customWidth="1"/>
    <col min="12324" max="12324" width="8.28515625" style="139" customWidth="1"/>
    <col min="12325" max="12325" width="8.85546875" style="139" customWidth="1"/>
    <col min="12326" max="12326" width="8.5703125" style="139" customWidth="1"/>
    <col min="12327" max="12328" width="8.7109375" style="139" customWidth="1"/>
    <col min="12329" max="12329" width="7.85546875" style="139" customWidth="1"/>
    <col min="12330" max="12331" width="8.7109375" style="139" customWidth="1"/>
    <col min="12332" max="12332" width="8" style="139" customWidth="1"/>
    <col min="12333" max="12333" width="8.42578125" style="139" customWidth="1"/>
    <col min="12334" max="12334" width="8" style="139" customWidth="1"/>
    <col min="12335" max="12335" width="7.85546875" style="139" customWidth="1"/>
    <col min="12336" max="12336" width="8" style="139" customWidth="1"/>
    <col min="12337" max="12337" width="8.28515625" style="139" customWidth="1"/>
    <col min="12338" max="12338" width="8.85546875" style="139" customWidth="1"/>
    <col min="12339" max="12339" width="8.5703125" style="139" customWidth="1"/>
    <col min="12340" max="12341" width="8.7109375" style="139" customWidth="1"/>
    <col min="12342" max="12342" width="7.85546875" style="139" customWidth="1"/>
    <col min="12343" max="12344" width="8.7109375" style="139" customWidth="1"/>
    <col min="12345" max="12345" width="8" style="139" customWidth="1"/>
    <col min="12346" max="12346" width="8.42578125" style="139" customWidth="1"/>
    <col min="12347" max="12347" width="8" style="139" customWidth="1"/>
    <col min="12348" max="12348" width="7.85546875" style="139" customWidth="1"/>
    <col min="12349" max="12349" width="8" style="139" customWidth="1"/>
    <col min="12350" max="12350" width="8.28515625" style="139" customWidth="1"/>
    <col min="12351" max="12351" width="8.85546875" style="139" customWidth="1"/>
    <col min="12352" max="12352" width="8.5703125" style="139" customWidth="1"/>
    <col min="12353" max="12354" width="8.7109375" style="139" customWidth="1"/>
    <col min="12355" max="12544" width="11.42578125" style="139"/>
    <col min="12545" max="12545" width="32.7109375" style="139" customWidth="1"/>
    <col min="12546" max="12546" width="7.28515625" style="139" customWidth="1"/>
    <col min="12547" max="12547" width="8.42578125" style="139" customWidth="1"/>
    <col min="12548" max="12548" width="12.140625" style="139" customWidth="1"/>
    <col min="12549" max="12549" width="7.5703125" style="139" customWidth="1"/>
    <col min="12550" max="12550" width="9" style="139" customWidth="1"/>
    <col min="12551" max="12551" width="12.42578125" style="139" customWidth="1"/>
    <col min="12552" max="12552" width="7.42578125" style="139" customWidth="1"/>
    <col min="12553" max="12553" width="9.42578125" style="139" customWidth="1"/>
    <col min="12554" max="12554" width="12.7109375" style="139" customWidth="1"/>
    <col min="12555" max="12555" width="8.7109375" style="139" customWidth="1"/>
    <col min="12556" max="12556" width="8.42578125" style="139" customWidth="1"/>
    <col min="12557" max="12557" width="12.140625" style="139" customWidth="1"/>
    <col min="12558" max="12558" width="9" style="139" customWidth="1"/>
    <col min="12559" max="12559" width="9.140625" style="139" customWidth="1"/>
    <col min="12560" max="12560" width="12" style="139" customWidth="1"/>
    <col min="12561" max="12561" width="7.7109375" style="139" customWidth="1"/>
    <col min="12562" max="12562" width="9.85546875" style="139" customWidth="1"/>
    <col min="12563" max="12563" width="7.5703125" style="139" customWidth="1"/>
    <col min="12564" max="12564" width="7.7109375" style="139" customWidth="1"/>
    <col min="12565" max="12565" width="9.42578125" style="139" customWidth="1"/>
    <col min="12566" max="12566" width="9.5703125" style="139" customWidth="1"/>
    <col min="12567" max="12568" width="8.5703125" style="139" customWidth="1"/>
    <col min="12569" max="12569" width="8.7109375" style="139" customWidth="1"/>
    <col min="12570" max="12570" width="8.85546875" style="139" customWidth="1"/>
    <col min="12571" max="12571" width="8.5703125" style="139" customWidth="1"/>
    <col min="12572" max="12572" width="7.85546875" style="139" customWidth="1"/>
    <col min="12573" max="12574" width="8.7109375" style="139" customWidth="1"/>
    <col min="12575" max="12575" width="8" style="139" customWidth="1"/>
    <col min="12576" max="12576" width="8.42578125" style="139" customWidth="1"/>
    <col min="12577" max="12577" width="8" style="139" customWidth="1"/>
    <col min="12578" max="12578" width="7.85546875" style="139" customWidth="1"/>
    <col min="12579" max="12579" width="8" style="139" customWidth="1"/>
    <col min="12580" max="12580" width="8.28515625" style="139" customWidth="1"/>
    <col min="12581" max="12581" width="8.85546875" style="139" customWidth="1"/>
    <col min="12582" max="12582" width="8.5703125" style="139" customWidth="1"/>
    <col min="12583" max="12584" width="8.7109375" style="139" customWidth="1"/>
    <col min="12585" max="12585" width="7.85546875" style="139" customWidth="1"/>
    <col min="12586" max="12587" width="8.7109375" style="139" customWidth="1"/>
    <col min="12588" max="12588" width="8" style="139" customWidth="1"/>
    <col min="12589" max="12589" width="8.42578125" style="139" customWidth="1"/>
    <col min="12590" max="12590" width="8" style="139" customWidth="1"/>
    <col min="12591" max="12591" width="7.85546875" style="139" customWidth="1"/>
    <col min="12592" max="12592" width="8" style="139" customWidth="1"/>
    <col min="12593" max="12593" width="8.28515625" style="139" customWidth="1"/>
    <col min="12594" max="12594" width="8.85546875" style="139" customWidth="1"/>
    <col min="12595" max="12595" width="8.5703125" style="139" customWidth="1"/>
    <col min="12596" max="12597" width="8.7109375" style="139" customWidth="1"/>
    <col min="12598" max="12598" width="7.85546875" style="139" customWidth="1"/>
    <col min="12599" max="12600" width="8.7109375" style="139" customWidth="1"/>
    <col min="12601" max="12601" width="8" style="139" customWidth="1"/>
    <col min="12602" max="12602" width="8.42578125" style="139" customWidth="1"/>
    <col min="12603" max="12603" width="8" style="139" customWidth="1"/>
    <col min="12604" max="12604" width="7.85546875" style="139" customWidth="1"/>
    <col min="12605" max="12605" width="8" style="139" customWidth="1"/>
    <col min="12606" max="12606" width="8.28515625" style="139" customWidth="1"/>
    <col min="12607" max="12607" width="8.85546875" style="139" customWidth="1"/>
    <col min="12608" max="12608" width="8.5703125" style="139" customWidth="1"/>
    <col min="12609" max="12610" width="8.7109375" style="139" customWidth="1"/>
    <col min="12611" max="12800" width="11.42578125" style="139"/>
    <col min="12801" max="12801" width="32.7109375" style="139" customWidth="1"/>
    <col min="12802" max="12802" width="7.28515625" style="139" customWidth="1"/>
    <col min="12803" max="12803" width="8.42578125" style="139" customWidth="1"/>
    <col min="12804" max="12804" width="12.140625" style="139" customWidth="1"/>
    <col min="12805" max="12805" width="7.5703125" style="139" customWidth="1"/>
    <col min="12806" max="12806" width="9" style="139" customWidth="1"/>
    <col min="12807" max="12807" width="12.42578125" style="139" customWidth="1"/>
    <col min="12808" max="12808" width="7.42578125" style="139" customWidth="1"/>
    <col min="12809" max="12809" width="9.42578125" style="139" customWidth="1"/>
    <col min="12810" max="12810" width="12.7109375" style="139" customWidth="1"/>
    <col min="12811" max="12811" width="8.7109375" style="139" customWidth="1"/>
    <col min="12812" max="12812" width="8.42578125" style="139" customWidth="1"/>
    <col min="12813" max="12813" width="12.140625" style="139" customWidth="1"/>
    <col min="12814" max="12814" width="9" style="139" customWidth="1"/>
    <col min="12815" max="12815" width="9.140625" style="139" customWidth="1"/>
    <col min="12816" max="12816" width="12" style="139" customWidth="1"/>
    <col min="12817" max="12817" width="7.7109375" style="139" customWidth="1"/>
    <col min="12818" max="12818" width="9.85546875" style="139" customWidth="1"/>
    <col min="12819" max="12819" width="7.5703125" style="139" customWidth="1"/>
    <col min="12820" max="12820" width="7.7109375" style="139" customWidth="1"/>
    <col min="12821" max="12821" width="9.42578125" style="139" customWidth="1"/>
    <col min="12822" max="12822" width="9.5703125" style="139" customWidth="1"/>
    <col min="12823" max="12824" width="8.5703125" style="139" customWidth="1"/>
    <col min="12825" max="12825" width="8.7109375" style="139" customWidth="1"/>
    <col min="12826" max="12826" width="8.85546875" style="139" customWidth="1"/>
    <col min="12827" max="12827" width="8.5703125" style="139" customWidth="1"/>
    <col min="12828" max="12828" width="7.85546875" style="139" customWidth="1"/>
    <col min="12829" max="12830" width="8.7109375" style="139" customWidth="1"/>
    <col min="12831" max="12831" width="8" style="139" customWidth="1"/>
    <col min="12832" max="12832" width="8.42578125" style="139" customWidth="1"/>
    <col min="12833" max="12833" width="8" style="139" customWidth="1"/>
    <col min="12834" max="12834" width="7.85546875" style="139" customWidth="1"/>
    <col min="12835" max="12835" width="8" style="139" customWidth="1"/>
    <col min="12836" max="12836" width="8.28515625" style="139" customWidth="1"/>
    <col min="12837" max="12837" width="8.85546875" style="139" customWidth="1"/>
    <col min="12838" max="12838" width="8.5703125" style="139" customWidth="1"/>
    <col min="12839" max="12840" width="8.7109375" style="139" customWidth="1"/>
    <col min="12841" max="12841" width="7.85546875" style="139" customWidth="1"/>
    <col min="12842" max="12843" width="8.7109375" style="139" customWidth="1"/>
    <col min="12844" max="12844" width="8" style="139" customWidth="1"/>
    <col min="12845" max="12845" width="8.42578125" style="139" customWidth="1"/>
    <col min="12846" max="12846" width="8" style="139" customWidth="1"/>
    <col min="12847" max="12847" width="7.85546875" style="139" customWidth="1"/>
    <col min="12848" max="12848" width="8" style="139" customWidth="1"/>
    <col min="12849" max="12849" width="8.28515625" style="139" customWidth="1"/>
    <col min="12850" max="12850" width="8.85546875" style="139" customWidth="1"/>
    <col min="12851" max="12851" width="8.5703125" style="139" customWidth="1"/>
    <col min="12852" max="12853" width="8.7109375" style="139" customWidth="1"/>
    <col min="12854" max="12854" width="7.85546875" style="139" customWidth="1"/>
    <col min="12855" max="12856" width="8.7109375" style="139" customWidth="1"/>
    <col min="12857" max="12857" width="8" style="139" customWidth="1"/>
    <col min="12858" max="12858" width="8.42578125" style="139" customWidth="1"/>
    <col min="12859" max="12859" width="8" style="139" customWidth="1"/>
    <col min="12860" max="12860" width="7.85546875" style="139" customWidth="1"/>
    <col min="12861" max="12861" width="8" style="139" customWidth="1"/>
    <col min="12862" max="12862" width="8.28515625" style="139" customWidth="1"/>
    <col min="12863" max="12863" width="8.85546875" style="139" customWidth="1"/>
    <col min="12864" max="12864" width="8.5703125" style="139" customWidth="1"/>
    <col min="12865" max="12866" width="8.7109375" style="139" customWidth="1"/>
    <col min="12867" max="13056" width="11.42578125" style="139"/>
    <col min="13057" max="13057" width="32.7109375" style="139" customWidth="1"/>
    <col min="13058" max="13058" width="7.28515625" style="139" customWidth="1"/>
    <col min="13059" max="13059" width="8.42578125" style="139" customWidth="1"/>
    <col min="13060" max="13060" width="12.140625" style="139" customWidth="1"/>
    <col min="13061" max="13061" width="7.5703125" style="139" customWidth="1"/>
    <col min="13062" max="13062" width="9" style="139" customWidth="1"/>
    <col min="13063" max="13063" width="12.42578125" style="139" customWidth="1"/>
    <col min="13064" max="13064" width="7.42578125" style="139" customWidth="1"/>
    <col min="13065" max="13065" width="9.42578125" style="139" customWidth="1"/>
    <col min="13066" max="13066" width="12.7109375" style="139" customWidth="1"/>
    <col min="13067" max="13067" width="8.7109375" style="139" customWidth="1"/>
    <col min="13068" max="13068" width="8.42578125" style="139" customWidth="1"/>
    <col min="13069" max="13069" width="12.140625" style="139" customWidth="1"/>
    <col min="13070" max="13070" width="9" style="139" customWidth="1"/>
    <col min="13071" max="13071" width="9.140625" style="139" customWidth="1"/>
    <col min="13072" max="13072" width="12" style="139" customWidth="1"/>
    <col min="13073" max="13073" width="7.7109375" style="139" customWidth="1"/>
    <col min="13074" max="13074" width="9.85546875" style="139" customWidth="1"/>
    <col min="13075" max="13075" width="7.5703125" style="139" customWidth="1"/>
    <col min="13076" max="13076" width="7.7109375" style="139" customWidth="1"/>
    <col min="13077" max="13077" width="9.42578125" style="139" customWidth="1"/>
    <col min="13078" max="13078" width="9.5703125" style="139" customWidth="1"/>
    <col min="13079" max="13080" width="8.5703125" style="139" customWidth="1"/>
    <col min="13081" max="13081" width="8.7109375" style="139" customWidth="1"/>
    <col min="13082" max="13082" width="8.85546875" style="139" customWidth="1"/>
    <col min="13083" max="13083" width="8.5703125" style="139" customWidth="1"/>
    <col min="13084" max="13084" width="7.85546875" style="139" customWidth="1"/>
    <col min="13085" max="13086" width="8.7109375" style="139" customWidth="1"/>
    <col min="13087" max="13087" width="8" style="139" customWidth="1"/>
    <col min="13088" max="13088" width="8.42578125" style="139" customWidth="1"/>
    <col min="13089" max="13089" width="8" style="139" customWidth="1"/>
    <col min="13090" max="13090" width="7.85546875" style="139" customWidth="1"/>
    <col min="13091" max="13091" width="8" style="139" customWidth="1"/>
    <col min="13092" max="13092" width="8.28515625" style="139" customWidth="1"/>
    <col min="13093" max="13093" width="8.85546875" style="139" customWidth="1"/>
    <col min="13094" max="13094" width="8.5703125" style="139" customWidth="1"/>
    <col min="13095" max="13096" width="8.7109375" style="139" customWidth="1"/>
    <col min="13097" max="13097" width="7.85546875" style="139" customWidth="1"/>
    <col min="13098" max="13099" width="8.7109375" style="139" customWidth="1"/>
    <col min="13100" max="13100" width="8" style="139" customWidth="1"/>
    <col min="13101" max="13101" width="8.42578125" style="139" customWidth="1"/>
    <col min="13102" max="13102" width="8" style="139" customWidth="1"/>
    <col min="13103" max="13103" width="7.85546875" style="139" customWidth="1"/>
    <col min="13104" max="13104" width="8" style="139" customWidth="1"/>
    <col min="13105" max="13105" width="8.28515625" style="139" customWidth="1"/>
    <col min="13106" max="13106" width="8.85546875" style="139" customWidth="1"/>
    <col min="13107" max="13107" width="8.5703125" style="139" customWidth="1"/>
    <col min="13108" max="13109" width="8.7109375" style="139" customWidth="1"/>
    <col min="13110" max="13110" width="7.85546875" style="139" customWidth="1"/>
    <col min="13111" max="13112" width="8.7109375" style="139" customWidth="1"/>
    <col min="13113" max="13113" width="8" style="139" customWidth="1"/>
    <col min="13114" max="13114" width="8.42578125" style="139" customWidth="1"/>
    <col min="13115" max="13115" width="8" style="139" customWidth="1"/>
    <col min="13116" max="13116" width="7.85546875" style="139" customWidth="1"/>
    <col min="13117" max="13117" width="8" style="139" customWidth="1"/>
    <col min="13118" max="13118" width="8.28515625" style="139" customWidth="1"/>
    <col min="13119" max="13119" width="8.85546875" style="139" customWidth="1"/>
    <col min="13120" max="13120" width="8.5703125" style="139" customWidth="1"/>
    <col min="13121" max="13122" width="8.7109375" style="139" customWidth="1"/>
    <col min="13123" max="13312" width="11.42578125" style="139"/>
    <col min="13313" max="13313" width="32.7109375" style="139" customWidth="1"/>
    <col min="13314" max="13314" width="7.28515625" style="139" customWidth="1"/>
    <col min="13315" max="13315" width="8.42578125" style="139" customWidth="1"/>
    <col min="13316" max="13316" width="12.140625" style="139" customWidth="1"/>
    <col min="13317" max="13317" width="7.5703125" style="139" customWidth="1"/>
    <col min="13318" max="13318" width="9" style="139" customWidth="1"/>
    <col min="13319" max="13319" width="12.42578125" style="139" customWidth="1"/>
    <col min="13320" max="13320" width="7.42578125" style="139" customWidth="1"/>
    <col min="13321" max="13321" width="9.42578125" style="139" customWidth="1"/>
    <col min="13322" max="13322" width="12.7109375" style="139" customWidth="1"/>
    <col min="13323" max="13323" width="8.7109375" style="139" customWidth="1"/>
    <col min="13324" max="13324" width="8.42578125" style="139" customWidth="1"/>
    <col min="13325" max="13325" width="12.140625" style="139" customWidth="1"/>
    <col min="13326" max="13326" width="9" style="139" customWidth="1"/>
    <col min="13327" max="13327" width="9.140625" style="139" customWidth="1"/>
    <col min="13328" max="13328" width="12" style="139" customWidth="1"/>
    <col min="13329" max="13329" width="7.7109375" style="139" customWidth="1"/>
    <col min="13330" max="13330" width="9.85546875" style="139" customWidth="1"/>
    <col min="13331" max="13331" width="7.5703125" style="139" customWidth="1"/>
    <col min="13332" max="13332" width="7.7109375" style="139" customWidth="1"/>
    <col min="13333" max="13333" width="9.42578125" style="139" customWidth="1"/>
    <col min="13334" max="13334" width="9.5703125" style="139" customWidth="1"/>
    <col min="13335" max="13336" width="8.5703125" style="139" customWidth="1"/>
    <col min="13337" max="13337" width="8.7109375" style="139" customWidth="1"/>
    <col min="13338" max="13338" width="8.85546875" style="139" customWidth="1"/>
    <col min="13339" max="13339" width="8.5703125" style="139" customWidth="1"/>
    <col min="13340" max="13340" width="7.85546875" style="139" customWidth="1"/>
    <col min="13341" max="13342" width="8.7109375" style="139" customWidth="1"/>
    <col min="13343" max="13343" width="8" style="139" customWidth="1"/>
    <col min="13344" max="13344" width="8.42578125" style="139" customWidth="1"/>
    <col min="13345" max="13345" width="8" style="139" customWidth="1"/>
    <col min="13346" max="13346" width="7.85546875" style="139" customWidth="1"/>
    <col min="13347" max="13347" width="8" style="139" customWidth="1"/>
    <col min="13348" max="13348" width="8.28515625" style="139" customWidth="1"/>
    <col min="13349" max="13349" width="8.85546875" style="139" customWidth="1"/>
    <col min="13350" max="13350" width="8.5703125" style="139" customWidth="1"/>
    <col min="13351" max="13352" width="8.7109375" style="139" customWidth="1"/>
    <col min="13353" max="13353" width="7.85546875" style="139" customWidth="1"/>
    <col min="13354" max="13355" width="8.7109375" style="139" customWidth="1"/>
    <col min="13356" max="13356" width="8" style="139" customWidth="1"/>
    <col min="13357" max="13357" width="8.42578125" style="139" customWidth="1"/>
    <col min="13358" max="13358" width="8" style="139" customWidth="1"/>
    <col min="13359" max="13359" width="7.85546875" style="139" customWidth="1"/>
    <col min="13360" max="13360" width="8" style="139" customWidth="1"/>
    <col min="13361" max="13361" width="8.28515625" style="139" customWidth="1"/>
    <col min="13362" max="13362" width="8.85546875" style="139" customWidth="1"/>
    <col min="13363" max="13363" width="8.5703125" style="139" customWidth="1"/>
    <col min="13364" max="13365" width="8.7109375" style="139" customWidth="1"/>
    <col min="13366" max="13366" width="7.85546875" style="139" customWidth="1"/>
    <col min="13367" max="13368" width="8.7109375" style="139" customWidth="1"/>
    <col min="13369" max="13369" width="8" style="139" customWidth="1"/>
    <col min="13370" max="13370" width="8.42578125" style="139" customWidth="1"/>
    <col min="13371" max="13371" width="8" style="139" customWidth="1"/>
    <col min="13372" max="13372" width="7.85546875" style="139" customWidth="1"/>
    <col min="13373" max="13373" width="8" style="139" customWidth="1"/>
    <col min="13374" max="13374" width="8.28515625" style="139" customWidth="1"/>
    <col min="13375" max="13375" width="8.85546875" style="139" customWidth="1"/>
    <col min="13376" max="13376" width="8.5703125" style="139" customWidth="1"/>
    <col min="13377" max="13378" width="8.7109375" style="139" customWidth="1"/>
    <col min="13379" max="13568" width="11.42578125" style="139"/>
    <col min="13569" max="13569" width="32.7109375" style="139" customWidth="1"/>
    <col min="13570" max="13570" width="7.28515625" style="139" customWidth="1"/>
    <col min="13571" max="13571" width="8.42578125" style="139" customWidth="1"/>
    <col min="13572" max="13572" width="12.140625" style="139" customWidth="1"/>
    <col min="13573" max="13573" width="7.5703125" style="139" customWidth="1"/>
    <col min="13574" max="13574" width="9" style="139" customWidth="1"/>
    <col min="13575" max="13575" width="12.42578125" style="139" customWidth="1"/>
    <col min="13576" max="13576" width="7.42578125" style="139" customWidth="1"/>
    <col min="13577" max="13577" width="9.42578125" style="139" customWidth="1"/>
    <col min="13578" max="13578" width="12.7109375" style="139" customWidth="1"/>
    <col min="13579" max="13579" width="8.7109375" style="139" customWidth="1"/>
    <col min="13580" max="13580" width="8.42578125" style="139" customWidth="1"/>
    <col min="13581" max="13581" width="12.140625" style="139" customWidth="1"/>
    <col min="13582" max="13582" width="9" style="139" customWidth="1"/>
    <col min="13583" max="13583" width="9.140625" style="139" customWidth="1"/>
    <col min="13584" max="13584" width="12" style="139" customWidth="1"/>
    <col min="13585" max="13585" width="7.7109375" style="139" customWidth="1"/>
    <col min="13586" max="13586" width="9.85546875" style="139" customWidth="1"/>
    <col min="13587" max="13587" width="7.5703125" style="139" customWidth="1"/>
    <col min="13588" max="13588" width="7.7109375" style="139" customWidth="1"/>
    <col min="13589" max="13589" width="9.42578125" style="139" customWidth="1"/>
    <col min="13590" max="13590" width="9.5703125" style="139" customWidth="1"/>
    <col min="13591" max="13592" width="8.5703125" style="139" customWidth="1"/>
    <col min="13593" max="13593" width="8.7109375" style="139" customWidth="1"/>
    <col min="13594" max="13594" width="8.85546875" style="139" customWidth="1"/>
    <col min="13595" max="13595" width="8.5703125" style="139" customWidth="1"/>
    <col min="13596" max="13596" width="7.85546875" style="139" customWidth="1"/>
    <col min="13597" max="13598" width="8.7109375" style="139" customWidth="1"/>
    <col min="13599" max="13599" width="8" style="139" customWidth="1"/>
    <col min="13600" max="13600" width="8.42578125" style="139" customWidth="1"/>
    <col min="13601" max="13601" width="8" style="139" customWidth="1"/>
    <col min="13602" max="13602" width="7.85546875" style="139" customWidth="1"/>
    <col min="13603" max="13603" width="8" style="139" customWidth="1"/>
    <col min="13604" max="13604" width="8.28515625" style="139" customWidth="1"/>
    <col min="13605" max="13605" width="8.85546875" style="139" customWidth="1"/>
    <col min="13606" max="13606" width="8.5703125" style="139" customWidth="1"/>
    <col min="13607" max="13608" width="8.7109375" style="139" customWidth="1"/>
    <col min="13609" max="13609" width="7.85546875" style="139" customWidth="1"/>
    <col min="13610" max="13611" width="8.7109375" style="139" customWidth="1"/>
    <col min="13612" max="13612" width="8" style="139" customWidth="1"/>
    <col min="13613" max="13613" width="8.42578125" style="139" customWidth="1"/>
    <col min="13614" max="13614" width="8" style="139" customWidth="1"/>
    <col min="13615" max="13615" width="7.85546875" style="139" customWidth="1"/>
    <col min="13616" max="13616" width="8" style="139" customWidth="1"/>
    <col min="13617" max="13617" width="8.28515625" style="139" customWidth="1"/>
    <col min="13618" max="13618" width="8.85546875" style="139" customWidth="1"/>
    <col min="13619" max="13619" width="8.5703125" style="139" customWidth="1"/>
    <col min="13620" max="13621" width="8.7109375" style="139" customWidth="1"/>
    <col min="13622" max="13622" width="7.85546875" style="139" customWidth="1"/>
    <col min="13623" max="13624" width="8.7109375" style="139" customWidth="1"/>
    <col min="13625" max="13625" width="8" style="139" customWidth="1"/>
    <col min="13626" max="13626" width="8.42578125" style="139" customWidth="1"/>
    <col min="13627" max="13627" width="8" style="139" customWidth="1"/>
    <col min="13628" max="13628" width="7.85546875" style="139" customWidth="1"/>
    <col min="13629" max="13629" width="8" style="139" customWidth="1"/>
    <col min="13630" max="13630" width="8.28515625" style="139" customWidth="1"/>
    <col min="13631" max="13631" width="8.85546875" style="139" customWidth="1"/>
    <col min="13632" max="13632" width="8.5703125" style="139" customWidth="1"/>
    <col min="13633" max="13634" width="8.7109375" style="139" customWidth="1"/>
    <col min="13635" max="13824" width="11.42578125" style="139"/>
    <col min="13825" max="13825" width="32.7109375" style="139" customWidth="1"/>
    <col min="13826" max="13826" width="7.28515625" style="139" customWidth="1"/>
    <col min="13827" max="13827" width="8.42578125" style="139" customWidth="1"/>
    <col min="13828" max="13828" width="12.140625" style="139" customWidth="1"/>
    <col min="13829" max="13829" width="7.5703125" style="139" customWidth="1"/>
    <col min="13830" max="13830" width="9" style="139" customWidth="1"/>
    <col min="13831" max="13831" width="12.42578125" style="139" customWidth="1"/>
    <col min="13832" max="13832" width="7.42578125" style="139" customWidth="1"/>
    <col min="13833" max="13833" width="9.42578125" style="139" customWidth="1"/>
    <col min="13834" max="13834" width="12.7109375" style="139" customWidth="1"/>
    <col min="13835" max="13835" width="8.7109375" style="139" customWidth="1"/>
    <col min="13836" max="13836" width="8.42578125" style="139" customWidth="1"/>
    <col min="13837" max="13837" width="12.140625" style="139" customWidth="1"/>
    <col min="13838" max="13838" width="9" style="139" customWidth="1"/>
    <col min="13839" max="13839" width="9.140625" style="139" customWidth="1"/>
    <col min="13840" max="13840" width="12" style="139" customWidth="1"/>
    <col min="13841" max="13841" width="7.7109375" style="139" customWidth="1"/>
    <col min="13842" max="13842" width="9.85546875" style="139" customWidth="1"/>
    <col min="13843" max="13843" width="7.5703125" style="139" customWidth="1"/>
    <col min="13844" max="13844" width="7.7109375" style="139" customWidth="1"/>
    <col min="13845" max="13845" width="9.42578125" style="139" customWidth="1"/>
    <col min="13846" max="13846" width="9.5703125" style="139" customWidth="1"/>
    <col min="13847" max="13848" width="8.5703125" style="139" customWidth="1"/>
    <col min="13849" max="13849" width="8.7109375" style="139" customWidth="1"/>
    <col min="13850" max="13850" width="8.85546875" style="139" customWidth="1"/>
    <col min="13851" max="13851" width="8.5703125" style="139" customWidth="1"/>
    <col min="13852" max="13852" width="7.85546875" style="139" customWidth="1"/>
    <col min="13853" max="13854" width="8.7109375" style="139" customWidth="1"/>
    <col min="13855" max="13855" width="8" style="139" customWidth="1"/>
    <col min="13856" max="13856" width="8.42578125" style="139" customWidth="1"/>
    <col min="13857" max="13857" width="8" style="139" customWidth="1"/>
    <col min="13858" max="13858" width="7.85546875" style="139" customWidth="1"/>
    <col min="13859" max="13859" width="8" style="139" customWidth="1"/>
    <col min="13860" max="13860" width="8.28515625" style="139" customWidth="1"/>
    <col min="13861" max="13861" width="8.85546875" style="139" customWidth="1"/>
    <col min="13862" max="13862" width="8.5703125" style="139" customWidth="1"/>
    <col min="13863" max="13864" width="8.7109375" style="139" customWidth="1"/>
    <col min="13865" max="13865" width="7.85546875" style="139" customWidth="1"/>
    <col min="13866" max="13867" width="8.7109375" style="139" customWidth="1"/>
    <col min="13868" max="13868" width="8" style="139" customWidth="1"/>
    <col min="13869" max="13869" width="8.42578125" style="139" customWidth="1"/>
    <col min="13870" max="13870" width="8" style="139" customWidth="1"/>
    <col min="13871" max="13871" width="7.85546875" style="139" customWidth="1"/>
    <col min="13872" max="13872" width="8" style="139" customWidth="1"/>
    <col min="13873" max="13873" width="8.28515625" style="139" customWidth="1"/>
    <col min="13874" max="13874" width="8.85546875" style="139" customWidth="1"/>
    <col min="13875" max="13875" width="8.5703125" style="139" customWidth="1"/>
    <col min="13876" max="13877" width="8.7109375" style="139" customWidth="1"/>
    <col min="13878" max="13878" width="7.85546875" style="139" customWidth="1"/>
    <col min="13879" max="13880" width="8.7109375" style="139" customWidth="1"/>
    <col min="13881" max="13881" width="8" style="139" customWidth="1"/>
    <col min="13882" max="13882" width="8.42578125" style="139" customWidth="1"/>
    <col min="13883" max="13883" width="8" style="139" customWidth="1"/>
    <col min="13884" max="13884" width="7.85546875" style="139" customWidth="1"/>
    <col min="13885" max="13885" width="8" style="139" customWidth="1"/>
    <col min="13886" max="13886" width="8.28515625" style="139" customWidth="1"/>
    <col min="13887" max="13887" width="8.85546875" style="139" customWidth="1"/>
    <col min="13888" max="13888" width="8.5703125" style="139" customWidth="1"/>
    <col min="13889" max="13890" width="8.7109375" style="139" customWidth="1"/>
    <col min="13891" max="14080" width="11.42578125" style="139"/>
    <col min="14081" max="14081" width="32.7109375" style="139" customWidth="1"/>
    <col min="14082" max="14082" width="7.28515625" style="139" customWidth="1"/>
    <col min="14083" max="14083" width="8.42578125" style="139" customWidth="1"/>
    <col min="14084" max="14084" width="12.140625" style="139" customWidth="1"/>
    <col min="14085" max="14085" width="7.5703125" style="139" customWidth="1"/>
    <col min="14086" max="14086" width="9" style="139" customWidth="1"/>
    <col min="14087" max="14087" width="12.42578125" style="139" customWidth="1"/>
    <col min="14088" max="14088" width="7.42578125" style="139" customWidth="1"/>
    <col min="14089" max="14089" width="9.42578125" style="139" customWidth="1"/>
    <col min="14090" max="14090" width="12.7109375" style="139" customWidth="1"/>
    <col min="14091" max="14091" width="8.7109375" style="139" customWidth="1"/>
    <col min="14092" max="14092" width="8.42578125" style="139" customWidth="1"/>
    <col min="14093" max="14093" width="12.140625" style="139" customWidth="1"/>
    <col min="14094" max="14094" width="9" style="139" customWidth="1"/>
    <col min="14095" max="14095" width="9.140625" style="139" customWidth="1"/>
    <col min="14096" max="14096" width="12" style="139" customWidth="1"/>
    <col min="14097" max="14097" width="7.7109375" style="139" customWidth="1"/>
    <col min="14098" max="14098" width="9.85546875" style="139" customWidth="1"/>
    <col min="14099" max="14099" width="7.5703125" style="139" customWidth="1"/>
    <col min="14100" max="14100" width="7.7109375" style="139" customWidth="1"/>
    <col min="14101" max="14101" width="9.42578125" style="139" customWidth="1"/>
    <col min="14102" max="14102" width="9.5703125" style="139" customWidth="1"/>
    <col min="14103" max="14104" width="8.5703125" style="139" customWidth="1"/>
    <col min="14105" max="14105" width="8.7109375" style="139" customWidth="1"/>
    <col min="14106" max="14106" width="8.85546875" style="139" customWidth="1"/>
    <col min="14107" max="14107" width="8.5703125" style="139" customWidth="1"/>
    <col min="14108" max="14108" width="7.85546875" style="139" customWidth="1"/>
    <col min="14109" max="14110" width="8.7109375" style="139" customWidth="1"/>
    <col min="14111" max="14111" width="8" style="139" customWidth="1"/>
    <col min="14112" max="14112" width="8.42578125" style="139" customWidth="1"/>
    <col min="14113" max="14113" width="8" style="139" customWidth="1"/>
    <col min="14114" max="14114" width="7.85546875" style="139" customWidth="1"/>
    <col min="14115" max="14115" width="8" style="139" customWidth="1"/>
    <col min="14116" max="14116" width="8.28515625" style="139" customWidth="1"/>
    <col min="14117" max="14117" width="8.85546875" style="139" customWidth="1"/>
    <col min="14118" max="14118" width="8.5703125" style="139" customWidth="1"/>
    <col min="14119" max="14120" width="8.7109375" style="139" customWidth="1"/>
    <col min="14121" max="14121" width="7.85546875" style="139" customWidth="1"/>
    <col min="14122" max="14123" width="8.7109375" style="139" customWidth="1"/>
    <col min="14124" max="14124" width="8" style="139" customWidth="1"/>
    <col min="14125" max="14125" width="8.42578125" style="139" customWidth="1"/>
    <col min="14126" max="14126" width="8" style="139" customWidth="1"/>
    <col min="14127" max="14127" width="7.85546875" style="139" customWidth="1"/>
    <col min="14128" max="14128" width="8" style="139" customWidth="1"/>
    <col min="14129" max="14129" width="8.28515625" style="139" customWidth="1"/>
    <col min="14130" max="14130" width="8.85546875" style="139" customWidth="1"/>
    <col min="14131" max="14131" width="8.5703125" style="139" customWidth="1"/>
    <col min="14132" max="14133" width="8.7109375" style="139" customWidth="1"/>
    <col min="14134" max="14134" width="7.85546875" style="139" customWidth="1"/>
    <col min="14135" max="14136" width="8.7109375" style="139" customWidth="1"/>
    <col min="14137" max="14137" width="8" style="139" customWidth="1"/>
    <col min="14138" max="14138" width="8.42578125" style="139" customWidth="1"/>
    <col min="14139" max="14139" width="8" style="139" customWidth="1"/>
    <col min="14140" max="14140" width="7.85546875" style="139" customWidth="1"/>
    <col min="14141" max="14141" width="8" style="139" customWidth="1"/>
    <col min="14142" max="14142" width="8.28515625" style="139" customWidth="1"/>
    <col min="14143" max="14143" width="8.85546875" style="139" customWidth="1"/>
    <col min="14144" max="14144" width="8.5703125" style="139" customWidth="1"/>
    <col min="14145" max="14146" width="8.7109375" style="139" customWidth="1"/>
    <col min="14147" max="14336" width="11.42578125" style="139"/>
    <col min="14337" max="14337" width="32.7109375" style="139" customWidth="1"/>
    <col min="14338" max="14338" width="7.28515625" style="139" customWidth="1"/>
    <col min="14339" max="14339" width="8.42578125" style="139" customWidth="1"/>
    <col min="14340" max="14340" width="12.140625" style="139" customWidth="1"/>
    <col min="14341" max="14341" width="7.5703125" style="139" customWidth="1"/>
    <col min="14342" max="14342" width="9" style="139" customWidth="1"/>
    <col min="14343" max="14343" width="12.42578125" style="139" customWidth="1"/>
    <col min="14344" max="14344" width="7.42578125" style="139" customWidth="1"/>
    <col min="14345" max="14345" width="9.42578125" style="139" customWidth="1"/>
    <col min="14346" max="14346" width="12.7109375" style="139" customWidth="1"/>
    <col min="14347" max="14347" width="8.7109375" style="139" customWidth="1"/>
    <col min="14348" max="14348" width="8.42578125" style="139" customWidth="1"/>
    <col min="14349" max="14349" width="12.140625" style="139" customWidth="1"/>
    <col min="14350" max="14350" width="9" style="139" customWidth="1"/>
    <col min="14351" max="14351" width="9.140625" style="139" customWidth="1"/>
    <col min="14352" max="14352" width="12" style="139" customWidth="1"/>
    <col min="14353" max="14353" width="7.7109375" style="139" customWidth="1"/>
    <col min="14354" max="14354" width="9.85546875" style="139" customWidth="1"/>
    <col min="14355" max="14355" width="7.5703125" style="139" customWidth="1"/>
    <col min="14356" max="14356" width="7.7109375" style="139" customWidth="1"/>
    <col min="14357" max="14357" width="9.42578125" style="139" customWidth="1"/>
    <col min="14358" max="14358" width="9.5703125" style="139" customWidth="1"/>
    <col min="14359" max="14360" width="8.5703125" style="139" customWidth="1"/>
    <col min="14361" max="14361" width="8.7109375" style="139" customWidth="1"/>
    <col min="14362" max="14362" width="8.85546875" style="139" customWidth="1"/>
    <col min="14363" max="14363" width="8.5703125" style="139" customWidth="1"/>
    <col min="14364" max="14364" width="7.85546875" style="139" customWidth="1"/>
    <col min="14365" max="14366" width="8.7109375" style="139" customWidth="1"/>
    <col min="14367" max="14367" width="8" style="139" customWidth="1"/>
    <col min="14368" max="14368" width="8.42578125" style="139" customWidth="1"/>
    <col min="14369" max="14369" width="8" style="139" customWidth="1"/>
    <col min="14370" max="14370" width="7.85546875" style="139" customWidth="1"/>
    <col min="14371" max="14371" width="8" style="139" customWidth="1"/>
    <col min="14372" max="14372" width="8.28515625" style="139" customWidth="1"/>
    <col min="14373" max="14373" width="8.85546875" style="139" customWidth="1"/>
    <col min="14374" max="14374" width="8.5703125" style="139" customWidth="1"/>
    <col min="14375" max="14376" width="8.7109375" style="139" customWidth="1"/>
    <col min="14377" max="14377" width="7.85546875" style="139" customWidth="1"/>
    <col min="14378" max="14379" width="8.7109375" style="139" customWidth="1"/>
    <col min="14380" max="14380" width="8" style="139" customWidth="1"/>
    <col min="14381" max="14381" width="8.42578125" style="139" customWidth="1"/>
    <col min="14382" max="14382" width="8" style="139" customWidth="1"/>
    <col min="14383" max="14383" width="7.85546875" style="139" customWidth="1"/>
    <col min="14384" max="14384" width="8" style="139" customWidth="1"/>
    <col min="14385" max="14385" width="8.28515625" style="139" customWidth="1"/>
    <col min="14386" max="14386" width="8.85546875" style="139" customWidth="1"/>
    <col min="14387" max="14387" width="8.5703125" style="139" customWidth="1"/>
    <col min="14388" max="14389" width="8.7109375" style="139" customWidth="1"/>
    <col min="14390" max="14390" width="7.85546875" style="139" customWidth="1"/>
    <col min="14391" max="14392" width="8.7109375" style="139" customWidth="1"/>
    <col min="14393" max="14393" width="8" style="139" customWidth="1"/>
    <col min="14394" max="14394" width="8.42578125" style="139" customWidth="1"/>
    <col min="14395" max="14395" width="8" style="139" customWidth="1"/>
    <col min="14396" max="14396" width="7.85546875" style="139" customWidth="1"/>
    <col min="14397" max="14397" width="8" style="139" customWidth="1"/>
    <col min="14398" max="14398" width="8.28515625" style="139" customWidth="1"/>
    <col min="14399" max="14399" width="8.85546875" style="139" customWidth="1"/>
    <col min="14400" max="14400" width="8.5703125" style="139" customWidth="1"/>
    <col min="14401" max="14402" width="8.7109375" style="139" customWidth="1"/>
    <col min="14403" max="14592" width="11.42578125" style="139"/>
    <col min="14593" max="14593" width="32.7109375" style="139" customWidth="1"/>
    <col min="14594" max="14594" width="7.28515625" style="139" customWidth="1"/>
    <col min="14595" max="14595" width="8.42578125" style="139" customWidth="1"/>
    <col min="14596" max="14596" width="12.140625" style="139" customWidth="1"/>
    <col min="14597" max="14597" width="7.5703125" style="139" customWidth="1"/>
    <col min="14598" max="14598" width="9" style="139" customWidth="1"/>
    <col min="14599" max="14599" width="12.42578125" style="139" customWidth="1"/>
    <col min="14600" max="14600" width="7.42578125" style="139" customWidth="1"/>
    <col min="14601" max="14601" width="9.42578125" style="139" customWidth="1"/>
    <col min="14602" max="14602" width="12.7109375" style="139" customWidth="1"/>
    <col min="14603" max="14603" width="8.7109375" style="139" customWidth="1"/>
    <col min="14604" max="14604" width="8.42578125" style="139" customWidth="1"/>
    <col min="14605" max="14605" width="12.140625" style="139" customWidth="1"/>
    <col min="14606" max="14606" width="9" style="139" customWidth="1"/>
    <col min="14607" max="14607" width="9.140625" style="139" customWidth="1"/>
    <col min="14608" max="14608" width="12" style="139" customWidth="1"/>
    <col min="14609" max="14609" width="7.7109375" style="139" customWidth="1"/>
    <col min="14610" max="14610" width="9.85546875" style="139" customWidth="1"/>
    <col min="14611" max="14611" width="7.5703125" style="139" customWidth="1"/>
    <col min="14612" max="14612" width="7.7109375" style="139" customWidth="1"/>
    <col min="14613" max="14613" width="9.42578125" style="139" customWidth="1"/>
    <col min="14614" max="14614" width="9.5703125" style="139" customWidth="1"/>
    <col min="14615" max="14616" width="8.5703125" style="139" customWidth="1"/>
    <col min="14617" max="14617" width="8.7109375" style="139" customWidth="1"/>
    <col min="14618" max="14618" width="8.85546875" style="139" customWidth="1"/>
    <col min="14619" max="14619" width="8.5703125" style="139" customWidth="1"/>
    <col min="14620" max="14620" width="7.85546875" style="139" customWidth="1"/>
    <col min="14621" max="14622" width="8.7109375" style="139" customWidth="1"/>
    <col min="14623" max="14623" width="8" style="139" customWidth="1"/>
    <col min="14624" max="14624" width="8.42578125" style="139" customWidth="1"/>
    <col min="14625" max="14625" width="8" style="139" customWidth="1"/>
    <col min="14626" max="14626" width="7.85546875" style="139" customWidth="1"/>
    <col min="14627" max="14627" width="8" style="139" customWidth="1"/>
    <col min="14628" max="14628" width="8.28515625" style="139" customWidth="1"/>
    <col min="14629" max="14629" width="8.85546875" style="139" customWidth="1"/>
    <col min="14630" max="14630" width="8.5703125" style="139" customWidth="1"/>
    <col min="14631" max="14632" width="8.7109375" style="139" customWidth="1"/>
    <col min="14633" max="14633" width="7.85546875" style="139" customWidth="1"/>
    <col min="14634" max="14635" width="8.7109375" style="139" customWidth="1"/>
    <col min="14636" max="14636" width="8" style="139" customWidth="1"/>
    <col min="14637" max="14637" width="8.42578125" style="139" customWidth="1"/>
    <col min="14638" max="14638" width="8" style="139" customWidth="1"/>
    <col min="14639" max="14639" width="7.85546875" style="139" customWidth="1"/>
    <col min="14640" max="14640" width="8" style="139" customWidth="1"/>
    <col min="14641" max="14641" width="8.28515625" style="139" customWidth="1"/>
    <col min="14642" max="14642" width="8.85546875" style="139" customWidth="1"/>
    <col min="14643" max="14643" width="8.5703125" style="139" customWidth="1"/>
    <col min="14644" max="14645" width="8.7109375" style="139" customWidth="1"/>
    <col min="14646" max="14646" width="7.85546875" style="139" customWidth="1"/>
    <col min="14647" max="14648" width="8.7109375" style="139" customWidth="1"/>
    <col min="14649" max="14649" width="8" style="139" customWidth="1"/>
    <col min="14650" max="14650" width="8.42578125" style="139" customWidth="1"/>
    <col min="14651" max="14651" width="8" style="139" customWidth="1"/>
    <col min="14652" max="14652" width="7.85546875" style="139" customWidth="1"/>
    <col min="14653" max="14653" width="8" style="139" customWidth="1"/>
    <col min="14654" max="14654" width="8.28515625" style="139" customWidth="1"/>
    <col min="14655" max="14655" width="8.85546875" style="139" customWidth="1"/>
    <col min="14656" max="14656" width="8.5703125" style="139" customWidth="1"/>
    <col min="14657" max="14658" width="8.7109375" style="139" customWidth="1"/>
    <col min="14659" max="14848" width="11.42578125" style="139"/>
    <col min="14849" max="14849" width="32.7109375" style="139" customWidth="1"/>
    <col min="14850" max="14850" width="7.28515625" style="139" customWidth="1"/>
    <col min="14851" max="14851" width="8.42578125" style="139" customWidth="1"/>
    <col min="14852" max="14852" width="12.140625" style="139" customWidth="1"/>
    <col min="14853" max="14853" width="7.5703125" style="139" customWidth="1"/>
    <col min="14854" max="14854" width="9" style="139" customWidth="1"/>
    <col min="14855" max="14855" width="12.42578125" style="139" customWidth="1"/>
    <col min="14856" max="14856" width="7.42578125" style="139" customWidth="1"/>
    <col min="14857" max="14857" width="9.42578125" style="139" customWidth="1"/>
    <col min="14858" max="14858" width="12.7109375" style="139" customWidth="1"/>
    <col min="14859" max="14859" width="8.7109375" style="139" customWidth="1"/>
    <col min="14860" max="14860" width="8.42578125" style="139" customWidth="1"/>
    <col min="14861" max="14861" width="12.140625" style="139" customWidth="1"/>
    <col min="14862" max="14862" width="9" style="139" customWidth="1"/>
    <col min="14863" max="14863" width="9.140625" style="139" customWidth="1"/>
    <col min="14864" max="14864" width="12" style="139" customWidth="1"/>
    <col min="14865" max="14865" width="7.7109375" style="139" customWidth="1"/>
    <col min="14866" max="14866" width="9.85546875" style="139" customWidth="1"/>
    <col min="14867" max="14867" width="7.5703125" style="139" customWidth="1"/>
    <col min="14868" max="14868" width="7.7109375" style="139" customWidth="1"/>
    <col min="14869" max="14869" width="9.42578125" style="139" customWidth="1"/>
    <col min="14870" max="14870" width="9.5703125" style="139" customWidth="1"/>
    <col min="14871" max="14872" width="8.5703125" style="139" customWidth="1"/>
    <col min="14873" max="14873" width="8.7109375" style="139" customWidth="1"/>
    <col min="14874" max="14874" width="8.85546875" style="139" customWidth="1"/>
    <col min="14875" max="14875" width="8.5703125" style="139" customWidth="1"/>
    <col min="14876" max="14876" width="7.85546875" style="139" customWidth="1"/>
    <col min="14877" max="14878" width="8.7109375" style="139" customWidth="1"/>
    <col min="14879" max="14879" width="8" style="139" customWidth="1"/>
    <col min="14880" max="14880" width="8.42578125" style="139" customWidth="1"/>
    <col min="14881" max="14881" width="8" style="139" customWidth="1"/>
    <col min="14882" max="14882" width="7.85546875" style="139" customWidth="1"/>
    <col min="14883" max="14883" width="8" style="139" customWidth="1"/>
    <col min="14884" max="14884" width="8.28515625" style="139" customWidth="1"/>
    <col min="14885" max="14885" width="8.85546875" style="139" customWidth="1"/>
    <col min="14886" max="14886" width="8.5703125" style="139" customWidth="1"/>
    <col min="14887" max="14888" width="8.7109375" style="139" customWidth="1"/>
    <col min="14889" max="14889" width="7.85546875" style="139" customWidth="1"/>
    <col min="14890" max="14891" width="8.7109375" style="139" customWidth="1"/>
    <col min="14892" max="14892" width="8" style="139" customWidth="1"/>
    <col min="14893" max="14893" width="8.42578125" style="139" customWidth="1"/>
    <col min="14894" max="14894" width="8" style="139" customWidth="1"/>
    <col min="14895" max="14895" width="7.85546875" style="139" customWidth="1"/>
    <col min="14896" max="14896" width="8" style="139" customWidth="1"/>
    <col min="14897" max="14897" width="8.28515625" style="139" customWidth="1"/>
    <col min="14898" max="14898" width="8.85546875" style="139" customWidth="1"/>
    <col min="14899" max="14899" width="8.5703125" style="139" customWidth="1"/>
    <col min="14900" max="14901" width="8.7109375" style="139" customWidth="1"/>
    <col min="14902" max="14902" width="7.85546875" style="139" customWidth="1"/>
    <col min="14903" max="14904" width="8.7109375" style="139" customWidth="1"/>
    <col min="14905" max="14905" width="8" style="139" customWidth="1"/>
    <col min="14906" max="14906" width="8.42578125" style="139" customWidth="1"/>
    <col min="14907" max="14907" width="8" style="139" customWidth="1"/>
    <col min="14908" max="14908" width="7.85546875" style="139" customWidth="1"/>
    <col min="14909" max="14909" width="8" style="139" customWidth="1"/>
    <col min="14910" max="14910" width="8.28515625" style="139" customWidth="1"/>
    <col min="14911" max="14911" width="8.85546875" style="139" customWidth="1"/>
    <col min="14912" max="14912" width="8.5703125" style="139" customWidth="1"/>
    <col min="14913" max="14914" width="8.7109375" style="139" customWidth="1"/>
    <col min="14915" max="15104" width="11.42578125" style="139"/>
    <col min="15105" max="15105" width="32.7109375" style="139" customWidth="1"/>
    <col min="15106" max="15106" width="7.28515625" style="139" customWidth="1"/>
    <col min="15107" max="15107" width="8.42578125" style="139" customWidth="1"/>
    <col min="15108" max="15108" width="12.140625" style="139" customWidth="1"/>
    <col min="15109" max="15109" width="7.5703125" style="139" customWidth="1"/>
    <col min="15110" max="15110" width="9" style="139" customWidth="1"/>
    <col min="15111" max="15111" width="12.42578125" style="139" customWidth="1"/>
    <col min="15112" max="15112" width="7.42578125" style="139" customWidth="1"/>
    <col min="15113" max="15113" width="9.42578125" style="139" customWidth="1"/>
    <col min="15114" max="15114" width="12.7109375" style="139" customWidth="1"/>
    <col min="15115" max="15115" width="8.7109375" style="139" customWidth="1"/>
    <col min="15116" max="15116" width="8.42578125" style="139" customWidth="1"/>
    <col min="15117" max="15117" width="12.140625" style="139" customWidth="1"/>
    <col min="15118" max="15118" width="9" style="139" customWidth="1"/>
    <col min="15119" max="15119" width="9.140625" style="139" customWidth="1"/>
    <col min="15120" max="15120" width="12" style="139" customWidth="1"/>
    <col min="15121" max="15121" width="7.7109375" style="139" customWidth="1"/>
    <col min="15122" max="15122" width="9.85546875" style="139" customWidth="1"/>
    <col min="15123" max="15123" width="7.5703125" style="139" customWidth="1"/>
    <col min="15124" max="15124" width="7.7109375" style="139" customWidth="1"/>
    <col min="15125" max="15125" width="9.42578125" style="139" customWidth="1"/>
    <col min="15126" max="15126" width="9.5703125" style="139" customWidth="1"/>
    <col min="15127" max="15128" width="8.5703125" style="139" customWidth="1"/>
    <col min="15129" max="15129" width="8.7109375" style="139" customWidth="1"/>
    <col min="15130" max="15130" width="8.85546875" style="139" customWidth="1"/>
    <col min="15131" max="15131" width="8.5703125" style="139" customWidth="1"/>
    <col min="15132" max="15132" width="7.85546875" style="139" customWidth="1"/>
    <col min="15133" max="15134" width="8.7109375" style="139" customWidth="1"/>
    <col min="15135" max="15135" width="8" style="139" customWidth="1"/>
    <col min="15136" max="15136" width="8.42578125" style="139" customWidth="1"/>
    <col min="15137" max="15137" width="8" style="139" customWidth="1"/>
    <col min="15138" max="15138" width="7.85546875" style="139" customWidth="1"/>
    <col min="15139" max="15139" width="8" style="139" customWidth="1"/>
    <col min="15140" max="15140" width="8.28515625" style="139" customWidth="1"/>
    <col min="15141" max="15141" width="8.85546875" style="139" customWidth="1"/>
    <col min="15142" max="15142" width="8.5703125" style="139" customWidth="1"/>
    <col min="15143" max="15144" width="8.7109375" style="139" customWidth="1"/>
    <col min="15145" max="15145" width="7.85546875" style="139" customWidth="1"/>
    <col min="15146" max="15147" width="8.7109375" style="139" customWidth="1"/>
    <col min="15148" max="15148" width="8" style="139" customWidth="1"/>
    <col min="15149" max="15149" width="8.42578125" style="139" customWidth="1"/>
    <col min="15150" max="15150" width="8" style="139" customWidth="1"/>
    <col min="15151" max="15151" width="7.85546875" style="139" customWidth="1"/>
    <col min="15152" max="15152" width="8" style="139" customWidth="1"/>
    <col min="15153" max="15153" width="8.28515625" style="139" customWidth="1"/>
    <col min="15154" max="15154" width="8.85546875" style="139" customWidth="1"/>
    <col min="15155" max="15155" width="8.5703125" style="139" customWidth="1"/>
    <col min="15156" max="15157" width="8.7109375" style="139" customWidth="1"/>
    <col min="15158" max="15158" width="7.85546875" style="139" customWidth="1"/>
    <col min="15159" max="15160" width="8.7109375" style="139" customWidth="1"/>
    <col min="15161" max="15161" width="8" style="139" customWidth="1"/>
    <col min="15162" max="15162" width="8.42578125" style="139" customWidth="1"/>
    <col min="15163" max="15163" width="8" style="139" customWidth="1"/>
    <col min="15164" max="15164" width="7.85546875" style="139" customWidth="1"/>
    <col min="15165" max="15165" width="8" style="139" customWidth="1"/>
    <col min="15166" max="15166" width="8.28515625" style="139" customWidth="1"/>
    <col min="15167" max="15167" width="8.85546875" style="139" customWidth="1"/>
    <col min="15168" max="15168" width="8.5703125" style="139" customWidth="1"/>
    <col min="15169" max="15170" width="8.7109375" style="139" customWidth="1"/>
    <col min="15171" max="15360" width="11.42578125" style="139"/>
    <col min="15361" max="15361" width="32.7109375" style="139" customWidth="1"/>
    <col min="15362" max="15362" width="7.28515625" style="139" customWidth="1"/>
    <col min="15363" max="15363" width="8.42578125" style="139" customWidth="1"/>
    <col min="15364" max="15364" width="12.140625" style="139" customWidth="1"/>
    <col min="15365" max="15365" width="7.5703125" style="139" customWidth="1"/>
    <col min="15366" max="15366" width="9" style="139" customWidth="1"/>
    <col min="15367" max="15367" width="12.42578125" style="139" customWidth="1"/>
    <col min="15368" max="15368" width="7.42578125" style="139" customWidth="1"/>
    <col min="15369" max="15369" width="9.42578125" style="139" customWidth="1"/>
    <col min="15370" max="15370" width="12.7109375" style="139" customWidth="1"/>
    <col min="15371" max="15371" width="8.7109375" style="139" customWidth="1"/>
    <col min="15372" max="15372" width="8.42578125" style="139" customWidth="1"/>
    <col min="15373" max="15373" width="12.140625" style="139" customWidth="1"/>
    <col min="15374" max="15374" width="9" style="139" customWidth="1"/>
    <col min="15375" max="15375" width="9.140625" style="139" customWidth="1"/>
    <col min="15376" max="15376" width="12" style="139" customWidth="1"/>
    <col min="15377" max="15377" width="7.7109375" style="139" customWidth="1"/>
    <col min="15378" max="15378" width="9.85546875" style="139" customWidth="1"/>
    <col min="15379" max="15379" width="7.5703125" style="139" customWidth="1"/>
    <col min="15380" max="15380" width="7.7109375" style="139" customWidth="1"/>
    <col min="15381" max="15381" width="9.42578125" style="139" customWidth="1"/>
    <col min="15382" max="15382" width="9.5703125" style="139" customWidth="1"/>
    <col min="15383" max="15384" width="8.5703125" style="139" customWidth="1"/>
    <col min="15385" max="15385" width="8.7109375" style="139" customWidth="1"/>
    <col min="15386" max="15386" width="8.85546875" style="139" customWidth="1"/>
    <col min="15387" max="15387" width="8.5703125" style="139" customWidth="1"/>
    <col min="15388" max="15388" width="7.85546875" style="139" customWidth="1"/>
    <col min="15389" max="15390" width="8.7109375" style="139" customWidth="1"/>
    <col min="15391" max="15391" width="8" style="139" customWidth="1"/>
    <col min="15392" max="15392" width="8.42578125" style="139" customWidth="1"/>
    <col min="15393" max="15393" width="8" style="139" customWidth="1"/>
    <col min="15394" max="15394" width="7.85546875" style="139" customWidth="1"/>
    <col min="15395" max="15395" width="8" style="139" customWidth="1"/>
    <col min="15396" max="15396" width="8.28515625" style="139" customWidth="1"/>
    <col min="15397" max="15397" width="8.85546875" style="139" customWidth="1"/>
    <col min="15398" max="15398" width="8.5703125" style="139" customWidth="1"/>
    <col min="15399" max="15400" width="8.7109375" style="139" customWidth="1"/>
    <col min="15401" max="15401" width="7.85546875" style="139" customWidth="1"/>
    <col min="15402" max="15403" width="8.7109375" style="139" customWidth="1"/>
    <col min="15404" max="15404" width="8" style="139" customWidth="1"/>
    <col min="15405" max="15405" width="8.42578125" style="139" customWidth="1"/>
    <col min="15406" max="15406" width="8" style="139" customWidth="1"/>
    <col min="15407" max="15407" width="7.85546875" style="139" customWidth="1"/>
    <col min="15408" max="15408" width="8" style="139" customWidth="1"/>
    <col min="15409" max="15409" width="8.28515625" style="139" customWidth="1"/>
    <col min="15410" max="15410" width="8.85546875" style="139" customWidth="1"/>
    <col min="15411" max="15411" width="8.5703125" style="139" customWidth="1"/>
    <col min="15412" max="15413" width="8.7109375" style="139" customWidth="1"/>
    <col min="15414" max="15414" width="7.85546875" style="139" customWidth="1"/>
    <col min="15415" max="15416" width="8.7109375" style="139" customWidth="1"/>
    <col min="15417" max="15417" width="8" style="139" customWidth="1"/>
    <col min="15418" max="15418" width="8.42578125" style="139" customWidth="1"/>
    <col min="15419" max="15419" width="8" style="139" customWidth="1"/>
    <col min="15420" max="15420" width="7.85546875" style="139" customWidth="1"/>
    <col min="15421" max="15421" width="8" style="139" customWidth="1"/>
    <col min="15422" max="15422" width="8.28515625" style="139" customWidth="1"/>
    <col min="15423" max="15423" width="8.85546875" style="139" customWidth="1"/>
    <col min="15424" max="15424" width="8.5703125" style="139" customWidth="1"/>
    <col min="15425" max="15426" width="8.7109375" style="139" customWidth="1"/>
    <col min="15427" max="15616" width="11.42578125" style="139"/>
    <col min="15617" max="15617" width="32.7109375" style="139" customWidth="1"/>
    <col min="15618" max="15618" width="7.28515625" style="139" customWidth="1"/>
    <col min="15619" max="15619" width="8.42578125" style="139" customWidth="1"/>
    <col min="15620" max="15620" width="12.140625" style="139" customWidth="1"/>
    <col min="15621" max="15621" width="7.5703125" style="139" customWidth="1"/>
    <col min="15622" max="15622" width="9" style="139" customWidth="1"/>
    <col min="15623" max="15623" width="12.42578125" style="139" customWidth="1"/>
    <col min="15624" max="15624" width="7.42578125" style="139" customWidth="1"/>
    <col min="15625" max="15625" width="9.42578125" style="139" customWidth="1"/>
    <col min="15626" max="15626" width="12.7109375" style="139" customWidth="1"/>
    <col min="15627" max="15627" width="8.7109375" style="139" customWidth="1"/>
    <col min="15628" max="15628" width="8.42578125" style="139" customWidth="1"/>
    <col min="15629" max="15629" width="12.140625" style="139" customWidth="1"/>
    <col min="15630" max="15630" width="9" style="139" customWidth="1"/>
    <col min="15631" max="15631" width="9.140625" style="139" customWidth="1"/>
    <col min="15632" max="15632" width="12" style="139" customWidth="1"/>
    <col min="15633" max="15633" width="7.7109375" style="139" customWidth="1"/>
    <col min="15634" max="15634" width="9.85546875" style="139" customWidth="1"/>
    <col min="15635" max="15635" width="7.5703125" style="139" customWidth="1"/>
    <col min="15636" max="15636" width="7.7109375" style="139" customWidth="1"/>
    <col min="15637" max="15637" width="9.42578125" style="139" customWidth="1"/>
    <col min="15638" max="15638" width="9.5703125" style="139" customWidth="1"/>
    <col min="15639" max="15640" width="8.5703125" style="139" customWidth="1"/>
    <col min="15641" max="15641" width="8.7109375" style="139" customWidth="1"/>
    <col min="15642" max="15642" width="8.85546875" style="139" customWidth="1"/>
    <col min="15643" max="15643" width="8.5703125" style="139" customWidth="1"/>
    <col min="15644" max="15644" width="7.85546875" style="139" customWidth="1"/>
    <col min="15645" max="15646" width="8.7109375" style="139" customWidth="1"/>
    <col min="15647" max="15647" width="8" style="139" customWidth="1"/>
    <col min="15648" max="15648" width="8.42578125" style="139" customWidth="1"/>
    <col min="15649" max="15649" width="8" style="139" customWidth="1"/>
    <col min="15650" max="15650" width="7.85546875" style="139" customWidth="1"/>
    <col min="15651" max="15651" width="8" style="139" customWidth="1"/>
    <col min="15652" max="15652" width="8.28515625" style="139" customWidth="1"/>
    <col min="15653" max="15653" width="8.85546875" style="139" customWidth="1"/>
    <col min="15654" max="15654" width="8.5703125" style="139" customWidth="1"/>
    <col min="15655" max="15656" width="8.7109375" style="139" customWidth="1"/>
    <col min="15657" max="15657" width="7.85546875" style="139" customWidth="1"/>
    <col min="15658" max="15659" width="8.7109375" style="139" customWidth="1"/>
    <col min="15660" max="15660" width="8" style="139" customWidth="1"/>
    <col min="15661" max="15661" width="8.42578125" style="139" customWidth="1"/>
    <col min="15662" max="15662" width="8" style="139" customWidth="1"/>
    <col min="15663" max="15663" width="7.85546875" style="139" customWidth="1"/>
    <col min="15664" max="15664" width="8" style="139" customWidth="1"/>
    <col min="15665" max="15665" width="8.28515625" style="139" customWidth="1"/>
    <col min="15666" max="15666" width="8.85546875" style="139" customWidth="1"/>
    <col min="15667" max="15667" width="8.5703125" style="139" customWidth="1"/>
    <col min="15668" max="15669" width="8.7109375" style="139" customWidth="1"/>
    <col min="15670" max="15670" width="7.85546875" style="139" customWidth="1"/>
    <col min="15671" max="15672" width="8.7109375" style="139" customWidth="1"/>
    <col min="15673" max="15673" width="8" style="139" customWidth="1"/>
    <col min="15674" max="15674" width="8.42578125" style="139" customWidth="1"/>
    <col min="15675" max="15675" width="8" style="139" customWidth="1"/>
    <col min="15676" max="15676" width="7.85546875" style="139" customWidth="1"/>
    <col min="15677" max="15677" width="8" style="139" customWidth="1"/>
    <col min="15678" max="15678" width="8.28515625" style="139" customWidth="1"/>
    <col min="15679" max="15679" width="8.85546875" style="139" customWidth="1"/>
    <col min="15680" max="15680" width="8.5703125" style="139" customWidth="1"/>
    <col min="15681" max="15682" width="8.7109375" style="139" customWidth="1"/>
    <col min="15683" max="15872" width="11.42578125" style="139"/>
    <col min="15873" max="15873" width="32.7109375" style="139" customWidth="1"/>
    <col min="15874" max="15874" width="7.28515625" style="139" customWidth="1"/>
    <col min="15875" max="15875" width="8.42578125" style="139" customWidth="1"/>
    <col min="15876" max="15876" width="12.140625" style="139" customWidth="1"/>
    <col min="15877" max="15877" width="7.5703125" style="139" customWidth="1"/>
    <col min="15878" max="15878" width="9" style="139" customWidth="1"/>
    <col min="15879" max="15879" width="12.42578125" style="139" customWidth="1"/>
    <col min="15880" max="15880" width="7.42578125" style="139" customWidth="1"/>
    <col min="15881" max="15881" width="9.42578125" style="139" customWidth="1"/>
    <col min="15882" max="15882" width="12.7109375" style="139" customWidth="1"/>
    <col min="15883" max="15883" width="8.7109375" style="139" customWidth="1"/>
    <col min="15884" max="15884" width="8.42578125" style="139" customWidth="1"/>
    <col min="15885" max="15885" width="12.140625" style="139" customWidth="1"/>
    <col min="15886" max="15886" width="9" style="139" customWidth="1"/>
    <col min="15887" max="15887" width="9.140625" style="139" customWidth="1"/>
    <col min="15888" max="15888" width="12" style="139" customWidth="1"/>
    <col min="15889" max="15889" width="7.7109375" style="139" customWidth="1"/>
    <col min="15890" max="15890" width="9.85546875" style="139" customWidth="1"/>
    <col min="15891" max="15891" width="7.5703125" style="139" customWidth="1"/>
    <col min="15892" max="15892" width="7.7109375" style="139" customWidth="1"/>
    <col min="15893" max="15893" width="9.42578125" style="139" customWidth="1"/>
    <col min="15894" max="15894" width="9.5703125" style="139" customWidth="1"/>
    <col min="15895" max="15896" width="8.5703125" style="139" customWidth="1"/>
    <col min="15897" max="15897" width="8.7109375" style="139" customWidth="1"/>
    <col min="15898" max="15898" width="8.85546875" style="139" customWidth="1"/>
    <col min="15899" max="15899" width="8.5703125" style="139" customWidth="1"/>
    <col min="15900" max="15900" width="7.85546875" style="139" customWidth="1"/>
    <col min="15901" max="15902" width="8.7109375" style="139" customWidth="1"/>
    <col min="15903" max="15903" width="8" style="139" customWidth="1"/>
    <col min="15904" max="15904" width="8.42578125" style="139" customWidth="1"/>
    <col min="15905" max="15905" width="8" style="139" customWidth="1"/>
    <col min="15906" max="15906" width="7.85546875" style="139" customWidth="1"/>
    <col min="15907" max="15907" width="8" style="139" customWidth="1"/>
    <col min="15908" max="15908" width="8.28515625" style="139" customWidth="1"/>
    <col min="15909" max="15909" width="8.85546875" style="139" customWidth="1"/>
    <col min="15910" max="15910" width="8.5703125" style="139" customWidth="1"/>
    <col min="15911" max="15912" width="8.7109375" style="139" customWidth="1"/>
    <col min="15913" max="15913" width="7.85546875" style="139" customWidth="1"/>
    <col min="15914" max="15915" width="8.7109375" style="139" customWidth="1"/>
    <col min="15916" max="15916" width="8" style="139" customWidth="1"/>
    <col min="15917" max="15917" width="8.42578125" style="139" customWidth="1"/>
    <col min="15918" max="15918" width="8" style="139" customWidth="1"/>
    <col min="15919" max="15919" width="7.85546875" style="139" customWidth="1"/>
    <col min="15920" max="15920" width="8" style="139" customWidth="1"/>
    <col min="15921" max="15921" width="8.28515625" style="139" customWidth="1"/>
    <col min="15922" max="15922" width="8.85546875" style="139" customWidth="1"/>
    <col min="15923" max="15923" width="8.5703125" style="139" customWidth="1"/>
    <col min="15924" max="15925" width="8.7109375" style="139" customWidth="1"/>
    <col min="15926" max="15926" width="7.85546875" style="139" customWidth="1"/>
    <col min="15927" max="15928" width="8.7109375" style="139" customWidth="1"/>
    <col min="15929" max="15929" width="8" style="139" customWidth="1"/>
    <col min="15930" max="15930" width="8.42578125" style="139" customWidth="1"/>
    <col min="15931" max="15931" width="8" style="139" customWidth="1"/>
    <col min="15932" max="15932" width="7.85546875" style="139" customWidth="1"/>
    <col min="15933" max="15933" width="8" style="139" customWidth="1"/>
    <col min="15934" max="15934" width="8.28515625" style="139" customWidth="1"/>
    <col min="15935" max="15935" width="8.85546875" style="139" customWidth="1"/>
    <col min="15936" max="15936" width="8.5703125" style="139" customWidth="1"/>
    <col min="15937" max="15938" width="8.7109375" style="139" customWidth="1"/>
    <col min="15939" max="16128" width="11.42578125" style="139"/>
    <col min="16129" max="16129" width="32.7109375" style="139" customWidth="1"/>
    <col min="16130" max="16130" width="7.28515625" style="139" customWidth="1"/>
    <col min="16131" max="16131" width="8.42578125" style="139" customWidth="1"/>
    <col min="16132" max="16132" width="12.140625" style="139" customWidth="1"/>
    <col min="16133" max="16133" width="7.5703125" style="139" customWidth="1"/>
    <col min="16134" max="16134" width="9" style="139" customWidth="1"/>
    <col min="16135" max="16135" width="12.42578125" style="139" customWidth="1"/>
    <col min="16136" max="16136" width="7.42578125" style="139" customWidth="1"/>
    <col min="16137" max="16137" width="9.42578125" style="139" customWidth="1"/>
    <col min="16138" max="16138" width="12.7109375" style="139" customWidth="1"/>
    <col min="16139" max="16139" width="8.7109375" style="139" customWidth="1"/>
    <col min="16140" max="16140" width="8.42578125" style="139" customWidth="1"/>
    <col min="16141" max="16141" width="12.140625" style="139" customWidth="1"/>
    <col min="16142" max="16142" width="9" style="139" customWidth="1"/>
    <col min="16143" max="16143" width="9.140625" style="139" customWidth="1"/>
    <col min="16144" max="16144" width="12" style="139" customWidth="1"/>
    <col min="16145" max="16145" width="7.7109375" style="139" customWidth="1"/>
    <col min="16146" max="16146" width="9.85546875" style="139" customWidth="1"/>
    <col min="16147" max="16147" width="7.5703125" style="139" customWidth="1"/>
    <col min="16148" max="16148" width="7.7109375" style="139" customWidth="1"/>
    <col min="16149" max="16149" width="9.42578125" style="139" customWidth="1"/>
    <col min="16150" max="16150" width="9.5703125" style="139" customWidth="1"/>
    <col min="16151" max="16152" width="8.5703125" style="139" customWidth="1"/>
    <col min="16153" max="16153" width="8.7109375" style="139" customWidth="1"/>
    <col min="16154" max="16154" width="8.85546875" style="139" customWidth="1"/>
    <col min="16155" max="16155" width="8.5703125" style="139" customWidth="1"/>
    <col min="16156" max="16156" width="7.85546875" style="139" customWidth="1"/>
    <col min="16157" max="16158" width="8.7109375" style="139" customWidth="1"/>
    <col min="16159" max="16159" width="8" style="139" customWidth="1"/>
    <col min="16160" max="16160" width="8.42578125" style="139" customWidth="1"/>
    <col min="16161" max="16161" width="8" style="139" customWidth="1"/>
    <col min="16162" max="16162" width="7.85546875" style="139" customWidth="1"/>
    <col min="16163" max="16163" width="8" style="139" customWidth="1"/>
    <col min="16164" max="16164" width="8.28515625" style="139" customWidth="1"/>
    <col min="16165" max="16165" width="8.85546875" style="139" customWidth="1"/>
    <col min="16166" max="16166" width="8.5703125" style="139" customWidth="1"/>
    <col min="16167" max="16168" width="8.7109375" style="139" customWidth="1"/>
    <col min="16169" max="16169" width="7.85546875" style="139" customWidth="1"/>
    <col min="16170" max="16171" width="8.7109375" style="139" customWidth="1"/>
    <col min="16172" max="16172" width="8" style="139" customWidth="1"/>
    <col min="16173" max="16173" width="8.42578125" style="139" customWidth="1"/>
    <col min="16174" max="16174" width="8" style="139" customWidth="1"/>
    <col min="16175" max="16175" width="7.85546875" style="139" customWidth="1"/>
    <col min="16176" max="16176" width="8" style="139" customWidth="1"/>
    <col min="16177" max="16177" width="8.28515625" style="139" customWidth="1"/>
    <col min="16178" max="16178" width="8.85546875" style="139" customWidth="1"/>
    <col min="16179" max="16179" width="8.5703125" style="139" customWidth="1"/>
    <col min="16180" max="16181" width="8.7109375" style="139" customWidth="1"/>
    <col min="16182" max="16182" width="7.85546875" style="139" customWidth="1"/>
    <col min="16183" max="16184" width="8.7109375" style="139" customWidth="1"/>
    <col min="16185" max="16185" width="8" style="139" customWidth="1"/>
    <col min="16186" max="16186" width="8.42578125" style="139" customWidth="1"/>
    <col min="16187" max="16187" width="8" style="139" customWidth="1"/>
    <col min="16188" max="16188" width="7.85546875" style="139" customWidth="1"/>
    <col min="16189" max="16189" width="8" style="139" customWidth="1"/>
    <col min="16190" max="16190" width="8.28515625" style="139" customWidth="1"/>
    <col min="16191" max="16191" width="8.85546875" style="139" customWidth="1"/>
    <col min="16192" max="16192" width="8.5703125" style="139" customWidth="1"/>
    <col min="16193" max="16194" width="8.7109375" style="139" customWidth="1"/>
    <col min="16195" max="16384" width="11.42578125" style="139"/>
  </cols>
  <sheetData>
    <row r="3" spans="1:67" x14ac:dyDescent="0.2">
      <c r="A3" s="247" t="s">
        <v>257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</row>
    <row r="4" spans="1:67" s="223" customFormat="1" ht="30" x14ac:dyDescent="0.25">
      <c r="A4" s="247"/>
      <c r="B4" s="220" t="s">
        <v>258</v>
      </c>
      <c r="C4" s="220" t="s">
        <v>259</v>
      </c>
      <c r="D4" s="220" t="s">
        <v>260</v>
      </c>
      <c r="E4" s="220" t="s">
        <v>261</v>
      </c>
      <c r="F4" s="220" t="s">
        <v>262</v>
      </c>
      <c r="G4" s="220" t="s">
        <v>263</v>
      </c>
      <c r="H4" s="220" t="s">
        <v>264</v>
      </c>
      <c r="I4" s="220" t="s">
        <v>265</v>
      </c>
      <c r="J4" s="220" t="s">
        <v>266</v>
      </c>
      <c r="K4" s="220" t="s">
        <v>267</v>
      </c>
      <c r="L4" s="220" t="s">
        <v>268</v>
      </c>
      <c r="M4" s="220" t="s">
        <v>269</v>
      </c>
      <c r="N4" s="221" t="s">
        <v>31</v>
      </c>
      <c r="O4" s="220" t="s">
        <v>258</v>
      </c>
      <c r="P4" s="220" t="s">
        <v>259</v>
      </c>
      <c r="Q4" s="220" t="s">
        <v>260</v>
      </c>
      <c r="R4" s="220" t="s">
        <v>261</v>
      </c>
      <c r="S4" s="220" t="s">
        <v>262</v>
      </c>
      <c r="T4" s="220" t="s">
        <v>263</v>
      </c>
      <c r="U4" s="220" t="s">
        <v>264</v>
      </c>
      <c r="V4" s="220" t="s">
        <v>265</v>
      </c>
      <c r="W4" s="220" t="s">
        <v>266</v>
      </c>
      <c r="X4" s="220" t="s">
        <v>267</v>
      </c>
      <c r="Y4" s="220" t="s">
        <v>268</v>
      </c>
      <c r="Z4" s="220" t="s">
        <v>269</v>
      </c>
      <c r="AA4" s="222" t="s">
        <v>270</v>
      </c>
      <c r="AB4" s="220" t="s">
        <v>258</v>
      </c>
      <c r="AC4" s="220" t="s">
        <v>259</v>
      </c>
      <c r="AD4" s="220" t="s">
        <v>260</v>
      </c>
      <c r="AE4" s="220" t="s">
        <v>261</v>
      </c>
      <c r="AF4" s="220" t="s">
        <v>262</v>
      </c>
      <c r="AG4" s="220" t="s">
        <v>263</v>
      </c>
      <c r="AH4" s="220" t="s">
        <v>264</v>
      </c>
      <c r="AI4" s="220" t="s">
        <v>265</v>
      </c>
      <c r="AJ4" s="220" t="s">
        <v>266</v>
      </c>
      <c r="AK4" s="220" t="s">
        <v>267</v>
      </c>
      <c r="AL4" s="220" t="s">
        <v>268</v>
      </c>
      <c r="AM4" s="220" t="s">
        <v>269</v>
      </c>
      <c r="AN4" s="222" t="s">
        <v>271</v>
      </c>
      <c r="AO4" s="214" t="s">
        <v>258</v>
      </c>
      <c r="AP4" s="214" t="s">
        <v>259</v>
      </c>
      <c r="AQ4" s="214" t="s">
        <v>260</v>
      </c>
      <c r="AR4" s="214" t="s">
        <v>261</v>
      </c>
      <c r="AS4" s="214" t="s">
        <v>262</v>
      </c>
      <c r="AT4" s="214" t="s">
        <v>263</v>
      </c>
      <c r="AU4" s="214" t="s">
        <v>264</v>
      </c>
      <c r="AV4" s="214" t="s">
        <v>265</v>
      </c>
      <c r="AW4" s="214" t="s">
        <v>266</v>
      </c>
      <c r="AX4" s="214" t="s">
        <v>267</v>
      </c>
      <c r="AY4" s="214" t="s">
        <v>268</v>
      </c>
      <c r="AZ4" s="214" t="s">
        <v>269</v>
      </c>
      <c r="BA4" s="222" t="s">
        <v>272</v>
      </c>
      <c r="BB4" s="214" t="s">
        <v>258</v>
      </c>
      <c r="BC4" s="214" t="s">
        <v>259</v>
      </c>
      <c r="BD4" s="214" t="s">
        <v>260</v>
      </c>
      <c r="BE4" s="214" t="s">
        <v>261</v>
      </c>
      <c r="BF4" s="214" t="s">
        <v>262</v>
      </c>
      <c r="BG4" s="214" t="s">
        <v>263</v>
      </c>
      <c r="BH4" s="214" t="s">
        <v>264</v>
      </c>
      <c r="BI4" s="214" t="s">
        <v>265</v>
      </c>
      <c r="BJ4" s="214" t="s">
        <v>266</v>
      </c>
      <c r="BK4" s="214" t="s">
        <v>267</v>
      </c>
      <c r="BL4" s="214" t="s">
        <v>268</v>
      </c>
      <c r="BM4" s="214" t="s">
        <v>269</v>
      </c>
      <c r="BN4" s="222" t="s">
        <v>273</v>
      </c>
    </row>
    <row r="5" spans="1:67" ht="15" x14ac:dyDescent="0.25">
      <c r="A5" s="140" t="s">
        <v>291</v>
      </c>
      <c r="B5" s="258" t="s">
        <v>274</v>
      </c>
      <c r="C5" s="258"/>
      <c r="D5" s="258"/>
      <c r="E5" s="141">
        <f t="shared" ref="E5:M5" si="0">SUM(E6:E7)</f>
        <v>450</v>
      </c>
      <c r="F5" s="141">
        <f t="shared" si="0"/>
        <v>950</v>
      </c>
      <c r="G5" s="141">
        <f t="shared" si="0"/>
        <v>1300</v>
      </c>
      <c r="H5" s="141">
        <f t="shared" si="0"/>
        <v>1560</v>
      </c>
      <c r="I5" s="141">
        <f t="shared" si="0"/>
        <v>1872</v>
      </c>
      <c r="J5" s="141">
        <f t="shared" si="0"/>
        <v>2246.4</v>
      </c>
      <c r="K5" s="141">
        <f t="shared" si="0"/>
        <v>3343.9839999999999</v>
      </c>
      <c r="L5" s="141">
        <f t="shared" si="0"/>
        <v>4012.7808</v>
      </c>
      <c r="M5" s="141">
        <f t="shared" si="0"/>
        <v>4012.7808</v>
      </c>
      <c r="N5" s="211">
        <f t="shared" ref="N5" si="1">SUM(E5:M5)</f>
        <v>19747.945599999999</v>
      </c>
      <c r="O5" s="142">
        <f>M5*1.01</f>
        <v>4052.9086080000002</v>
      </c>
      <c r="P5" s="142">
        <f>O5</f>
        <v>4052.9086080000002</v>
      </c>
      <c r="Q5" s="142">
        <f>P5</f>
        <v>4052.9086080000002</v>
      </c>
      <c r="R5" s="142">
        <f>Q5</f>
        <v>4052.9086080000002</v>
      </c>
      <c r="S5" s="142">
        <f>R5</f>
        <v>4052.9086080000002</v>
      </c>
      <c r="T5" s="142">
        <f>S5</f>
        <v>4052.9086080000002</v>
      </c>
      <c r="U5" s="142">
        <f>T5*1.01</f>
        <v>4093.4376940800003</v>
      </c>
      <c r="V5" s="142">
        <f>U5</f>
        <v>4093.4376940800003</v>
      </c>
      <c r="W5" s="142">
        <f>V5</f>
        <v>4093.4376940800003</v>
      </c>
      <c r="X5" s="142">
        <f>W5</f>
        <v>4093.4376940800003</v>
      </c>
      <c r="Y5" s="142">
        <f>X5</f>
        <v>4093.4376940800003</v>
      </c>
      <c r="Z5" s="142">
        <f>Y5</f>
        <v>4093.4376940800003</v>
      </c>
      <c r="AA5" s="211">
        <f>AA6+AA7</f>
        <v>49362.019176960006</v>
      </c>
      <c r="AB5" s="142">
        <f>Z5*1.01</f>
        <v>4134.3720710207999</v>
      </c>
      <c r="AC5" s="142">
        <f>AB5</f>
        <v>4134.3720710207999</v>
      </c>
      <c r="AD5" s="142">
        <f>AC5</f>
        <v>4134.3720710207999</v>
      </c>
      <c r="AE5" s="142">
        <f>AD5</f>
        <v>4134.3720710207999</v>
      </c>
      <c r="AF5" s="142">
        <f>AE5</f>
        <v>4134.3720710207999</v>
      </c>
      <c r="AG5" s="142">
        <f>AF5</f>
        <v>4134.3720710207999</v>
      </c>
      <c r="AH5" s="142">
        <f>AG5*1.01</f>
        <v>4175.7157917310078</v>
      </c>
      <c r="AI5" s="142">
        <f>AH5</f>
        <v>4175.7157917310078</v>
      </c>
      <c r="AJ5" s="142">
        <f>AI5</f>
        <v>4175.7157917310078</v>
      </c>
      <c r="AK5" s="142">
        <f>AJ5</f>
        <v>4175.7157917310078</v>
      </c>
      <c r="AL5" s="142">
        <f>AK5</f>
        <v>4175.7157917310078</v>
      </c>
      <c r="AM5" s="142">
        <f>AL5</f>
        <v>4175.7157917310078</v>
      </c>
      <c r="AN5" s="211">
        <f>AN6+AN7</f>
        <v>50852.752156104194</v>
      </c>
      <c r="AO5" s="142">
        <f>AM5*1.01</f>
        <v>4217.4729496483178</v>
      </c>
      <c r="AP5" s="142">
        <f>AO5</f>
        <v>4217.4729496483178</v>
      </c>
      <c r="AQ5" s="142">
        <f>AP5</f>
        <v>4217.4729496483178</v>
      </c>
      <c r="AR5" s="142">
        <f>AQ5</f>
        <v>4217.4729496483178</v>
      </c>
      <c r="AS5" s="142">
        <f>AR5</f>
        <v>4217.4729496483178</v>
      </c>
      <c r="AT5" s="142">
        <f>AS5</f>
        <v>4217.4729496483178</v>
      </c>
      <c r="AU5" s="142">
        <f>AT5*1.01</f>
        <v>4259.6476791448013</v>
      </c>
      <c r="AV5" s="142">
        <f>AU5</f>
        <v>4259.6476791448013</v>
      </c>
      <c r="AW5" s="142">
        <f>AV5</f>
        <v>4259.6476791448013</v>
      </c>
      <c r="AX5" s="142">
        <f>AW5</f>
        <v>4259.6476791448013</v>
      </c>
      <c r="AY5" s="142">
        <f>AX5</f>
        <v>4259.6476791448013</v>
      </c>
      <c r="AZ5" s="142">
        <f>AY5</f>
        <v>4259.6476791448013</v>
      </c>
      <c r="BA5" s="211">
        <f>BA6+BA7</f>
        <v>52388.50527121855</v>
      </c>
      <c r="BB5" s="142">
        <f>AZ5*1.01</f>
        <v>4302.2441559362496</v>
      </c>
      <c r="BC5" s="142">
        <f>BB5</f>
        <v>4302.2441559362496</v>
      </c>
      <c r="BD5" s="142">
        <f>BC5</f>
        <v>4302.2441559362496</v>
      </c>
      <c r="BE5" s="142">
        <f>BD5</f>
        <v>4302.2441559362496</v>
      </c>
      <c r="BF5" s="142">
        <f>BE5</f>
        <v>4302.2441559362496</v>
      </c>
      <c r="BG5" s="142">
        <f>BF5</f>
        <v>4302.2441559362496</v>
      </c>
      <c r="BH5" s="142">
        <f>BG5*1.01</f>
        <v>4345.2665974956126</v>
      </c>
      <c r="BI5" s="142">
        <f>BH5</f>
        <v>4345.2665974956126</v>
      </c>
      <c r="BJ5" s="142">
        <f>BI5</f>
        <v>4345.2665974956126</v>
      </c>
      <c r="BK5" s="142">
        <f>BJ5</f>
        <v>4345.2665974956126</v>
      </c>
      <c r="BL5" s="142">
        <f>BK5</f>
        <v>4345.2665974956126</v>
      </c>
      <c r="BM5" s="142">
        <f>BL5</f>
        <v>4345.2665974956126</v>
      </c>
      <c r="BN5" s="211">
        <f>BN6+BN7</f>
        <v>53970.638130409352</v>
      </c>
    </row>
    <row r="6" spans="1:67" s="218" customFormat="1" x14ac:dyDescent="0.2">
      <c r="A6" s="215" t="s">
        <v>293</v>
      </c>
      <c r="B6" s="258"/>
      <c r="C6" s="258"/>
      <c r="D6" s="258"/>
      <c r="E6" s="215">
        <v>390</v>
      </c>
      <c r="F6" s="215">
        <v>750</v>
      </c>
      <c r="G6" s="215">
        <v>1110</v>
      </c>
      <c r="H6" s="215">
        <f>G6+G6*20%</f>
        <v>1332</v>
      </c>
      <c r="I6" s="216">
        <f t="shared" ref="I6:J7" si="2">H6+H6*20%</f>
        <v>1598.4</v>
      </c>
      <c r="J6" s="216">
        <f t="shared" si="2"/>
        <v>1918.0800000000002</v>
      </c>
      <c r="K6" s="216">
        <v>2950</v>
      </c>
      <c r="L6" s="216">
        <f t="shared" ref="L6" si="3">K6+K6*20%</f>
        <v>3540</v>
      </c>
      <c r="M6" s="216">
        <f>L6</f>
        <v>3540</v>
      </c>
      <c r="N6" s="216">
        <f t="shared" ref="N6:N13" si="4">SUM(E6:M6)</f>
        <v>17128.48</v>
      </c>
      <c r="O6" s="217">
        <f t="shared" ref="O6:O13" si="5">M6*1.02</f>
        <v>3610.8</v>
      </c>
      <c r="P6" s="217">
        <f t="shared" ref="P6:Q6" si="6">O6</f>
        <v>3610.8</v>
      </c>
      <c r="Q6" s="217">
        <f t="shared" si="6"/>
        <v>3610.8</v>
      </c>
      <c r="R6" s="217">
        <f t="shared" ref="R6" si="7">Q6</f>
        <v>3610.8</v>
      </c>
      <c r="S6" s="217">
        <f t="shared" ref="S6:T6" si="8">R6</f>
        <v>3610.8</v>
      </c>
      <c r="T6" s="217">
        <f t="shared" si="8"/>
        <v>3610.8</v>
      </c>
      <c r="U6" s="217">
        <f t="shared" ref="U6:U13" si="9">T6*1.01</f>
        <v>3646.9080000000004</v>
      </c>
      <c r="V6" s="217">
        <f t="shared" ref="V6:W13" si="10">U6</f>
        <v>3646.9080000000004</v>
      </c>
      <c r="W6" s="217">
        <f t="shared" si="10"/>
        <v>3646.9080000000004</v>
      </c>
      <c r="X6" s="217">
        <f t="shared" ref="X6:Z13" si="11">W6</f>
        <v>3646.9080000000004</v>
      </c>
      <c r="Y6" s="217">
        <f t="shared" si="11"/>
        <v>3646.9080000000004</v>
      </c>
      <c r="Z6" s="217">
        <f t="shared" si="11"/>
        <v>3646.9080000000004</v>
      </c>
      <c r="AA6" s="217">
        <f>SUM(O6:Z6)</f>
        <v>43546.248000000007</v>
      </c>
      <c r="AB6" s="217">
        <f t="shared" ref="AB6:AB14" si="12">Z6*1.02</f>
        <v>3719.8461600000005</v>
      </c>
      <c r="AC6" s="217">
        <f t="shared" ref="AC6:AG13" si="13">AB6</f>
        <v>3719.8461600000005</v>
      </c>
      <c r="AD6" s="217">
        <f t="shared" si="13"/>
        <v>3719.8461600000005</v>
      </c>
      <c r="AE6" s="217">
        <f t="shared" si="13"/>
        <v>3719.8461600000005</v>
      </c>
      <c r="AF6" s="217">
        <f t="shared" si="13"/>
        <v>3719.8461600000005</v>
      </c>
      <c r="AG6" s="217">
        <f t="shared" si="13"/>
        <v>3719.8461600000005</v>
      </c>
      <c r="AH6" s="217">
        <f t="shared" ref="AH6:AH14" si="14">AG6*1.01</f>
        <v>3757.0446216000005</v>
      </c>
      <c r="AI6" s="217">
        <f t="shared" ref="AI6:AM6" si="15">AH6</f>
        <v>3757.0446216000005</v>
      </c>
      <c r="AJ6" s="217">
        <f t="shared" si="15"/>
        <v>3757.0446216000005</v>
      </c>
      <c r="AK6" s="217">
        <f t="shared" si="15"/>
        <v>3757.0446216000005</v>
      </c>
      <c r="AL6" s="217">
        <f t="shared" si="15"/>
        <v>3757.0446216000005</v>
      </c>
      <c r="AM6" s="217">
        <f t="shared" si="15"/>
        <v>3757.0446216000005</v>
      </c>
      <c r="AN6" s="217">
        <f>SUM(AB6:AM6)</f>
        <v>44861.344689600002</v>
      </c>
      <c r="AO6" s="217">
        <f t="shared" ref="AO6:AO14" si="16">AM6*1.02</f>
        <v>3832.1855140320004</v>
      </c>
      <c r="AP6" s="217">
        <f t="shared" ref="AP6:AT6" si="17">AO6</f>
        <v>3832.1855140320004</v>
      </c>
      <c r="AQ6" s="217">
        <f t="shared" si="17"/>
        <v>3832.1855140320004</v>
      </c>
      <c r="AR6" s="217">
        <f t="shared" si="17"/>
        <v>3832.1855140320004</v>
      </c>
      <c r="AS6" s="217">
        <f t="shared" si="17"/>
        <v>3832.1855140320004</v>
      </c>
      <c r="AT6" s="217">
        <f t="shared" si="17"/>
        <v>3832.1855140320004</v>
      </c>
      <c r="AU6" s="217">
        <f t="shared" ref="AU6:AU14" si="18">AT6*1.01</f>
        <v>3870.5073691723205</v>
      </c>
      <c r="AV6" s="217">
        <f t="shared" ref="AV6:AZ6" si="19">AU6</f>
        <v>3870.5073691723205</v>
      </c>
      <c r="AW6" s="217">
        <f t="shared" si="19"/>
        <v>3870.5073691723205</v>
      </c>
      <c r="AX6" s="217">
        <f t="shared" si="19"/>
        <v>3870.5073691723205</v>
      </c>
      <c r="AY6" s="217">
        <f t="shared" si="19"/>
        <v>3870.5073691723205</v>
      </c>
      <c r="AZ6" s="217">
        <f t="shared" si="19"/>
        <v>3870.5073691723205</v>
      </c>
      <c r="BA6" s="217">
        <f>SUM(AO6:AZ6)</f>
        <v>46216.157299225932</v>
      </c>
      <c r="BB6" s="217">
        <f t="shared" ref="BB6:BB14" si="20">AZ6*1.02</f>
        <v>3947.9175165557672</v>
      </c>
      <c r="BC6" s="217">
        <f t="shared" ref="BC6:BG6" si="21">BB6</f>
        <v>3947.9175165557672</v>
      </c>
      <c r="BD6" s="217">
        <f t="shared" si="21"/>
        <v>3947.9175165557672</v>
      </c>
      <c r="BE6" s="217">
        <f t="shared" si="21"/>
        <v>3947.9175165557672</v>
      </c>
      <c r="BF6" s="217">
        <f t="shared" si="21"/>
        <v>3947.9175165557672</v>
      </c>
      <c r="BG6" s="217">
        <f t="shared" si="21"/>
        <v>3947.9175165557672</v>
      </c>
      <c r="BH6" s="217">
        <f t="shared" ref="BH6:BH14" si="22">BG6*1.01</f>
        <v>3987.3966917213247</v>
      </c>
      <c r="BI6" s="217">
        <f t="shared" ref="BI6:BM6" si="23">BH6</f>
        <v>3987.3966917213247</v>
      </c>
      <c r="BJ6" s="217">
        <f t="shared" si="23"/>
        <v>3987.3966917213247</v>
      </c>
      <c r="BK6" s="217">
        <f t="shared" si="23"/>
        <v>3987.3966917213247</v>
      </c>
      <c r="BL6" s="217">
        <f t="shared" si="23"/>
        <v>3987.3966917213247</v>
      </c>
      <c r="BM6" s="217">
        <f t="shared" si="23"/>
        <v>3987.3966917213247</v>
      </c>
      <c r="BN6" s="217">
        <f>SUM(BB6:BM6)</f>
        <v>47611.885249662555</v>
      </c>
    </row>
    <row r="7" spans="1:67" s="218" customFormat="1" x14ac:dyDescent="0.2">
      <c r="A7" s="215" t="s">
        <v>294</v>
      </c>
      <c r="B7" s="258"/>
      <c r="C7" s="258"/>
      <c r="D7" s="258"/>
      <c r="E7" s="215">
        <v>60</v>
      </c>
      <c r="F7" s="215">
        <v>200</v>
      </c>
      <c r="G7" s="215">
        <v>190</v>
      </c>
      <c r="H7" s="215">
        <f>G7+G7*20%</f>
        <v>228</v>
      </c>
      <c r="I7" s="216">
        <f t="shared" ref="I7" si="24">H7+H7*20%</f>
        <v>273.60000000000002</v>
      </c>
      <c r="J7" s="216">
        <f t="shared" si="2"/>
        <v>328.32000000000005</v>
      </c>
      <c r="K7" s="216">
        <f t="shared" ref="K7:L7" si="25">J7+J7*20%</f>
        <v>393.98400000000004</v>
      </c>
      <c r="L7" s="216">
        <f t="shared" si="25"/>
        <v>472.78080000000006</v>
      </c>
      <c r="M7" s="216">
        <f>L7</f>
        <v>472.78080000000006</v>
      </c>
      <c r="N7" s="216">
        <f t="shared" si="4"/>
        <v>2619.4656</v>
      </c>
      <c r="O7" s="217">
        <f t="shared" si="5"/>
        <v>482.23641600000008</v>
      </c>
      <c r="P7" s="217">
        <f t="shared" ref="P7:Q7" si="26">O7</f>
        <v>482.23641600000008</v>
      </c>
      <c r="Q7" s="217">
        <f t="shared" si="26"/>
        <v>482.23641600000008</v>
      </c>
      <c r="R7" s="217">
        <f t="shared" ref="R7" si="27">Q7</f>
        <v>482.23641600000008</v>
      </c>
      <c r="S7" s="217">
        <f t="shared" ref="S7:T7" si="28">R7</f>
        <v>482.23641600000008</v>
      </c>
      <c r="T7" s="217">
        <f t="shared" si="28"/>
        <v>482.23641600000008</v>
      </c>
      <c r="U7" s="217">
        <f t="shared" si="9"/>
        <v>487.05878016000008</v>
      </c>
      <c r="V7" s="217">
        <f t="shared" si="10"/>
        <v>487.05878016000008</v>
      </c>
      <c r="W7" s="217">
        <f t="shared" si="10"/>
        <v>487.05878016000008</v>
      </c>
      <c r="X7" s="217">
        <f t="shared" ref="X7:Y7" si="29">W7</f>
        <v>487.05878016000008</v>
      </c>
      <c r="Y7" s="217">
        <f t="shared" si="29"/>
        <v>487.05878016000008</v>
      </c>
      <c r="Z7" s="217">
        <f t="shared" si="11"/>
        <v>487.05878016000008</v>
      </c>
      <c r="AA7" s="217">
        <f>SUM(O7:Z7)</f>
        <v>5815.7711769600019</v>
      </c>
      <c r="AB7" s="217">
        <f t="shared" si="12"/>
        <v>496.7999557632001</v>
      </c>
      <c r="AC7" s="217">
        <f t="shared" ref="AC7:AD7" si="30">AB7</f>
        <v>496.7999557632001</v>
      </c>
      <c r="AD7" s="217">
        <f t="shared" si="30"/>
        <v>496.7999557632001</v>
      </c>
      <c r="AE7" s="217">
        <f t="shared" si="13"/>
        <v>496.7999557632001</v>
      </c>
      <c r="AF7" s="217">
        <f t="shared" si="13"/>
        <v>496.7999557632001</v>
      </c>
      <c r="AG7" s="217">
        <f t="shared" si="13"/>
        <v>496.7999557632001</v>
      </c>
      <c r="AH7" s="217">
        <f t="shared" si="14"/>
        <v>501.76795532083213</v>
      </c>
      <c r="AI7" s="217">
        <f t="shared" ref="AI7:AM7" si="31">AH7</f>
        <v>501.76795532083213</v>
      </c>
      <c r="AJ7" s="217">
        <f t="shared" si="31"/>
        <v>501.76795532083213</v>
      </c>
      <c r="AK7" s="217">
        <f t="shared" si="31"/>
        <v>501.76795532083213</v>
      </c>
      <c r="AL7" s="217">
        <f t="shared" si="31"/>
        <v>501.76795532083213</v>
      </c>
      <c r="AM7" s="217">
        <f t="shared" si="31"/>
        <v>501.76795532083213</v>
      </c>
      <c r="AN7" s="217">
        <f>SUM(AB7:AM7)</f>
        <v>5991.4074665041926</v>
      </c>
      <c r="AO7" s="217">
        <f t="shared" si="16"/>
        <v>511.80331442724878</v>
      </c>
      <c r="AP7" s="217">
        <f t="shared" ref="AP7:AT7" si="32">AO7</f>
        <v>511.80331442724878</v>
      </c>
      <c r="AQ7" s="217">
        <f t="shared" si="32"/>
        <v>511.80331442724878</v>
      </c>
      <c r="AR7" s="217">
        <f t="shared" si="32"/>
        <v>511.80331442724878</v>
      </c>
      <c r="AS7" s="217">
        <f t="shared" si="32"/>
        <v>511.80331442724878</v>
      </c>
      <c r="AT7" s="217">
        <f t="shared" si="32"/>
        <v>511.80331442724878</v>
      </c>
      <c r="AU7" s="217">
        <f t="shared" si="18"/>
        <v>516.92134757152132</v>
      </c>
      <c r="AV7" s="217">
        <f t="shared" ref="AV7:AZ7" si="33">AU7</f>
        <v>516.92134757152132</v>
      </c>
      <c r="AW7" s="217">
        <f t="shared" si="33"/>
        <v>516.92134757152132</v>
      </c>
      <c r="AX7" s="217">
        <f t="shared" si="33"/>
        <v>516.92134757152132</v>
      </c>
      <c r="AY7" s="217">
        <f t="shared" si="33"/>
        <v>516.92134757152132</v>
      </c>
      <c r="AZ7" s="217">
        <f t="shared" si="33"/>
        <v>516.92134757152132</v>
      </c>
      <c r="BA7" s="217">
        <f>SUM(AO7:AZ7)</f>
        <v>6172.3479719926208</v>
      </c>
      <c r="BB7" s="217">
        <f t="shared" si="20"/>
        <v>527.25977452295172</v>
      </c>
      <c r="BC7" s="217">
        <f t="shared" ref="BC7:BG7" si="34">BB7</f>
        <v>527.25977452295172</v>
      </c>
      <c r="BD7" s="217">
        <f t="shared" si="34"/>
        <v>527.25977452295172</v>
      </c>
      <c r="BE7" s="217">
        <f t="shared" si="34"/>
        <v>527.25977452295172</v>
      </c>
      <c r="BF7" s="217">
        <f t="shared" si="34"/>
        <v>527.25977452295172</v>
      </c>
      <c r="BG7" s="217">
        <f t="shared" si="34"/>
        <v>527.25977452295172</v>
      </c>
      <c r="BH7" s="217">
        <f t="shared" si="22"/>
        <v>532.53237226818123</v>
      </c>
      <c r="BI7" s="217">
        <f t="shared" ref="BI7:BM7" si="35">BH7</f>
        <v>532.53237226818123</v>
      </c>
      <c r="BJ7" s="217">
        <f t="shared" si="35"/>
        <v>532.53237226818123</v>
      </c>
      <c r="BK7" s="217">
        <f t="shared" si="35"/>
        <v>532.53237226818123</v>
      </c>
      <c r="BL7" s="217">
        <f t="shared" si="35"/>
        <v>532.53237226818123</v>
      </c>
      <c r="BM7" s="217">
        <f t="shared" si="35"/>
        <v>532.53237226818123</v>
      </c>
      <c r="BN7" s="217">
        <f>SUM(BB7:BM7)</f>
        <v>6358.7528807467988</v>
      </c>
      <c r="BO7" s="219">
        <f>SUM(AO7:AZ7)</f>
        <v>6172.3479719926208</v>
      </c>
    </row>
    <row r="8" spans="1:67" ht="15" x14ac:dyDescent="0.25">
      <c r="A8" s="140" t="s">
        <v>292</v>
      </c>
      <c r="B8" s="258"/>
      <c r="C8" s="258"/>
      <c r="D8" s="258"/>
      <c r="E8" s="146">
        <f>SUM(E9:E10)</f>
        <v>107</v>
      </c>
      <c r="F8" s="146">
        <f t="shared" ref="F8:M8" si="36">SUM(F9:F10)</f>
        <v>211</v>
      </c>
      <c r="G8" s="146">
        <f t="shared" si="36"/>
        <v>196</v>
      </c>
      <c r="H8" s="144">
        <f>SUM(H9:H10)</f>
        <v>236.2</v>
      </c>
      <c r="I8" s="144">
        <f t="shared" si="36"/>
        <v>284.69</v>
      </c>
      <c r="J8" s="144">
        <f t="shared" si="36"/>
        <v>343.19049999999999</v>
      </c>
      <c r="K8" s="144">
        <f t="shared" si="36"/>
        <v>413.78172499999999</v>
      </c>
      <c r="L8" s="144">
        <f t="shared" si="36"/>
        <v>498.97947625</v>
      </c>
      <c r="M8" s="144">
        <f t="shared" si="36"/>
        <v>498.97947625</v>
      </c>
      <c r="N8" s="211">
        <f t="shared" si="4"/>
        <v>2789.8211775</v>
      </c>
      <c r="O8" s="142">
        <f t="shared" si="5"/>
        <v>508.959065775</v>
      </c>
      <c r="P8" s="142">
        <f t="shared" ref="P8:Q8" si="37">O8</f>
        <v>508.959065775</v>
      </c>
      <c r="Q8" s="142">
        <f t="shared" si="37"/>
        <v>508.959065775</v>
      </c>
      <c r="R8" s="142">
        <f t="shared" ref="R8" si="38">Q8</f>
        <v>508.959065775</v>
      </c>
      <c r="S8" s="142">
        <f t="shared" ref="S8:T8" si="39">R8</f>
        <v>508.959065775</v>
      </c>
      <c r="T8" s="142">
        <f t="shared" si="39"/>
        <v>508.959065775</v>
      </c>
      <c r="U8" s="142">
        <f t="shared" si="9"/>
        <v>514.04865643275002</v>
      </c>
      <c r="V8" s="142">
        <f t="shared" si="10"/>
        <v>514.04865643275002</v>
      </c>
      <c r="W8" s="142">
        <f t="shared" si="10"/>
        <v>514.04865643275002</v>
      </c>
      <c r="X8" s="142">
        <f t="shared" ref="X8:Y8" si="40">W8</f>
        <v>514.04865643275002</v>
      </c>
      <c r="Y8" s="142">
        <f t="shared" si="40"/>
        <v>514.04865643275002</v>
      </c>
      <c r="Z8" s="142">
        <f t="shared" si="11"/>
        <v>514.04865643275002</v>
      </c>
      <c r="AA8" s="211">
        <f t="shared" ref="AA8" si="41">SUM(O8:Z8)</f>
        <v>6138.0463332465015</v>
      </c>
      <c r="AB8" s="142">
        <f t="shared" si="12"/>
        <v>524.329629561405</v>
      </c>
      <c r="AC8" s="142">
        <f t="shared" ref="AC8:AD8" si="42">AB8</f>
        <v>524.329629561405</v>
      </c>
      <c r="AD8" s="142">
        <f t="shared" si="42"/>
        <v>524.329629561405</v>
      </c>
      <c r="AE8" s="142">
        <f t="shared" si="13"/>
        <v>524.329629561405</v>
      </c>
      <c r="AF8" s="142">
        <f t="shared" si="13"/>
        <v>524.329629561405</v>
      </c>
      <c r="AG8" s="142">
        <f t="shared" si="13"/>
        <v>524.329629561405</v>
      </c>
      <c r="AH8" s="142">
        <f t="shared" si="14"/>
        <v>529.57292585701907</v>
      </c>
      <c r="AI8" s="142">
        <f t="shared" ref="AI8:AM8" si="43">AH8</f>
        <v>529.57292585701907</v>
      </c>
      <c r="AJ8" s="142">
        <f t="shared" si="43"/>
        <v>529.57292585701907</v>
      </c>
      <c r="AK8" s="142">
        <f t="shared" si="43"/>
        <v>529.57292585701907</v>
      </c>
      <c r="AL8" s="142">
        <f t="shared" si="43"/>
        <v>529.57292585701907</v>
      </c>
      <c r="AM8" s="142">
        <f t="shared" si="43"/>
        <v>529.57292585701907</v>
      </c>
      <c r="AN8" s="211">
        <f t="shared" ref="AN8" si="44">SUM(AB8:AM8)</f>
        <v>6323.4153325105444</v>
      </c>
      <c r="AO8" s="142">
        <f t="shared" si="16"/>
        <v>540.16438437415945</v>
      </c>
      <c r="AP8" s="142">
        <f t="shared" ref="AP8:AT8" si="45">AO8</f>
        <v>540.16438437415945</v>
      </c>
      <c r="AQ8" s="142">
        <f t="shared" si="45"/>
        <v>540.16438437415945</v>
      </c>
      <c r="AR8" s="142">
        <f t="shared" si="45"/>
        <v>540.16438437415945</v>
      </c>
      <c r="AS8" s="142">
        <f t="shared" si="45"/>
        <v>540.16438437415945</v>
      </c>
      <c r="AT8" s="142">
        <f t="shared" si="45"/>
        <v>540.16438437415945</v>
      </c>
      <c r="AU8" s="142">
        <f t="shared" si="18"/>
        <v>545.56602821790102</v>
      </c>
      <c r="AV8" s="142">
        <f t="shared" ref="AV8:AZ8" si="46">AU8</f>
        <v>545.56602821790102</v>
      </c>
      <c r="AW8" s="142">
        <f t="shared" si="46"/>
        <v>545.56602821790102</v>
      </c>
      <c r="AX8" s="142">
        <f t="shared" si="46"/>
        <v>545.56602821790102</v>
      </c>
      <c r="AY8" s="142">
        <f t="shared" si="46"/>
        <v>545.56602821790102</v>
      </c>
      <c r="AZ8" s="142">
        <f t="shared" si="46"/>
        <v>545.56602821790102</v>
      </c>
      <c r="BA8" s="211">
        <f t="shared" ref="BA8" si="47">SUM(AO8:AZ8)</f>
        <v>6514.3824755523638</v>
      </c>
      <c r="BB8" s="142">
        <f t="shared" si="20"/>
        <v>556.47734878225901</v>
      </c>
      <c r="BC8" s="142">
        <f t="shared" ref="BC8:BG8" si="48">BB8</f>
        <v>556.47734878225901</v>
      </c>
      <c r="BD8" s="142">
        <f t="shared" si="48"/>
        <v>556.47734878225901</v>
      </c>
      <c r="BE8" s="142">
        <f t="shared" si="48"/>
        <v>556.47734878225901</v>
      </c>
      <c r="BF8" s="142">
        <f t="shared" si="48"/>
        <v>556.47734878225901</v>
      </c>
      <c r="BG8" s="142">
        <f t="shared" si="48"/>
        <v>556.47734878225901</v>
      </c>
      <c r="BH8" s="142">
        <f t="shared" si="22"/>
        <v>562.04212227008156</v>
      </c>
      <c r="BI8" s="142">
        <f t="shared" ref="BI8:BM8" si="49">BH8</f>
        <v>562.04212227008156</v>
      </c>
      <c r="BJ8" s="142">
        <f t="shared" si="49"/>
        <v>562.04212227008156</v>
      </c>
      <c r="BK8" s="142">
        <f t="shared" si="49"/>
        <v>562.04212227008156</v>
      </c>
      <c r="BL8" s="142">
        <f t="shared" si="49"/>
        <v>562.04212227008156</v>
      </c>
      <c r="BM8" s="142">
        <f t="shared" si="49"/>
        <v>562.04212227008156</v>
      </c>
      <c r="BN8" s="211">
        <f t="shared" ref="BN8" si="50">SUM(BB8:BM8)</f>
        <v>6711.1168263140435</v>
      </c>
    </row>
    <row r="9" spans="1:67" s="218" customFormat="1" x14ac:dyDescent="0.2">
      <c r="A9" s="215" t="s">
        <v>293</v>
      </c>
      <c r="B9" s="258"/>
      <c r="C9" s="258"/>
      <c r="D9" s="258"/>
      <c r="E9" s="215">
        <v>90</v>
      </c>
      <c r="F9" s="215">
        <v>185</v>
      </c>
      <c r="G9" s="215">
        <v>176</v>
      </c>
      <c r="H9" s="216">
        <f>G9+G9*20%</f>
        <v>211.2</v>
      </c>
      <c r="I9" s="216">
        <f t="shared" ref="I9:J9" si="51">H9+H9*20%</f>
        <v>253.44</v>
      </c>
      <c r="J9" s="216">
        <f t="shared" si="51"/>
        <v>304.12799999999999</v>
      </c>
      <c r="K9" s="216">
        <f t="shared" ref="K9:L9" si="52">J9+J9*20%</f>
        <v>364.95359999999999</v>
      </c>
      <c r="L9" s="216">
        <f t="shared" si="52"/>
        <v>437.94432</v>
      </c>
      <c r="M9" s="216">
        <f>L9</f>
        <v>437.94432</v>
      </c>
      <c r="N9" s="216">
        <f t="shared" si="4"/>
        <v>2460.61024</v>
      </c>
      <c r="O9" s="217">
        <f t="shared" si="5"/>
        <v>446.7032064</v>
      </c>
      <c r="P9" s="217">
        <f t="shared" ref="P9:Q9" si="53">O9</f>
        <v>446.7032064</v>
      </c>
      <c r="Q9" s="217">
        <f t="shared" si="53"/>
        <v>446.7032064</v>
      </c>
      <c r="R9" s="217">
        <f t="shared" ref="R9" si="54">Q9</f>
        <v>446.7032064</v>
      </c>
      <c r="S9" s="217">
        <f t="shared" ref="S9:T9" si="55">R9</f>
        <v>446.7032064</v>
      </c>
      <c r="T9" s="217">
        <f t="shared" si="55"/>
        <v>446.7032064</v>
      </c>
      <c r="U9" s="217">
        <f t="shared" si="9"/>
        <v>451.17023846400002</v>
      </c>
      <c r="V9" s="217">
        <f t="shared" si="10"/>
        <v>451.17023846400002</v>
      </c>
      <c r="W9" s="217">
        <f t="shared" si="10"/>
        <v>451.17023846400002</v>
      </c>
      <c r="X9" s="217">
        <f t="shared" ref="X9:Y9" si="56">W9</f>
        <v>451.17023846400002</v>
      </c>
      <c r="Y9" s="217">
        <f t="shared" si="56"/>
        <v>451.17023846400002</v>
      </c>
      <c r="Z9" s="217">
        <f t="shared" si="11"/>
        <v>451.17023846400002</v>
      </c>
      <c r="AA9" s="217">
        <f>SUM(O9:Z9)</f>
        <v>5387.2406691840015</v>
      </c>
      <c r="AB9" s="217">
        <f t="shared" si="12"/>
        <v>460.19364323328006</v>
      </c>
      <c r="AC9" s="217">
        <f t="shared" ref="AC9:AD9" si="57">AB9</f>
        <v>460.19364323328006</v>
      </c>
      <c r="AD9" s="217">
        <f t="shared" si="57"/>
        <v>460.19364323328006</v>
      </c>
      <c r="AE9" s="217">
        <f t="shared" si="13"/>
        <v>460.19364323328006</v>
      </c>
      <c r="AF9" s="217">
        <f t="shared" si="13"/>
        <v>460.19364323328006</v>
      </c>
      <c r="AG9" s="217">
        <f t="shared" si="13"/>
        <v>460.19364323328006</v>
      </c>
      <c r="AH9" s="217">
        <f t="shared" si="14"/>
        <v>464.79557966561288</v>
      </c>
      <c r="AI9" s="217">
        <f t="shared" ref="AI9:AM9" si="58">AH9</f>
        <v>464.79557966561288</v>
      </c>
      <c r="AJ9" s="217">
        <f t="shared" si="58"/>
        <v>464.79557966561288</v>
      </c>
      <c r="AK9" s="217">
        <f t="shared" si="58"/>
        <v>464.79557966561288</v>
      </c>
      <c r="AL9" s="217">
        <f t="shared" si="58"/>
        <v>464.79557966561288</v>
      </c>
      <c r="AM9" s="217">
        <f t="shared" si="58"/>
        <v>464.79557966561288</v>
      </c>
      <c r="AN9" s="217">
        <f>SUM(AB9:AM9)</f>
        <v>5549.9353373933591</v>
      </c>
      <c r="AO9" s="217">
        <f t="shared" si="16"/>
        <v>474.09149125892515</v>
      </c>
      <c r="AP9" s="217">
        <f t="shared" ref="AP9:AT9" si="59">AO9</f>
        <v>474.09149125892515</v>
      </c>
      <c r="AQ9" s="217">
        <f t="shared" si="59"/>
        <v>474.09149125892515</v>
      </c>
      <c r="AR9" s="217">
        <f t="shared" si="59"/>
        <v>474.09149125892515</v>
      </c>
      <c r="AS9" s="217">
        <f t="shared" si="59"/>
        <v>474.09149125892515</v>
      </c>
      <c r="AT9" s="217">
        <f t="shared" si="59"/>
        <v>474.09149125892515</v>
      </c>
      <c r="AU9" s="217">
        <f t="shared" si="18"/>
        <v>478.83240617151438</v>
      </c>
      <c r="AV9" s="217">
        <f t="shared" ref="AV9:AZ9" si="60">AU9</f>
        <v>478.83240617151438</v>
      </c>
      <c r="AW9" s="217">
        <f t="shared" si="60"/>
        <v>478.83240617151438</v>
      </c>
      <c r="AX9" s="217">
        <f t="shared" si="60"/>
        <v>478.83240617151438</v>
      </c>
      <c r="AY9" s="217">
        <f t="shared" si="60"/>
        <v>478.83240617151438</v>
      </c>
      <c r="AZ9" s="217">
        <f t="shared" si="60"/>
        <v>478.83240617151438</v>
      </c>
      <c r="BA9" s="217">
        <f>SUM(AO9:AZ9)</f>
        <v>5717.5433845826383</v>
      </c>
      <c r="BB9" s="217">
        <f t="shared" si="20"/>
        <v>488.40905429494467</v>
      </c>
      <c r="BC9" s="217">
        <f t="shared" ref="BC9:BG9" si="61">BB9</f>
        <v>488.40905429494467</v>
      </c>
      <c r="BD9" s="217">
        <f t="shared" si="61"/>
        <v>488.40905429494467</v>
      </c>
      <c r="BE9" s="217">
        <f t="shared" si="61"/>
        <v>488.40905429494467</v>
      </c>
      <c r="BF9" s="217">
        <f t="shared" si="61"/>
        <v>488.40905429494467</v>
      </c>
      <c r="BG9" s="217">
        <f t="shared" si="61"/>
        <v>488.40905429494467</v>
      </c>
      <c r="BH9" s="217">
        <f t="shared" si="22"/>
        <v>493.29314483789409</v>
      </c>
      <c r="BI9" s="217">
        <f t="shared" ref="BI9:BM9" si="62">BH9</f>
        <v>493.29314483789409</v>
      </c>
      <c r="BJ9" s="217">
        <f t="shared" si="62"/>
        <v>493.29314483789409</v>
      </c>
      <c r="BK9" s="217">
        <f t="shared" si="62"/>
        <v>493.29314483789409</v>
      </c>
      <c r="BL9" s="217">
        <f t="shared" si="62"/>
        <v>493.29314483789409</v>
      </c>
      <c r="BM9" s="217">
        <f t="shared" si="62"/>
        <v>493.29314483789409</v>
      </c>
      <c r="BN9" s="217">
        <f>SUM(BB9:BM9)</f>
        <v>5890.2131947970329</v>
      </c>
    </row>
    <row r="10" spans="1:67" s="218" customFormat="1" x14ac:dyDescent="0.2">
      <c r="A10" s="215" t="s">
        <v>294</v>
      </c>
      <c r="B10" s="258"/>
      <c r="C10" s="258"/>
      <c r="D10" s="258"/>
      <c r="E10" s="215">
        <v>17</v>
      </c>
      <c r="F10" s="215">
        <v>26</v>
      </c>
      <c r="G10" s="215">
        <v>20</v>
      </c>
      <c r="H10" s="215">
        <f>G10+G10*25%</f>
        <v>25</v>
      </c>
      <c r="I10" s="216">
        <f>H10+H10*25%</f>
        <v>31.25</v>
      </c>
      <c r="J10" s="216">
        <f>I10+I10*25%</f>
        <v>39.0625</v>
      </c>
      <c r="K10" s="216">
        <f t="shared" ref="K10:L10" si="63">J10+J10*25%</f>
        <v>48.828125</v>
      </c>
      <c r="L10" s="216">
        <f t="shared" si="63"/>
        <v>61.03515625</v>
      </c>
      <c r="M10" s="216">
        <f>L10</f>
        <v>61.03515625</v>
      </c>
      <c r="N10" s="216">
        <f t="shared" si="4"/>
        <v>329.2109375</v>
      </c>
      <c r="O10" s="217">
        <f t="shared" si="5"/>
        <v>62.255859375</v>
      </c>
      <c r="P10" s="217">
        <f t="shared" ref="P10:Q10" si="64">O10</f>
        <v>62.255859375</v>
      </c>
      <c r="Q10" s="217">
        <f t="shared" si="64"/>
        <v>62.255859375</v>
      </c>
      <c r="R10" s="217">
        <f t="shared" ref="R10" si="65">Q10</f>
        <v>62.255859375</v>
      </c>
      <c r="S10" s="217">
        <f t="shared" ref="S10:T10" si="66">R10</f>
        <v>62.255859375</v>
      </c>
      <c r="T10" s="217">
        <f t="shared" si="66"/>
        <v>62.255859375</v>
      </c>
      <c r="U10" s="217">
        <f t="shared" si="9"/>
        <v>62.87841796875</v>
      </c>
      <c r="V10" s="217">
        <f t="shared" si="10"/>
        <v>62.87841796875</v>
      </c>
      <c r="W10" s="217">
        <f t="shared" si="10"/>
        <v>62.87841796875</v>
      </c>
      <c r="X10" s="217">
        <f t="shared" ref="X10:Y10" si="67">W10</f>
        <v>62.87841796875</v>
      </c>
      <c r="Y10" s="217">
        <f t="shared" si="67"/>
        <v>62.87841796875</v>
      </c>
      <c r="Z10" s="217">
        <f t="shared" si="11"/>
        <v>62.87841796875</v>
      </c>
      <c r="AA10" s="217">
        <f>SUM(O10:Z10)</f>
        <v>750.8056640625</v>
      </c>
      <c r="AB10" s="217">
        <f t="shared" si="12"/>
        <v>64.135986328125</v>
      </c>
      <c r="AC10" s="217">
        <f t="shared" ref="AC10:AD10" si="68">AB10</f>
        <v>64.135986328125</v>
      </c>
      <c r="AD10" s="217">
        <f t="shared" si="68"/>
        <v>64.135986328125</v>
      </c>
      <c r="AE10" s="217">
        <f t="shared" si="13"/>
        <v>64.135986328125</v>
      </c>
      <c r="AF10" s="217">
        <f t="shared" si="13"/>
        <v>64.135986328125</v>
      </c>
      <c r="AG10" s="217">
        <f t="shared" si="13"/>
        <v>64.135986328125</v>
      </c>
      <c r="AH10" s="217">
        <f t="shared" si="14"/>
        <v>64.777346191406252</v>
      </c>
      <c r="AI10" s="217">
        <f t="shared" ref="AI10:AM10" si="69">AH10</f>
        <v>64.777346191406252</v>
      </c>
      <c r="AJ10" s="217">
        <f t="shared" si="69"/>
        <v>64.777346191406252</v>
      </c>
      <c r="AK10" s="217">
        <f t="shared" si="69"/>
        <v>64.777346191406252</v>
      </c>
      <c r="AL10" s="217">
        <f t="shared" si="69"/>
        <v>64.777346191406252</v>
      </c>
      <c r="AM10" s="217">
        <f t="shared" si="69"/>
        <v>64.777346191406252</v>
      </c>
      <c r="AN10" s="217">
        <f>SUM(AB10:AM10)</f>
        <v>773.4799951171874</v>
      </c>
      <c r="AO10" s="217">
        <f t="shared" si="16"/>
        <v>66.072893115234379</v>
      </c>
      <c r="AP10" s="217">
        <f t="shared" ref="AP10:AT10" si="70">AO10</f>
        <v>66.072893115234379</v>
      </c>
      <c r="AQ10" s="217">
        <f t="shared" si="70"/>
        <v>66.072893115234379</v>
      </c>
      <c r="AR10" s="217">
        <f t="shared" si="70"/>
        <v>66.072893115234379</v>
      </c>
      <c r="AS10" s="217">
        <f t="shared" si="70"/>
        <v>66.072893115234379</v>
      </c>
      <c r="AT10" s="217">
        <f t="shared" si="70"/>
        <v>66.072893115234379</v>
      </c>
      <c r="AU10" s="217">
        <f t="shared" si="18"/>
        <v>66.733622046386728</v>
      </c>
      <c r="AV10" s="217">
        <f t="shared" ref="AV10:AZ10" si="71">AU10</f>
        <v>66.733622046386728</v>
      </c>
      <c r="AW10" s="217">
        <f t="shared" si="71"/>
        <v>66.733622046386728</v>
      </c>
      <c r="AX10" s="217">
        <f t="shared" si="71"/>
        <v>66.733622046386728</v>
      </c>
      <c r="AY10" s="217">
        <f t="shared" si="71"/>
        <v>66.733622046386728</v>
      </c>
      <c r="AZ10" s="217">
        <f t="shared" si="71"/>
        <v>66.733622046386728</v>
      </c>
      <c r="BA10" s="217">
        <f>SUM(AO10:AZ10)</f>
        <v>796.8390909697265</v>
      </c>
      <c r="BB10" s="217">
        <f t="shared" si="20"/>
        <v>68.068294487314461</v>
      </c>
      <c r="BC10" s="217">
        <f t="shared" ref="BC10:BG10" si="72">BB10</f>
        <v>68.068294487314461</v>
      </c>
      <c r="BD10" s="217">
        <f t="shared" si="72"/>
        <v>68.068294487314461</v>
      </c>
      <c r="BE10" s="217">
        <f t="shared" si="72"/>
        <v>68.068294487314461</v>
      </c>
      <c r="BF10" s="217">
        <f t="shared" si="72"/>
        <v>68.068294487314461</v>
      </c>
      <c r="BG10" s="217">
        <f t="shared" si="72"/>
        <v>68.068294487314461</v>
      </c>
      <c r="BH10" s="217">
        <f t="shared" si="22"/>
        <v>68.748977432187601</v>
      </c>
      <c r="BI10" s="217">
        <f t="shared" ref="BI10:BM10" si="73">BH10</f>
        <v>68.748977432187601</v>
      </c>
      <c r="BJ10" s="217">
        <f t="shared" si="73"/>
        <v>68.748977432187601</v>
      </c>
      <c r="BK10" s="217">
        <f t="shared" si="73"/>
        <v>68.748977432187601</v>
      </c>
      <c r="BL10" s="217">
        <f t="shared" si="73"/>
        <v>68.748977432187601</v>
      </c>
      <c r="BM10" s="217">
        <f t="shared" si="73"/>
        <v>68.748977432187601</v>
      </c>
      <c r="BN10" s="217">
        <f>SUM(BB10:BM10)</f>
        <v>820.90363151701251</v>
      </c>
    </row>
    <row r="11" spans="1:67" ht="15" x14ac:dyDescent="0.25">
      <c r="A11" s="140" t="s">
        <v>290</v>
      </c>
      <c r="B11" s="258"/>
      <c r="C11" s="258"/>
      <c r="D11" s="258"/>
      <c r="E11" s="146">
        <f t="shared" ref="E11:M11" si="74">SUM(E12:E13)</f>
        <v>20</v>
      </c>
      <c r="F11" s="146">
        <f t="shared" si="74"/>
        <v>35</v>
      </c>
      <c r="G11" s="146">
        <f t="shared" si="74"/>
        <v>51</v>
      </c>
      <c r="H11" s="144">
        <f t="shared" si="74"/>
        <v>65.400000000000006</v>
      </c>
      <c r="I11" s="144">
        <f t="shared" si="74"/>
        <v>83.94</v>
      </c>
      <c r="J11" s="144">
        <f t="shared" si="74"/>
        <v>107.82600000000001</v>
      </c>
      <c r="K11" s="144">
        <f t="shared" si="74"/>
        <v>138.61859999999999</v>
      </c>
      <c r="L11" s="144">
        <f t="shared" si="74"/>
        <v>178.33794</v>
      </c>
      <c r="M11" s="144">
        <f t="shared" si="74"/>
        <v>178.33794</v>
      </c>
      <c r="N11" s="211">
        <f t="shared" si="4"/>
        <v>858.46047999999996</v>
      </c>
      <c r="O11" s="142">
        <f t="shared" si="5"/>
        <v>181.90469880000001</v>
      </c>
      <c r="P11" s="142">
        <f t="shared" ref="P11:Q11" si="75">O11</f>
        <v>181.90469880000001</v>
      </c>
      <c r="Q11" s="142">
        <f t="shared" si="75"/>
        <v>181.90469880000001</v>
      </c>
      <c r="R11" s="142">
        <f t="shared" ref="R11" si="76">Q11</f>
        <v>181.90469880000001</v>
      </c>
      <c r="S11" s="142">
        <f t="shared" ref="S11:T11" si="77">R11</f>
        <v>181.90469880000001</v>
      </c>
      <c r="T11" s="142">
        <f t="shared" si="77"/>
        <v>181.90469880000001</v>
      </c>
      <c r="U11" s="142">
        <f t="shared" si="9"/>
        <v>183.723745788</v>
      </c>
      <c r="V11" s="142">
        <f t="shared" si="10"/>
        <v>183.723745788</v>
      </c>
      <c r="W11" s="142">
        <f t="shared" si="10"/>
        <v>183.723745788</v>
      </c>
      <c r="X11" s="142">
        <f t="shared" ref="X11:Y11" si="78">W11</f>
        <v>183.723745788</v>
      </c>
      <c r="Y11" s="142">
        <f t="shared" si="78"/>
        <v>183.723745788</v>
      </c>
      <c r="Z11" s="142">
        <f t="shared" si="11"/>
        <v>183.723745788</v>
      </c>
      <c r="AA11" s="211">
        <f>SUM(O11:Z11)</f>
        <v>2193.7706675280006</v>
      </c>
      <c r="AB11" s="142">
        <f t="shared" si="12"/>
        <v>187.39822070376002</v>
      </c>
      <c r="AC11" s="142">
        <f t="shared" ref="AC11:AD11" si="79">AB11</f>
        <v>187.39822070376002</v>
      </c>
      <c r="AD11" s="142">
        <f t="shared" si="79"/>
        <v>187.39822070376002</v>
      </c>
      <c r="AE11" s="142">
        <f t="shared" si="13"/>
        <v>187.39822070376002</v>
      </c>
      <c r="AF11" s="142">
        <f t="shared" si="13"/>
        <v>187.39822070376002</v>
      </c>
      <c r="AG11" s="142">
        <f t="shared" si="13"/>
        <v>187.39822070376002</v>
      </c>
      <c r="AH11" s="142">
        <f t="shared" si="14"/>
        <v>189.27220291079763</v>
      </c>
      <c r="AI11" s="142">
        <f t="shared" ref="AI11:AM11" si="80">AH11</f>
        <v>189.27220291079763</v>
      </c>
      <c r="AJ11" s="142">
        <f t="shared" si="80"/>
        <v>189.27220291079763</v>
      </c>
      <c r="AK11" s="142">
        <f t="shared" si="80"/>
        <v>189.27220291079763</v>
      </c>
      <c r="AL11" s="142">
        <f t="shared" si="80"/>
        <v>189.27220291079763</v>
      </c>
      <c r="AM11" s="142">
        <f t="shared" si="80"/>
        <v>189.27220291079763</v>
      </c>
      <c r="AN11" s="211">
        <f>SUM(AB11:AM11)</f>
        <v>2260.0225416873459</v>
      </c>
      <c r="AO11" s="142">
        <f t="shared" si="16"/>
        <v>193.05764696901358</v>
      </c>
      <c r="AP11" s="142">
        <f t="shared" ref="AP11:AT11" si="81">AO11</f>
        <v>193.05764696901358</v>
      </c>
      <c r="AQ11" s="142">
        <f t="shared" si="81"/>
        <v>193.05764696901358</v>
      </c>
      <c r="AR11" s="142">
        <f t="shared" si="81"/>
        <v>193.05764696901358</v>
      </c>
      <c r="AS11" s="142">
        <f t="shared" si="81"/>
        <v>193.05764696901358</v>
      </c>
      <c r="AT11" s="142">
        <f t="shared" si="81"/>
        <v>193.05764696901358</v>
      </c>
      <c r="AU11" s="142">
        <f t="shared" si="18"/>
        <v>194.9882234387037</v>
      </c>
      <c r="AV11" s="142">
        <f t="shared" ref="AV11:AZ11" si="82">AU11</f>
        <v>194.9882234387037</v>
      </c>
      <c r="AW11" s="142">
        <f t="shared" si="82"/>
        <v>194.9882234387037</v>
      </c>
      <c r="AX11" s="142">
        <f t="shared" si="82"/>
        <v>194.9882234387037</v>
      </c>
      <c r="AY11" s="142">
        <f t="shared" si="82"/>
        <v>194.9882234387037</v>
      </c>
      <c r="AZ11" s="142">
        <f t="shared" si="82"/>
        <v>194.9882234387037</v>
      </c>
      <c r="BA11" s="211">
        <f>SUM(AO11:AZ11)</f>
        <v>2328.2752224463034</v>
      </c>
      <c r="BB11" s="142">
        <f t="shared" si="20"/>
        <v>198.88798790747776</v>
      </c>
      <c r="BC11" s="142">
        <f t="shared" ref="BC11:BG11" si="83">BB11</f>
        <v>198.88798790747776</v>
      </c>
      <c r="BD11" s="142">
        <f t="shared" si="83"/>
        <v>198.88798790747776</v>
      </c>
      <c r="BE11" s="142">
        <f t="shared" si="83"/>
        <v>198.88798790747776</v>
      </c>
      <c r="BF11" s="142">
        <f t="shared" si="83"/>
        <v>198.88798790747776</v>
      </c>
      <c r="BG11" s="142">
        <f t="shared" si="83"/>
        <v>198.88798790747776</v>
      </c>
      <c r="BH11" s="142">
        <f t="shared" si="22"/>
        <v>200.87686778655254</v>
      </c>
      <c r="BI11" s="142">
        <f t="shared" ref="BI11:BM11" si="84">BH11</f>
        <v>200.87686778655254</v>
      </c>
      <c r="BJ11" s="142">
        <f t="shared" si="84"/>
        <v>200.87686778655254</v>
      </c>
      <c r="BK11" s="142">
        <f t="shared" si="84"/>
        <v>200.87686778655254</v>
      </c>
      <c r="BL11" s="142">
        <f t="shared" si="84"/>
        <v>200.87686778655254</v>
      </c>
      <c r="BM11" s="142">
        <f t="shared" si="84"/>
        <v>200.87686778655254</v>
      </c>
      <c r="BN11" s="211">
        <f>SUM(BB11:BM11)</f>
        <v>2398.5891341641818</v>
      </c>
    </row>
    <row r="12" spans="1:67" s="218" customFormat="1" x14ac:dyDescent="0.2">
      <c r="A12" s="215" t="s">
        <v>293</v>
      </c>
      <c r="B12" s="258"/>
      <c r="C12" s="258"/>
      <c r="D12" s="258"/>
      <c r="E12" s="215">
        <v>5</v>
      </c>
      <c r="F12" s="215">
        <v>7</v>
      </c>
      <c r="G12" s="215">
        <v>9</v>
      </c>
      <c r="H12" s="216">
        <f>G12+G12*20%</f>
        <v>10.8</v>
      </c>
      <c r="I12" s="216">
        <f t="shared" ref="I12:J12" si="85">H12+H12*20%</f>
        <v>12.96</v>
      </c>
      <c r="J12" s="216">
        <f t="shared" si="85"/>
        <v>15.552000000000001</v>
      </c>
      <c r="K12" s="216">
        <f t="shared" ref="K12:L12" si="86">J12+J12*20%</f>
        <v>18.662400000000002</v>
      </c>
      <c r="L12" s="216">
        <f t="shared" si="86"/>
        <v>22.394880000000001</v>
      </c>
      <c r="M12" s="216">
        <f>L12</f>
        <v>22.394880000000001</v>
      </c>
      <c r="N12" s="216">
        <f t="shared" si="4"/>
        <v>123.76416</v>
      </c>
      <c r="O12" s="217">
        <f t="shared" si="5"/>
        <v>22.842777600000002</v>
      </c>
      <c r="P12" s="217">
        <f t="shared" ref="P12:Q12" si="87">O12</f>
        <v>22.842777600000002</v>
      </c>
      <c r="Q12" s="217">
        <f t="shared" si="87"/>
        <v>22.842777600000002</v>
      </c>
      <c r="R12" s="217">
        <f t="shared" ref="R12" si="88">Q12</f>
        <v>22.842777600000002</v>
      </c>
      <c r="S12" s="217">
        <f t="shared" ref="S12:T12" si="89">R12</f>
        <v>22.842777600000002</v>
      </c>
      <c r="T12" s="217">
        <f t="shared" si="89"/>
        <v>22.842777600000002</v>
      </c>
      <c r="U12" s="217">
        <f t="shared" si="9"/>
        <v>23.071205376000002</v>
      </c>
      <c r="V12" s="217">
        <f t="shared" si="10"/>
        <v>23.071205376000002</v>
      </c>
      <c r="W12" s="217">
        <f t="shared" si="10"/>
        <v>23.071205376000002</v>
      </c>
      <c r="X12" s="217">
        <f t="shared" ref="X12:Y12" si="90">W12</f>
        <v>23.071205376000002</v>
      </c>
      <c r="Y12" s="217">
        <f t="shared" si="90"/>
        <v>23.071205376000002</v>
      </c>
      <c r="Z12" s="217">
        <f t="shared" si="11"/>
        <v>23.071205376000002</v>
      </c>
      <c r="AA12" s="217">
        <f>SUM(O12:Z12)</f>
        <v>275.483897856</v>
      </c>
      <c r="AB12" s="217">
        <f t="shared" si="12"/>
        <v>23.532629483520001</v>
      </c>
      <c r="AC12" s="217">
        <f t="shared" ref="AC12:AD12" si="91">AB12</f>
        <v>23.532629483520001</v>
      </c>
      <c r="AD12" s="217">
        <f t="shared" si="91"/>
        <v>23.532629483520001</v>
      </c>
      <c r="AE12" s="217">
        <f t="shared" si="13"/>
        <v>23.532629483520001</v>
      </c>
      <c r="AF12" s="217">
        <f t="shared" si="13"/>
        <v>23.532629483520001</v>
      </c>
      <c r="AG12" s="217">
        <f t="shared" si="13"/>
        <v>23.532629483520001</v>
      </c>
      <c r="AH12" s="217">
        <f t="shared" si="14"/>
        <v>23.767955778355201</v>
      </c>
      <c r="AI12" s="217">
        <f t="shared" ref="AI12:AM12" si="92">AH12</f>
        <v>23.767955778355201</v>
      </c>
      <c r="AJ12" s="217">
        <f t="shared" si="92"/>
        <v>23.767955778355201</v>
      </c>
      <c r="AK12" s="217">
        <f t="shared" si="92"/>
        <v>23.767955778355201</v>
      </c>
      <c r="AL12" s="217">
        <f t="shared" si="92"/>
        <v>23.767955778355201</v>
      </c>
      <c r="AM12" s="217">
        <f t="shared" si="92"/>
        <v>23.767955778355201</v>
      </c>
      <c r="AN12" s="217">
        <f>SUM(AB12:AM12)</f>
        <v>283.80351157125125</v>
      </c>
      <c r="AO12" s="217">
        <f t="shared" si="16"/>
        <v>24.243314893922307</v>
      </c>
      <c r="AP12" s="217">
        <f t="shared" ref="AP12:AT12" si="93">AO12</f>
        <v>24.243314893922307</v>
      </c>
      <c r="AQ12" s="217">
        <f t="shared" si="93"/>
        <v>24.243314893922307</v>
      </c>
      <c r="AR12" s="217">
        <f t="shared" si="93"/>
        <v>24.243314893922307</v>
      </c>
      <c r="AS12" s="217">
        <f t="shared" si="93"/>
        <v>24.243314893922307</v>
      </c>
      <c r="AT12" s="217">
        <f t="shared" si="93"/>
        <v>24.243314893922307</v>
      </c>
      <c r="AU12" s="217">
        <f t="shared" si="18"/>
        <v>24.48574804286153</v>
      </c>
      <c r="AV12" s="217">
        <f t="shared" ref="AV12:AZ12" si="94">AU12</f>
        <v>24.48574804286153</v>
      </c>
      <c r="AW12" s="217">
        <f t="shared" si="94"/>
        <v>24.48574804286153</v>
      </c>
      <c r="AX12" s="217">
        <f t="shared" si="94"/>
        <v>24.48574804286153</v>
      </c>
      <c r="AY12" s="217">
        <f t="shared" si="94"/>
        <v>24.48574804286153</v>
      </c>
      <c r="AZ12" s="217">
        <f t="shared" si="94"/>
        <v>24.48574804286153</v>
      </c>
      <c r="BA12" s="217">
        <f>SUM(AO12:AZ12)</f>
        <v>292.374377620703</v>
      </c>
      <c r="BB12" s="217">
        <f t="shared" si="20"/>
        <v>24.975463003718762</v>
      </c>
      <c r="BC12" s="217">
        <f t="shared" ref="BC12:BG12" si="95">BB12</f>
        <v>24.975463003718762</v>
      </c>
      <c r="BD12" s="217">
        <f t="shared" si="95"/>
        <v>24.975463003718762</v>
      </c>
      <c r="BE12" s="217">
        <f t="shared" si="95"/>
        <v>24.975463003718762</v>
      </c>
      <c r="BF12" s="217">
        <f t="shared" si="95"/>
        <v>24.975463003718762</v>
      </c>
      <c r="BG12" s="217">
        <f t="shared" si="95"/>
        <v>24.975463003718762</v>
      </c>
      <c r="BH12" s="217">
        <f t="shared" si="22"/>
        <v>25.22521763375595</v>
      </c>
      <c r="BI12" s="217">
        <f t="shared" ref="BI12:BM12" si="96">BH12</f>
        <v>25.22521763375595</v>
      </c>
      <c r="BJ12" s="217">
        <f t="shared" si="96"/>
        <v>25.22521763375595</v>
      </c>
      <c r="BK12" s="217">
        <f t="shared" si="96"/>
        <v>25.22521763375595</v>
      </c>
      <c r="BL12" s="217">
        <f t="shared" si="96"/>
        <v>25.22521763375595</v>
      </c>
      <c r="BM12" s="217">
        <f t="shared" si="96"/>
        <v>25.22521763375595</v>
      </c>
      <c r="BN12" s="217">
        <f>SUM(BB12:BM12)</f>
        <v>301.20408382484834</v>
      </c>
    </row>
    <row r="13" spans="1:67" s="218" customFormat="1" x14ac:dyDescent="0.2">
      <c r="A13" s="215" t="s">
        <v>294</v>
      </c>
      <c r="B13" s="258"/>
      <c r="C13" s="258"/>
      <c r="D13" s="258"/>
      <c r="E13" s="215">
        <v>15</v>
      </c>
      <c r="F13" s="215">
        <v>28</v>
      </c>
      <c r="G13" s="215">
        <v>42</v>
      </c>
      <c r="H13" s="216">
        <f>G13+G13*30%</f>
        <v>54.6</v>
      </c>
      <c r="I13" s="216">
        <f>H13+H13*30%</f>
        <v>70.98</v>
      </c>
      <c r="J13" s="216">
        <f>I13+I13*30%</f>
        <v>92.274000000000001</v>
      </c>
      <c r="K13" s="216">
        <f t="shared" ref="K13:L13" si="97">J13+J13*30%</f>
        <v>119.9562</v>
      </c>
      <c r="L13" s="216">
        <f t="shared" si="97"/>
        <v>155.94306</v>
      </c>
      <c r="M13" s="216">
        <f>L13</f>
        <v>155.94306</v>
      </c>
      <c r="N13" s="216">
        <f t="shared" si="4"/>
        <v>734.69632000000001</v>
      </c>
      <c r="O13" s="217">
        <f t="shared" si="5"/>
        <v>159.0619212</v>
      </c>
      <c r="P13" s="217">
        <f t="shared" ref="P13:Q13" si="98">O13</f>
        <v>159.0619212</v>
      </c>
      <c r="Q13" s="217">
        <f t="shared" si="98"/>
        <v>159.0619212</v>
      </c>
      <c r="R13" s="217">
        <f t="shared" ref="R13" si="99">Q13</f>
        <v>159.0619212</v>
      </c>
      <c r="S13" s="217">
        <f t="shared" ref="S13:T13" si="100">R13</f>
        <v>159.0619212</v>
      </c>
      <c r="T13" s="217">
        <f t="shared" si="100"/>
        <v>159.0619212</v>
      </c>
      <c r="U13" s="217">
        <f t="shared" si="9"/>
        <v>160.65254041200001</v>
      </c>
      <c r="V13" s="217">
        <f t="shared" si="10"/>
        <v>160.65254041200001</v>
      </c>
      <c r="W13" s="217">
        <f t="shared" si="10"/>
        <v>160.65254041200001</v>
      </c>
      <c r="X13" s="217">
        <f t="shared" ref="X13:Y13" si="101">W13</f>
        <v>160.65254041200001</v>
      </c>
      <c r="Y13" s="217">
        <f t="shared" si="101"/>
        <v>160.65254041200001</v>
      </c>
      <c r="Z13" s="217">
        <f t="shared" si="11"/>
        <v>160.65254041200001</v>
      </c>
      <c r="AA13" s="217">
        <f>SUM(O13:Z13)</f>
        <v>1918.2867696720002</v>
      </c>
      <c r="AB13" s="217">
        <f t="shared" si="12"/>
        <v>163.86559122024002</v>
      </c>
      <c r="AC13" s="217">
        <f t="shared" ref="AC13:AD13" si="102">AB13</f>
        <v>163.86559122024002</v>
      </c>
      <c r="AD13" s="217">
        <f t="shared" si="102"/>
        <v>163.86559122024002</v>
      </c>
      <c r="AE13" s="217">
        <f t="shared" si="13"/>
        <v>163.86559122024002</v>
      </c>
      <c r="AF13" s="217">
        <f t="shared" si="13"/>
        <v>163.86559122024002</v>
      </c>
      <c r="AG13" s="217">
        <f t="shared" si="13"/>
        <v>163.86559122024002</v>
      </c>
      <c r="AH13" s="217">
        <f t="shared" si="14"/>
        <v>165.50424713244243</v>
      </c>
      <c r="AI13" s="217">
        <f t="shared" ref="AI13:AM13" si="103">AH13</f>
        <v>165.50424713244243</v>
      </c>
      <c r="AJ13" s="217">
        <f t="shared" si="103"/>
        <v>165.50424713244243</v>
      </c>
      <c r="AK13" s="217">
        <f t="shared" si="103"/>
        <v>165.50424713244243</v>
      </c>
      <c r="AL13" s="217">
        <f t="shared" si="103"/>
        <v>165.50424713244243</v>
      </c>
      <c r="AM13" s="217">
        <f t="shared" si="103"/>
        <v>165.50424713244243</v>
      </c>
      <c r="AN13" s="217">
        <f>SUM(AB13:AM13)</f>
        <v>1976.2190301160952</v>
      </c>
      <c r="AO13" s="217">
        <f t="shared" si="16"/>
        <v>168.81433207509127</v>
      </c>
      <c r="AP13" s="217">
        <f t="shared" ref="AP13:AT13" si="104">AO13</f>
        <v>168.81433207509127</v>
      </c>
      <c r="AQ13" s="217">
        <f t="shared" si="104"/>
        <v>168.81433207509127</v>
      </c>
      <c r="AR13" s="217">
        <f t="shared" si="104"/>
        <v>168.81433207509127</v>
      </c>
      <c r="AS13" s="217">
        <f t="shared" si="104"/>
        <v>168.81433207509127</v>
      </c>
      <c r="AT13" s="217">
        <f t="shared" si="104"/>
        <v>168.81433207509127</v>
      </c>
      <c r="AU13" s="217">
        <f t="shared" si="18"/>
        <v>170.5024753958422</v>
      </c>
      <c r="AV13" s="217">
        <f t="shared" ref="AV13:AZ13" si="105">AU13</f>
        <v>170.5024753958422</v>
      </c>
      <c r="AW13" s="217">
        <f t="shared" si="105"/>
        <v>170.5024753958422</v>
      </c>
      <c r="AX13" s="217">
        <f t="shared" si="105"/>
        <v>170.5024753958422</v>
      </c>
      <c r="AY13" s="217">
        <f t="shared" si="105"/>
        <v>170.5024753958422</v>
      </c>
      <c r="AZ13" s="217">
        <f t="shared" si="105"/>
        <v>170.5024753958422</v>
      </c>
      <c r="BA13" s="217">
        <f>SUM(AO13:AZ13)</f>
        <v>2035.9008448256002</v>
      </c>
      <c r="BB13" s="217">
        <f t="shared" si="20"/>
        <v>173.91252490375905</v>
      </c>
      <c r="BC13" s="217">
        <f t="shared" ref="BC13:BG13" si="106">BB13</f>
        <v>173.91252490375905</v>
      </c>
      <c r="BD13" s="217">
        <f t="shared" si="106"/>
        <v>173.91252490375905</v>
      </c>
      <c r="BE13" s="217">
        <f t="shared" si="106"/>
        <v>173.91252490375905</v>
      </c>
      <c r="BF13" s="217">
        <f t="shared" si="106"/>
        <v>173.91252490375905</v>
      </c>
      <c r="BG13" s="217">
        <f t="shared" si="106"/>
        <v>173.91252490375905</v>
      </c>
      <c r="BH13" s="217">
        <f t="shared" si="22"/>
        <v>175.65165015279663</v>
      </c>
      <c r="BI13" s="217">
        <f t="shared" ref="BI13:BM13" si="107">BH13</f>
        <v>175.65165015279663</v>
      </c>
      <c r="BJ13" s="217">
        <f t="shared" si="107"/>
        <v>175.65165015279663</v>
      </c>
      <c r="BK13" s="217">
        <f t="shared" si="107"/>
        <v>175.65165015279663</v>
      </c>
      <c r="BL13" s="217">
        <f t="shared" si="107"/>
        <v>175.65165015279663</v>
      </c>
      <c r="BM13" s="217">
        <f t="shared" si="107"/>
        <v>175.65165015279663</v>
      </c>
      <c r="BN13" s="217">
        <f>SUM(BB13:BM13)</f>
        <v>2097.3850503393346</v>
      </c>
    </row>
    <row r="14" spans="1:67" ht="15" x14ac:dyDescent="0.25">
      <c r="A14" s="140" t="s">
        <v>295</v>
      </c>
      <c r="B14" s="258"/>
      <c r="C14" s="258"/>
      <c r="D14" s="258"/>
      <c r="E14" s="146">
        <f t="shared" ref="E14:K14" si="108">SUM(E15:E15)</f>
        <v>0</v>
      </c>
      <c r="F14" s="146">
        <f t="shared" si="108"/>
        <v>0</v>
      </c>
      <c r="G14" s="146">
        <f t="shared" si="108"/>
        <v>0</v>
      </c>
      <c r="H14" s="146">
        <f t="shared" si="108"/>
        <v>0</v>
      </c>
      <c r="I14" s="146">
        <f t="shared" si="108"/>
        <v>0</v>
      </c>
      <c r="J14" s="146">
        <f t="shared" si="108"/>
        <v>0</v>
      </c>
      <c r="K14" s="146">
        <f t="shared" si="108"/>
        <v>0</v>
      </c>
      <c r="L14" s="146">
        <v>0</v>
      </c>
      <c r="M14" s="146">
        <v>0</v>
      </c>
      <c r="N14" s="211">
        <v>0</v>
      </c>
      <c r="O14" s="143">
        <f t="shared" ref="O14" si="109">M14*1.02</f>
        <v>0</v>
      </c>
      <c r="P14" s="144">
        <v>0</v>
      </c>
      <c r="Q14" s="144">
        <f>SUM(Q15:Q15)</f>
        <v>0</v>
      </c>
      <c r="R14" s="143">
        <f t="shared" ref="R14" si="110">Q14*1.01</f>
        <v>0</v>
      </c>
      <c r="S14" s="144">
        <v>0</v>
      </c>
      <c r="T14" s="144">
        <v>0</v>
      </c>
      <c r="U14" s="143">
        <f t="shared" ref="U14" si="111">T14*1.01</f>
        <v>0</v>
      </c>
      <c r="V14" s="144">
        <v>0</v>
      </c>
      <c r="W14" s="143">
        <f t="shared" ref="W14" si="112">V14*1.01</f>
        <v>0</v>
      </c>
      <c r="X14" s="144">
        <v>0</v>
      </c>
      <c r="Y14" s="144">
        <v>0</v>
      </c>
      <c r="Z14" s="144">
        <v>0</v>
      </c>
      <c r="AA14" s="212">
        <v>0</v>
      </c>
      <c r="AB14" s="143">
        <f t="shared" si="12"/>
        <v>0</v>
      </c>
      <c r="AC14" s="144">
        <v>0</v>
      </c>
      <c r="AD14" s="144">
        <f>SUM(AD15:AD15)</f>
        <v>0</v>
      </c>
      <c r="AE14" s="143">
        <f t="shared" ref="AE14" si="113">AD14*1.01</f>
        <v>0</v>
      </c>
      <c r="AF14" s="144">
        <v>0</v>
      </c>
      <c r="AG14" s="144">
        <v>0</v>
      </c>
      <c r="AH14" s="143">
        <f t="shared" si="14"/>
        <v>0</v>
      </c>
      <c r="AI14" s="144">
        <v>0</v>
      </c>
      <c r="AJ14" s="143">
        <f t="shared" ref="AJ14" si="114">AI14*1.01</f>
        <v>0</v>
      </c>
      <c r="AK14" s="144">
        <v>0</v>
      </c>
      <c r="AL14" s="144">
        <v>0</v>
      </c>
      <c r="AM14" s="144">
        <v>0</v>
      </c>
      <c r="AN14" s="212">
        <v>0</v>
      </c>
      <c r="AO14" s="143">
        <f t="shared" si="16"/>
        <v>0</v>
      </c>
      <c r="AP14" s="144">
        <v>0</v>
      </c>
      <c r="AQ14" s="144">
        <f>SUM(AQ15:AQ15)</f>
        <v>0</v>
      </c>
      <c r="AR14" s="143">
        <f t="shared" ref="AR14" si="115">AQ14*1.01</f>
        <v>0</v>
      </c>
      <c r="AS14" s="144">
        <v>0</v>
      </c>
      <c r="AT14" s="144">
        <v>0</v>
      </c>
      <c r="AU14" s="143">
        <f t="shared" si="18"/>
        <v>0</v>
      </c>
      <c r="AV14" s="144">
        <v>0</v>
      </c>
      <c r="AW14" s="143">
        <f t="shared" ref="AW14" si="116">AV14*1.01</f>
        <v>0</v>
      </c>
      <c r="AX14" s="144">
        <v>0</v>
      </c>
      <c r="AY14" s="144">
        <v>0</v>
      </c>
      <c r="AZ14" s="144">
        <v>0</v>
      </c>
      <c r="BA14" s="212">
        <v>0</v>
      </c>
      <c r="BB14" s="143">
        <f t="shared" si="20"/>
        <v>0</v>
      </c>
      <c r="BC14" s="144">
        <v>0</v>
      </c>
      <c r="BD14" s="144">
        <f>SUM(BD15:BD15)</f>
        <v>0</v>
      </c>
      <c r="BE14" s="143">
        <f t="shared" ref="BE14" si="117">BD14*1.01</f>
        <v>0</v>
      </c>
      <c r="BF14" s="144">
        <v>0</v>
      </c>
      <c r="BG14" s="144">
        <v>0</v>
      </c>
      <c r="BH14" s="143">
        <f t="shared" si="22"/>
        <v>0</v>
      </c>
      <c r="BI14" s="144">
        <v>0</v>
      </c>
      <c r="BJ14" s="143">
        <f t="shared" ref="BJ14" si="118">BI14*1.01</f>
        <v>0</v>
      </c>
      <c r="BK14" s="144">
        <v>0</v>
      </c>
      <c r="BL14" s="144">
        <v>0</v>
      </c>
      <c r="BM14" s="144">
        <v>0</v>
      </c>
      <c r="BN14" s="212">
        <v>0</v>
      </c>
    </row>
    <row r="15" spans="1:67" x14ac:dyDescent="0.2">
      <c r="A15" s="138"/>
      <c r="B15" s="258"/>
      <c r="C15" s="258"/>
      <c r="D15" s="258"/>
      <c r="E15" s="138">
        <v>0</v>
      </c>
      <c r="F15" s="138">
        <v>0</v>
      </c>
      <c r="G15" s="138">
        <v>0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213">
        <v>0</v>
      </c>
      <c r="O15" s="145">
        <v>0</v>
      </c>
      <c r="P15" s="145">
        <v>0</v>
      </c>
      <c r="Q15" s="145">
        <v>0</v>
      </c>
      <c r="R15" s="145">
        <f>E15*1.05</f>
        <v>0</v>
      </c>
      <c r="S15" s="145">
        <f t="shared" ref="S15:X15" si="119">F15*1.05</f>
        <v>0</v>
      </c>
      <c r="T15" s="145">
        <f t="shared" si="119"/>
        <v>0</v>
      </c>
      <c r="U15" s="145">
        <f t="shared" si="119"/>
        <v>0</v>
      </c>
      <c r="V15" s="145">
        <f t="shared" si="119"/>
        <v>0</v>
      </c>
      <c r="W15" s="145">
        <f t="shared" si="119"/>
        <v>0</v>
      </c>
      <c r="X15" s="145">
        <f t="shared" si="119"/>
        <v>0</v>
      </c>
      <c r="Y15" s="145">
        <v>0</v>
      </c>
      <c r="Z15" s="145">
        <v>0</v>
      </c>
      <c r="AA15" s="145">
        <v>0</v>
      </c>
      <c r="AB15" s="145">
        <v>0</v>
      </c>
      <c r="AC15" s="145">
        <v>0</v>
      </c>
      <c r="AD15" s="145">
        <v>0</v>
      </c>
      <c r="AE15" s="145">
        <v>0</v>
      </c>
      <c r="AF15" s="145">
        <v>0</v>
      </c>
      <c r="AG15" s="145">
        <v>0</v>
      </c>
      <c r="AH15" s="145">
        <v>0</v>
      </c>
      <c r="AI15" s="145">
        <v>0</v>
      </c>
      <c r="AJ15" s="145">
        <v>0</v>
      </c>
      <c r="AK15" s="145">
        <v>0</v>
      </c>
      <c r="AL15" s="145">
        <v>0</v>
      </c>
      <c r="AM15" s="145">
        <v>0</v>
      </c>
      <c r="AN15" s="145">
        <v>0</v>
      </c>
      <c r="AO15" s="145">
        <v>0</v>
      </c>
      <c r="AP15" s="145">
        <v>0</v>
      </c>
      <c r="AQ15" s="145">
        <v>0</v>
      </c>
      <c r="AR15" s="145">
        <v>0</v>
      </c>
      <c r="AS15" s="145">
        <v>0</v>
      </c>
      <c r="AT15" s="145">
        <v>0</v>
      </c>
      <c r="AU15" s="145">
        <v>0</v>
      </c>
      <c r="AV15" s="145">
        <v>0</v>
      </c>
      <c r="AW15" s="145">
        <v>0</v>
      </c>
      <c r="AX15" s="145">
        <v>0</v>
      </c>
      <c r="AY15" s="145">
        <v>0</v>
      </c>
      <c r="AZ15" s="145">
        <v>0</v>
      </c>
      <c r="BA15" s="145">
        <v>0</v>
      </c>
      <c r="BB15" s="145">
        <v>0</v>
      </c>
      <c r="BC15" s="145">
        <v>0</v>
      </c>
      <c r="BD15" s="145">
        <v>0</v>
      </c>
      <c r="BE15" s="145">
        <v>0</v>
      </c>
      <c r="BF15" s="145">
        <v>0</v>
      </c>
      <c r="BG15" s="145">
        <v>0</v>
      </c>
      <c r="BH15" s="145">
        <v>0</v>
      </c>
      <c r="BI15" s="145">
        <v>0</v>
      </c>
      <c r="BJ15" s="145">
        <v>0</v>
      </c>
      <c r="BK15" s="145">
        <v>0</v>
      </c>
      <c r="BL15" s="145">
        <v>0</v>
      </c>
      <c r="BM15" s="145">
        <v>0</v>
      </c>
      <c r="BN15" s="145">
        <v>0</v>
      </c>
      <c r="BO15" s="139">
        <v>0</v>
      </c>
    </row>
    <row r="17" spans="1:25" x14ac:dyDescent="0.2">
      <c r="B17" s="252" t="s">
        <v>2</v>
      </c>
      <c r="C17" s="253"/>
      <c r="D17" s="254"/>
      <c r="E17" s="252" t="s">
        <v>275</v>
      </c>
      <c r="F17" s="253"/>
      <c r="G17" s="254"/>
      <c r="H17" s="252" t="s">
        <v>276</v>
      </c>
      <c r="I17" s="253"/>
      <c r="J17" s="254"/>
      <c r="K17" s="252" t="s">
        <v>277</v>
      </c>
      <c r="L17" s="253"/>
      <c r="M17" s="254"/>
      <c r="N17" s="252" t="s">
        <v>278</v>
      </c>
      <c r="O17" s="253"/>
      <c r="P17" s="254"/>
      <c r="U17" s="139" t="s">
        <v>2</v>
      </c>
      <c r="V17" s="139" t="s">
        <v>275</v>
      </c>
      <c r="W17" s="139" t="s">
        <v>276</v>
      </c>
      <c r="X17" s="139" t="s">
        <v>277</v>
      </c>
      <c r="Y17" s="139" t="s">
        <v>278</v>
      </c>
    </row>
    <row r="18" spans="1:25" x14ac:dyDescent="0.2">
      <c r="A18" s="251" t="s">
        <v>279</v>
      </c>
      <c r="B18" s="255"/>
      <c r="C18" s="256"/>
      <c r="D18" s="257"/>
      <c r="E18" s="255"/>
      <c r="F18" s="256"/>
      <c r="G18" s="257"/>
      <c r="H18" s="255"/>
      <c r="I18" s="256"/>
      <c r="J18" s="257"/>
      <c r="K18" s="255"/>
      <c r="L18" s="256"/>
      <c r="M18" s="257"/>
      <c r="N18" s="255"/>
      <c r="O18" s="256"/>
      <c r="P18" s="257"/>
    </row>
    <row r="19" spans="1:25" x14ac:dyDescent="0.2">
      <c r="A19" s="251"/>
      <c r="B19" s="191" t="s">
        <v>280</v>
      </c>
      <c r="C19" s="154" t="s">
        <v>221</v>
      </c>
      <c r="D19" s="192" t="s">
        <v>178</v>
      </c>
      <c r="E19" s="191" t="s">
        <v>280</v>
      </c>
      <c r="F19" s="154" t="s">
        <v>221</v>
      </c>
      <c r="G19" s="192" t="s">
        <v>178</v>
      </c>
      <c r="H19" s="191" t="s">
        <v>280</v>
      </c>
      <c r="I19" s="154" t="s">
        <v>221</v>
      </c>
      <c r="J19" s="192" t="s">
        <v>178</v>
      </c>
      <c r="K19" s="191" t="s">
        <v>280</v>
      </c>
      <c r="L19" s="154" t="s">
        <v>221</v>
      </c>
      <c r="M19" s="192" t="s">
        <v>178</v>
      </c>
      <c r="N19" s="191" t="s">
        <v>280</v>
      </c>
      <c r="O19" s="154" t="s">
        <v>221</v>
      </c>
      <c r="P19" s="192" t="s">
        <v>178</v>
      </c>
    </row>
    <row r="20" spans="1:25" x14ac:dyDescent="0.2">
      <c r="A20" s="189" t="s">
        <v>291</v>
      </c>
      <c r="B20" s="193">
        <f t="shared" ref="B20:B25" si="120">N5</f>
        <v>19747.945599999999</v>
      </c>
      <c r="C20" s="184"/>
      <c r="D20" s="195">
        <f>SUM(D21:D22)</f>
        <v>89426420.830354288</v>
      </c>
      <c r="E20" s="193">
        <f>SUM(E21:E22)</f>
        <v>49362.019176960006</v>
      </c>
      <c r="F20" s="194"/>
      <c r="G20" s="195">
        <f>SUM(G21:G22)</f>
        <v>231378466.45969415</v>
      </c>
      <c r="H20" s="193">
        <f>SUM(H21:H22)</f>
        <v>50852.752156104194</v>
      </c>
      <c r="I20" s="194"/>
      <c r="J20" s="195">
        <f>SUM(J21:J22)</f>
        <v>245540915.64079481</v>
      </c>
      <c r="K20" s="193">
        <f>SUM(K21:K22)</f>
        <v>52388.50527121855</v>
      </c>
      <c r="L20" s="194"/>
      <c r="M20" s="195">
        <f>SUM(M21:M22)</f>
        <v>260595530.0821999</v>
      </c>
      <c r="N20" s="193">
        <f>SUM(N21:N22)</f>
        <v>53970.638130409352</v>
      </c>
      <c r="O20" s="194"/>
      <c r="P20" s="195">
        <f>SUM(P21:P22)</f>
        <v>276573173.64642096</v>
      </c>
      <c r="Q20" s="139" t="s">
        <v>298</v>
      </c>
      <c r="U20" s="149">
        <f>D20/B20</f>
        <v>4528.3910864304935</v>
      </c>
      <c r="V20" s="150">
        <f>G20/E20</f>
        <v>4687.3784808156979</v>
      </c>
      <c r="W20" s="150">
        <f>J20/H20</f>
        <v>4828.4685730882493</v>
      </c>
      <c r="X20" s="150">
        <f>M20/K20</f>
        <v>4974.2883239955145</v>
      </c>
      <c r="Y20" s="150">
        <f>P20/N20</f>
        <v>5124.5118313801795</v>
      </c>
    </row>
    <row r="21" spans="1:25" x14ac:dyDescent="0.2">
      <c r="A21" s="190" t="s">
        <v>293</v>
      </c>
      <c r="B21" s="202">
        <f t="shared" si="120"/>
        <v>17128.48</v>
      </c>
      <c r="C21" s="204">
        <f>'Costos x productos'!J9</f>
        <v>4630.7657142857142</v>
      </c>
      <c r="D21" s="197">
        <f>B21*C21</f>
        <v>79317977.921828568</v>
      </c>
      <c r="E21" s="202">
        <f>AA6</f>
        <v>43546.248000000007</v>
      </c>
      <c r="F21" s="196">
        <f>C21*1.0325</f>
        <v>4781.2655999999997</v>
      </c>
      <c r="G21" s="206">
        <f>E21*F21</f>
        <v>208206177.57146883</v>
      </c>
      <c r="H21" s="202">
        <f>AN6</f>
        <v>44861.344689600002</v>
      </c>
      <c r="I21" s="196">
        <f>F21*1.0301</f>
        <v>4925.1816945599994</v>
      </c>
      <c r="J21" s="197">
        <f>H21*I21</f>
        <v>220950273.65856436</v>
      </c>
      <c r="K21" s="202">
        <f>BA6</f>
        <v>46216.157299225932</v>
      </c>
      <c r="L21" s="196">
        <f>I21*1.0302</f>
        <v>5073.9221817357111</v>
      </c>
      <c r="M21" s="197">
        <f>K21*L21</f>
        <v>234497185.67512923</v>
      </c>
      <c r="N21" s="202">
        <f>BN6</f>
        <v>47611.885249662555</v>
      </c>
      <c r="O21" s="196">
        <f>L21*1.0302</f>
        <v>5227.1546316241293</v>
      </c>
      <c r="P21" s="197">
        <f>N21*O21</f>
        <v>248874686.5031302</v>
      </c>
      <c r="U21" s="148"/>
      <c r="V21" s="148"/>
      <c r="W21" s="148"/>
      <c r="X21" s="148"/>
      <c r="Y21" s="148"/>
    </row>
    <row r="22" spans="1:25" x14ac:dyDescent="0.2">
      <c r="A22" s="190" t="s">
        <v>294</v>
      </c>
      <c r="B22" s="202">
        <f t="shared" si="120"/>
        <v>2619.4656</v>
      </c>
      <c r="C22" s="204">
        <f>'Costos x productos'!I9</f>
        <v>3858.971428571429</v>
      </c>
      <c r="D22" s="197">
        <f t="shared" ref="D22:D30" si="121">B22*C22</f>
        <v>10108442.908525715</v>
      </c>
      <c r="E22" s="202">
        <f>AA7</f>
        <v>5815.7711769600019</v>
      </c>
      <c r="F22" s="196">
        <f>C22*1.0325</f>
        <v>3984.3880000000004</v>
      </c>
      <c r="G22" s="206">
        <f>E22*F22</f>
        <v>23172288.88822531</v>
      </c>
      <c r="H22" s="202">
        <f>AN7</f>
        <v>5991.4074665041926</v>
      </c>
      <c r="I22" s="196">
        <f>F22*1.0301</f>
        <v>4104.3180788000009</v>
      </c>
      <c r="J22" s="197">
        <f>H22*I22</f>
        <v>24590641.98223047</v>
      </c>
      <c r="K22" s="202">
        <f>BA7</f>
        <v>6172.3479719926208</v>
      </c>
      <c r="L22" s="196">
        <f>I22*1.0302</f>
        <v>4228.2684847797609</v>
      </c>
      <c r="M22" s="197">
        <f>K22*L22</f>
        <v>26098344.40707067</v>
      </c>
      <c r="N22" s="202">
        <f>BN7</f>
        <v>6358.7528807467988</v>
      </c>
      <c r="O22" s="196">
        <f>L22*1.0302</f>
        <v>4355.9621930201101</v>
      </c>
      <c r="P22" s="197">
        <f>N22*O22</f>
        <v>27698487.143290769</v>
      </c>
      <c r="U22" s="148"/>
      <c r="V22" s="148"/>
      <c r="W22" s="148"/>
      <c r="X22" s="148"/>
      <c r="Y22" s="148"/>
    </row>
    <row r="23" spans="1:25" x14ac:dyDescent="0.2">
      <c r="A23" s="189" t="s">
        <v>292</v>
      </c>
      <c r="B23" s="193">
        <f t="shared" si="120"/>
        <v>2789.8211775</v>
      </c>
      <c r="C23" s="205"/>
      <c r="D23" s="195">
        <f>SUM(D24:D25)</f>
        <v>23491962.068516113</v>
      </c>
      <c r="E23" s="201">
        <f>SUM(E24:E25)</f>
        <v>6138.0463332465015</v>
      </c>
      <c r="F23" s="194"/>
      <c r="G23" s="195">
        <f>SUM(G24:G25)</f>
        <v>53326660.236558631</v>
      </c>
      <c r="H23" s="201">
        <f>SUM(H24:H25)</f>
        <v>6323.4153325105462</v>
      </c>
      <c r="I23" s="194"/>
      <c r="J23" s="195">
        <f>SUM(J24:J25)</f>
        <v>56590732.849511363</v>
      </c>
      <c r="K23" s="201">
        <f>SUM(K24:K25)</f>
        <v>6514.3824755523647</v>
      </c>
      <c r="L23" s="194"/>
      <c r="M23" s="195">
        <f>SUM(M24:M25)</f>
        <v>60060426.125609919</v>
      </c>
      <c r="N23" s="201">
        <f>SUM(N24:N25)</f>
        <v>6711.1168263140453</v>
      </c>
      <c r="O23" s="194"/>
      <c r="P23" s="195">
        <f>SUM(P24:P25)</f>
        <v>63742853.374640353</v>
      </c>
      <c r="Q23" s="139" t="s">
        <v>296</v>
      </c>
      <c r="U23" s="149">
        <f>D23/B23</f>
        <v>8420.5977995935955</v>
      </c>
      <c r="V23" s="150">
        <f>G23/E23</f>
        <v>8687.888188089546</v>
      </c>
      <c r="W23" s="150">
        <f>J23/H23</f>
        <v>8949.3936225510424</v>
      </c>
      <c r="X23" s="150">
        <f>M23/K23</f>
        <v>9219.6653099520845</v>
      </c>
      <c r="Y23" s="150">
        <f>P23/N23</f>
        <v>9498.0992023126382</v>
      </c>
    </row>
    <row r="24" spans="1:25" x14ac:dyDescent="0.2">
      <c r="A24" s="190" t="s">
        <v>293</v>
      </c>
      <c r="B24" s="202">
        <f t="shared" si="120"/>
        <v>2460.61024</v>
      </c>
      <c r="C24" s="204">
        <f>'Costos x productos'!J10</f>
        <v>8589.5314285714285</v>
      </c>
      <c r="D24" s="206">
        <f>B24*C24</f>
        <v>21135488.989944685</v>
      </c>
      <c r="E24" s="202">
        <f>AA9</f>
        <v>5387.2406691840015</v>
      </c>
      <c r="F24" s="196">
        <f>C24*1.0325</f>
        <v>8868.6911999999993</v>
      </c>
      <c r="G24" s="206">
        <f>E24*F24</f>
        <v>47777773.915074259</v>
      </c>
      <c r="H24" s="202">
        <f>AN9</f>
        <v>5549.9353373933591</v>
      </c>
      <c r="I24" s="196">
        <f>F24*1.0301</f>
        <v>9135.6388051199992</v>
      </c>
      <c r="J24" s="197">
        <f>H24*I24</f>
        <v>50702204.634197526</v>
      </c>
      <c r="K24" s="202">
        <f>BA9</f>
        <v>5717.5433845826383</v>
      </c>
      <c r="L24" s="196">
        <f>I24*1.0302</f>
        <v>9411.5350970346226</v>
      </c>
      <c r="M24" s="197">
        <f>K24*L24</f>
        <v>53810860.232817627</v>
      </c>
      <c r="N24" s="202">
        <f>BN9</f>
        <v>5890.2131947970329</v>
      </c>
      <c r="O24" s="196">
        <f>L24*1.0302</f>
        <v>9695.7634569650691</v>
      </c>
      <c r="P24" s="197">
        <f>N24*O24</f>
        <v>57110113.847846545</v>
      </c>
      <c r="U24" s="148"/>
      <c r="V24" s="148"/>
      <c r="W24" s="148"/>
      <c r="X24" s="148"/>
      <c r="Y24" s="148"/>
    </row>
    <row r="25" spans="1:25" x14ac:dyDescent="0.2">
      <c r="A25" s="190" t="s">
        <v>294</v>
      </c>
      <c r="B25" s="202">
        <f t="shared" si="120"/>
        <v>329.2109375</v>
      </c>
      <c r="C25" s="204">
        <f>'Costos x productos'!I10</f>
        <v>7157.942857142858</v>
      </c>
      <c r="D25" s="206">
        <f t="shared" si="121"/>
        <v>2356473.078571429</v>
      </c>
      <c r="E25" s="202">
        <f>AA10</f>
        <v>750.8056640625</v>
      </c>
      <c r="F25" s="196">
        <f>C25*1.0325</f>
        <v>7390.5760000000009</v>
      </c>
      <c r="G25" s="206">
        <f>E25*F25</f>
        <v>5548886.3214843757</v>
      </c>
      <c r="H25" s="202">
        <f>AN10</f>
        <v>773.4799951171874</v>
      </c>
      <c r="I25" s="196">
        <f>F25*1.0301</f>
        <v>7613.0323376000015</v>
      </c>
      <c r="J25" s="197">
        <f>I25*H25</f>
        <v>5888528.2153138388</v>
      </c>
      <c r="K25" s="202">
        <f>BA10</f>
        <v>796.8390909697265</v>
      </c>
      <c r="L25" s="196">
        <f>I25*1.0302</f>
        <v>7842.9459141955213</v>
      </c>
      <c r="M25" s="197">
        <f>K25*L25</f>
        <v>6249565.8927922901</v>
      </c>
      <c r="N25" s="202">
        <f>BN10</f>
        <v>820.90363151701251</v>
      </c>
      <c r="O25" s="196">
        <f>L25*1.0302</f>
        <v>8079.8028808042263</v>
      </c>
      <c r="P25" s="197">
        <f>N25*O25</f>
        <v>6632739.5267938087</v>
      </c>
      <c r="U25" s="148"/>
      <c r="V25" s="148"/>
      <c r="W25" s="148"/>
      <c r="X25" s="148"/>
      <c r="Y25" s="148"/>
    </row>
    <row r="26" spans="1:25" x14ac:dyDescent="0.2">
      <c r="A26" s="189" t="s">
        <v>290</v>
      </c>
      <c r="B26" s="201">
        <f>SUM(B27:B28)</f>
        <v>858.46047999999996</v>
      </c>
      <c r="C26" s="194"/>
      <c r="D26" s="195">
        <f>SUM(D27:D28)</f>
        <v>12634997.294811429</v>
      </c>
      <c r="E26" s="201">
        <f>SUM(E27:E28)</f>
        <v>2193.7706675280001</v>
      </c>
      <c r="F26" s="194"/>
      <c r="G26" s="195">
        <f>SUM(G27:G28)</f>
        <v>33217233.957495801</v>
      </c>
      <c r="H26" s="201">
        <f>SUM(H27:H28)</f>
        <v>2260.0225416873463</v>
      </c>
      <c r="I26" s="194"/>
      <c r="J26" s="195">
        <f>SUM(J27:J28)</f>
        <v>35250428.295144849</v>
      </c>
      <c r="K26" s="201">
        <f>SUM(K27:K28)</f>
        <v>2328.2752224463034</v>
      </c>
      <c r="L26" s="194"/>
      <c r="M26" s="195">
        <f>SUM(M27:M28)</f>
        <v>37411703.964793891</v>
      </c>
      <c r="N26" s="201">
        <f>SUM(N27:N28)</f>
        <v>2398.5891341641827</v>
      </c>
      <c r="O26" s="194"/>
      <c r="P26" s="195">
        <f>SUM(P27:P28)</f>
        <v>39705491.854751512</v>
      </c>
      <c r="Q26" s="139" t="s">
        <v>297</v>
      </c>
      <c r="U26" s="149">
        <f>D26/B26</f>
        <v>14718.204960129824</v>
      </c>
      <c r="V26" s="150">
        <f>G26/E26</f>
        <v>15141.616418331399</v>
      </c>
      <c r="W26" s="150">
        <f>J26/H26</f>
        <v>15597.379072523174</v>
      </c>
      <c r="X26" s="150">
        <f>M26/K26</f>
        <v>16068.419920513375</v>
      </c>
      <c r="Y26" s="150">
        <f>P26/N26</f>
        <v>16553.68620211288</v>
      </c>
    </row>
    <row r="27" spans="1:25" x14ac:dyDescent="0.2">
      <c r="A27" s="190" t="s">
        <v>293</v>
      </c>
      <c r="B27" s="202">
        <f>N12</f>
        <v>123.76416</v>
      </c>
      <c r="C27" s="204">
        <f>'Costos x productos'!J11</f>
        <v>17166.857142857141</v>
      </c>
      <c r="D27" s="206">
        <f t="shared" si="121"/>
        <v>2124641.6541257142</v>
      </c>
      <c r="E27" s="202">
        <f>AA12</f>
        <v>275.483897856</v>
      </c>
      <c r="F27" s="196">
        <f>C27*1.0325</f>
        <v>17724.78</v>
      </c>
      <c r="G27" s="197">
        <f>E27*F27</f>
        <v>4882891.4830400711</v>
      </c>
      <c r="H27" s="202">
        <f>AN12</f>
        <v>283.80351157125125</v>
      </c>
      <c r="I27" s="196">
        <f>F27*1.0301</f>
        <v>18258.295878000001</v>
      </c>
      <c r="J27" s="197">
        <f>H27*I27</f>
        <v>5181768.4854833018</v>
      </c>
      <c r="K27" s="202">
        <f>BA12</f>
        <v>292.374377620703</v>
      </c>
      <c r="L27" s="196">
        <f>I27*1.0302</f>
        <v>18809.696413515601</v>
      </c>
      <c r="M27" s="197">
        <f>K27*L27</f>
        <v>5499473.2821359932</v>
      </c>
      <c r="N27" s="202">
        <f>BN12</f>
        <v>301.20408382484834</v>
      </c>
      <c r="O27" s="196">
        <f>L27*1.0302</f>
        <v>19377.749245203773</v>
      </c>
      <c r="P27" s="197">
        <f>N27*O27</f>
        <v>5836657.2079892494</v>
      </c>
      <c r="U27" s="148"/>
      <c r="V27" s="148"/>
      <c r="W27" s="148"/>
      <c r="X27" s="148"/>
      <c r="Y27" s="148"/>
    </row>
    <row r="28" spans="1:25" x14ac:dyDescent="0.2">
      <c r="A28" s="190" t="s">
        <v>294</v>
      </c>
      <c r="B28" s="202">
        <f>N13</f>
        <v>734.69632000000001</v>
      </c>
      <c r="C28" s="204">
        <f>'Costos x productos'!I11</f>
        <v>14305.714285714286</v>
      </c>
      <c r="D28" s="206">
        <f t="shared" si="121"/>
        <v>10510355.640685715</v>
      </c>
      <c r="E28" s="202">
        <f>AA13</f>
        <v>1918.2867696720002</v>
      </c>
      <c r="F28" s="196">
        <f>C28*1.0325</f>
        <v>14770.65</v>
      </c>
      <c r="G28" s="197">
        <f t="shared" ref="G28:G30" si="122">E28*F28</f>
        <v>28334342.474455729</v>
      </c>
      <c r="H28" s="202">
        <f>AN13</f>
        <v>1976.2190301160952</v>
      </c>
      <c r="I28" s="196">
        <f>F28*1.0301</f>
        <v>15215.246564999999</v>
      </c>
      <c r="J28" s="197">
        <f>H28*I28</f>
        <v>30068659.809661549</v>
      </c>
      <c r="K28" s="202">
        <f>BA13</f>
        <v>2035.9008448256002</v>
      </c>
      <c r="L28" s="196">
        <f>I28*1.0302</f>
        <v>15674.747011263</v>
      </c>
      <c r="M28" s="197">
        <f>K28*L28</f>
        <v>31912230.682657894</v>
      </c>
      <c r="N28" s="202">
        <f>BN13</f>
        <v>2097.3850503393346</v>
      </c>
      <c r="O28" s="196">
        <f>L28*1.0302</f>
        <v>16148.124371003143</v>
      </c>
      <c r="P28" s="197">
        <f>N28*O28</f>
        <v>33868834.646762267</v>
      </c>
      <c r="U28" s="148"/>
      <c r="V28" s="148"/>
      <c r="W28" s="148"/>
      <c r="X28" s="148"/>
      <c r="Y28" s="148"/>
    </row>
    <row r="29" spans="1:25" x14ac:dyDescent="0.2">
      <c r="A29" s="189" t="s">
        <v>295</v>
      </c>
      <c r="B29" s="193">
        <f>SUM(B30:B30)</f>
        <v>0</v>
      </c>
      <c r="C29" s="204"/>
      <c r="D29" s="195">
        <f>SUM(D30:D30)</f>
        <v>0</v>
      </c>
      <c r="E29" s="201">
        <f>SUM(E30:E30)</f>
        <v>0</v>
      </c>
      <c r="F29" s="194"/>
      <c r="G29" s="195">
        <f>SUM(G30:G30)</f>
        <v>0</v>
      </c>
      <c r="H29" s="201">
        <f>SUM(H30:H30)</f>
        <v>0</v>
      </c>
      <c r="I29" s="194"/>
      <c r="J29" s="195">
        <f>SUM(J30:J30)</f>
        <v>0</v>
      </c>
      <c r="K29" s="201">
        <f>SUM(K30:K30)</f>
        <v>0</v>
      </c>
      <c r="L29" s="194"/>
      <c r="M29" s="195">
        <f>SUM(M30:M30)</f>
        <v>0</v>
      </c>
      <c r="N29" s="201">
        <f>SUM(N30:N30)</f>
        <v>0</v>
      </c>
      <c r="O29" s="194"/>
      <c r="P29" s="195">
        <f>SUM(P30:P30)</f>
        <v>0</v>
      </c>
      <c r="Q29" s="139" t="s">
        <v>281</v>
      </c>
      <c r="U29" s="149" t="e">
        <f>D29/B29</f>
        <v>#DIV/0!</v>
      </c>
      <c r="V29" s="150" t="e">
        <f>G29/E29</f>
        <v>#DIV/0!</v>
      </c>
      <c r="W29" s="150" t="e">
        <f>J29/H29</f>
        <v>#DIV/0!</v>
      </c>
      <c r="X29" s="150" t="e">
        <f>M29/K29</f>
        <v>#DIV/0!</v>
      </c>
      <c r="Y29" s="150" t="e">
        <f>P29/N29</f>
        <v>#DIV/0!</v>
      </c>
    </row>
    <row r="30" spans="1:25" x14ac:dyDescent="0.2">
      <c r="A30" s="190"/>
      <c r="B30" s="207">
        <f>N15</f>
        <v>0</v>
      </c>
      <c r="C30" s="204">
        <v>33936</v>
      </c>
      <c r="D30" s="206">
        <f t="shared" si="121"/>
        <v>0</v>
      </c>
      <c r="E30" s="202">
        <f>AA15</f>
        <v>0</v>
      </c>
      <c r="F30" s="196">
        <f>C30*1.0325</f>
        <v>35038.92</v>
      </c>
      <c r="G30" s="197">
        <f t="shared" si="122"/>
        <v>0</v>
      </c>
      <c r="H30" s="202">
        <f>AN15</f>
        <v>0</v>
      </c>
      <c r="I30" s="196">
        <f>F30*1.0301</f>
        <v>36093.591492</v>
      </c>
      <c r="J30" s="197">
        <f>H30*I30</f>
        <v>0</v>
      </c>
      <c r="K30" s="202">
        <f>BA15</f>
        <v>0</v>
      </c>
      <c r="L30" s="196">
        <f>I30*1.0302</f>
        <v>37183.617955058398</v>
      </c>
      <c r="M30" s="197">
        <f>K30*L30</f>
        <v>0</v>
      </c>
      <c r="N30" s="202">
        <f>BN15</f>
        <v>0</v>
      </c>
      <c r="O30" s="196">
        <f>L30*1.0302</f>
        <v>38306.563217301162</v>
      </c>
      <c r="P30" s="197">
        <f>N30*O30</f>
        <v>0</v>
      </c>
    </row>
    <row r="31" spans="1:25" x14ac:dyDescent="0.2">
      <c r="A31" s="139" t="s">
        <v>282</v>
      </c>
      <c r="B31" s="208">
        <f>B20+B23+B26+B29</f>
        <v>23396.227257500002</v>
      </c>
      <c r="C31" s="209"/>
      <c r="D31" s="200">
        <f>D20+D23+D26+D29</f>
        <v>125553380.19368184</v>
      </c>
      <c r="E31" s="210"/>
      <c r="F31" s="209"/>
      <c r="G31" s="200">
        <f>SUM(G20,G23,G26,G29)</f>
        <v>317922360.65374857</v>
      </c>
      <c r="H31" s="210"/>
      <c r="I31" s="209"/>
      <c r="J31" s="200">
        <f>J20+J23+J26+J29</f>
        <v>337382076.78545105</v>
      </c>
      <c r="K31" s="210"/>
      <c r="L31" s="209"/>
      <c r="M31" s="200">
        <f>M20+M23+M26+M29</f>
        <v>358067660.17260373</v>
      </c>
      <c r="N31" s="210"/>
      <c r="O31" s="209"/>
      <c r="P31" s="200">
        <f>SUM(P20+P23+P26+P29)</f>
        <v>380021518.87581283</v>
      </c>
    </row>
    <row r="34" spans="1:39" x14ac:dyDescent="0.2">
      <c r="B34" s="250" t="s">
        <v>2</v>
      </c>
      <c r="C34" s="250"/>
      <c r="D34" s="250"/>
      <c r="E34" s="250" t="s">
        <v>275</v>
      </c>
      <c r="F34" s="250"/>
      <c r="G34" s="250"/>
      <c r="H34" s="250" t="s">
        <v>276</v>
      </c>
      <c r="I34" s="250"/>
      <c r="J34" s="250"/>
      <c r="K34" s="250" t="s">
        <v>277</v>
      </c>
      <c r="L34" s="250"/>
      <c r="M34" s="250"/>
      <c r="N34" s="250" t="s">
        <v>278</v>
      </c>
      <c r="O34" s="250"/>
      <c r="P34" s="250"/>
      <c r="AI34" s="139" t="s">
        <v>2</v>
      </c>
      <c r="AJ34" s="139" t="s">
        <v>275</v>
      </c>
      <c r="AK34" s="139" t="s">
        <v>276</v>
      </c>
      <c r="AL34" s="139" t="s">
        <v>277</v>
      </c>
      <c r="AM34" s="139" t="s">
        <v>278</v>
      </c>
    </row>
    <row r="35" spans="1:39" x14ac:dyDescent="0.2">
      <c r="A35" s="251" t="s">
        <v>283</v>
      </c>
      <c r="B35" s="191" t="s">
        <v>280</v>
      </c>
      <c r="C35" s="154" t="s">
        <v>96</v>
      </c>
      <c r="D35" s="192" t="s">
        <v>154</v>
      </c>
      <c r="E35" s="191" t="s">
        <v>280</v>
      </c>
      <c r="F35" s="154" t="s">
        <v>96</v>
      </c>
      <c r="G35" s="192" t="s">
        <v>154</v>
      </c>
      <c r="H35" s="191" t="s">
        <v>280</v>
      </c>
      <c r="I35" s="154" t="s">
        <v>96</v>
      </c>
      <c r="J35" s="192" t="s">
        <v>154</v>
      </c>
      <c r="K35" s="191" t="s">
        <v>280</v>
      </c>
      <c r="L35" s="154" t="s">
        <v>96</v>
      </c>
      <c r="M35" s="192" t="s">
        <v>154</v>
      </c>
      <c r="N35" s="191" t="s">
        <v>280</v>
      </c>
      <c r="O35" s="154" t="s">
        <v>96</v>
      </c>
      <c r="P35" s="192" t="s">
        <v>154</v>
      </c>
      <c r="U35" s="139" t="s">
        <v>2</v>
      </c>
      <c r="V35" s="139" t="s">
        <v>275</v>
      </c>
      <c r="W35" s="139" t="s">
        <v>276</v>
      </c>
      <c r="X35" s="139" t="s">
        <v>277</v>
      </c>
      <c r="Y35" s="139" t="s">
        <v>278</v>
      </c>
    </row>
    <row r="36" spans="1:39" x14ac:dyDescent="0.2">
      <c r="A36" s="251"/>
      <c r="B36" s="191"/>
      <c r="C36" s="154"/>
      <c r="D36" s="192"/>
      <c r="E36" s="191"/>
      <c r="F36" s="154"/>
      <c r="G36" s="192"/>
      <c r="H36" s="191"/>
      <c r="I36" s="154"/>
      <c r="J36" s="192"/>
      <c r="K36" s="191"/>
      <c r="L36" s="154"/>
      <c r="M36" s="192"/>
      <c r="N36" s="191"/>
      <c r="O36" s="154"/>
      <c r="P36" s="192"/>
    </row>
    <row r="37" spans="1:39" x14ac:dyDescent="0.2">
      <c r="A37" s="189" t="s">
        <v>291</v>
      </c>
      <c r="B37" s="193">
        <f>SUM(B38:B39)</f>
        <v>19747.945599999999</v>
      </c>
      <c r="C37" s="194"/>
      <c r="D37" s="195">
        <f>SUM(D38:D39)</f>
        <v>19051689.460845716</v>
      </c>
      <c r="E37" s="201">
        <f>SUM(E38:E39)</f>
        <v>49362.019176960006</v>
      </c>
      <c r="F37" s="194"/>
      <c r="G37" s="195">
        <f>SUM(G38:G39)</f>
        <v>49526521.631725743</v>
      </c>
      <c r="H37" s="201">
        <f>SUM(H38:H39)</f>
        <v>50852.752156104194</v>
      </c>
      <c r="I37" s="194"/>
      <c r="J37" s="195">
        <f>SUM(J38:J39)</f>
        <v>53063111.488404013</v>
      </c>
      <c r="K37" s="201">
        <f>SUM(K38:K39)</f>
        <v>52388.50527121855</v>
      </c>
      <c r="L37" s="194"/>
      <c r="M37" s="195">
        <f>SUM(M38:M39)</f>
        <v>56852242.153567992</v>
      </c>
      <c r="N37" s="201">
        <f>SUM(N38:N39)</f>
        <v>53970.638130409352</v>
      </c>
      <c r="O37" s="194"/>
      <c r="P37" s="195">
        <f>SUM(P38:P39)</f>
        <v>60337969.098577239</v>
      </c>
      <c r="Q37" s="139" t="s">
        <v>298</v>
      </c>
      <c r="U37" s="149">
        <f>D37/B37</f>
        <v>964.74285714285725</v>
      </c>
      <c r="V37" s="150">
        <f>G37/E37</f>
        <v>1003.3325714285716</v>
      </c>
      <c r="W37" s="150">
        <f>J37/H37</f>
        <v>1043.4658742857143</v>
      </c>
      <c r="X37" s="150">
        <f>M37/K37</f>
        <v>1085.2045092571434</v>
      </c>
      <c r="Y37" s="150">
        <f>P37/N37</f>
        <v>1117.977685436709</v>
      </c>
      <c r="AI37" s="174">
        <v>5160.0725766414653</v>
      </c>
      <c r="AJ37" s="174">
        <f>AI37*6%+AI37</f>
        <v>5469.6769312399529</v>
      </c>
      <c r="AK37" s="174">
        <f t="shared" ref="AK37:AM37" si="123">AJ37*6%+AJ37</f>
        <v>5797.8575471143504</v>
      </c>
      <c r="AL37" s="174">
        <f t="shared" si="123"/>
        <v>6145.7289999412114</v>
      </c>
      <c r="AM37" s="174">
        <f t="shared" si="123"/>
        <v>6514.4727399376843</v>
      </c>
    </row>
    <row r="38" spans="1:39" x14ac:dyDescent="0.2">
      <c r="A38" s="190" t="s">
        <v>293</v>
      </c>
      <c r="B38" s="193">
        <f>B21</f>
        <v>17128.48</v>
      </c>
      <c r="C38" s="196">
        <f>'Costos x productos'!D17</f>
        <v>964.74285714285725</v>
      </c>
      <c r="D38" s="197">
        <f>B38*C38</f>
        <v>16524578.733714286</v>
      </c>
      <c r="E38" s="202">
        <f>E21</f>
        <v>43546.248000000007</v>
      </c>
      <c r="F38" s="196">
        <f>C38*1.04</f>
        <v>1003.3325714285716</v>
      </c>
      <c r="G38" s="197">
        <f>E38*F38</f>
        <v>43691368.981906295</v>
      </c>
      <c r="H38" s="202">
        <f>H21</f>
        <v>44861.344689600002</v>
      </c>
      <c r="I38" s="196">
        <f>F38*1.04</f>
        <v>1043.4658742857146</v>
      </c>
      <c r="J38" s="197">
        <f>H38*I38</f>
        <v>46811282.258166261</v>
      </c>
      <c r="K38" s="202">
        <f>K21</f>
        <v>46216.157299225932</v>
      </c>
      <c r="L38" s="196">
        <f>I38*1.04</f>
        <v>1085.2045092571432</v>
      </c>
      <c r="M38" s="197">
        <f>K38*L38</f>
        <v>50153982.301657416</v>
      </c>
      <c r="N38" s="202">
        <f>N21</f>
        <v>47611.885249662555</v>
      </c>
      <c r="O38" s="196">
        <f>L38*1.0302</f>
        <v>1117.977685436709</v>
      </c>
      <c r="P38" s="197">
        <f>N38*O38</f>
        <v>53229025.270695925</v>
      </c>
      <c r="U38" s="148"/>
      <c r="V38" s="148"/>
      <c r="W38" s="148"/>
      <c r="X38" s="148"/>
      <c r="Y38" s="148"/>
      <c r="AJ38" s="174">
        <f t="shared" ref="AJ38:AM46" si="124">AI38*6%+AI38</f>
        <v>0</v>
      </c>
    </row>
    <row r="39" spans="1:39" x14ac:dyDescent="0.2">
      <c r="A39" s="190" t="s">
        <v>294</v>
      </c>
      <c r="B39" s="193">
        <f>B22</f>
        <v>2619.4656</v>
      </c>
      <c r="C39" s="196">
        <f>'Costos x productos'!D17</f>
        <v>964.74285714285725</v>
      </c>
      <c r="D39" s="197">
        <f>B39*C39</f>
        <v>2527110.7271314287</v>
      </c>
      <c r="E39" s="202">
        <f>E22</f>
        <v>5815.7711769600019</v>
      </c>
      <c r="F39" s="196">
        <f>C39*1.04</f>
        <v>1003.3325714285716</v>
      </c>
      <c r="G39" s="197">
        <f>E39*F39</f>
        <v>5835152.6498194486</v>
      </c>
      <c r="H39" s="202">
        <f>H22</f>
        <v>5991.4074665041926</v>
      </c>
      <c r="I39" s="196">
        <f>F39*1.04</f>
        <v>1043.4658742857146</v>
      </c>
      <c r="J39" s="197">
        <f>H39*I39</f>
        <v>6251829.230237755</v>
      </c>
      <c r="K39" s="202">
        <f>K22</f>
        <v>6172.3479719926208</v>
      </c>
      <c r="L39" s="196">
        <f>I39*1.04</f>
        <v>1085.2045092571432</v>
      </c>
      <c r="M39" s="197">
        <f>K39*L39</f>
        <v>6698259.8519105753</v>
      </c>
      <c r="N39" s="202">
        <f>N22</f>
        <v>6358.7528807467988</v>
      </c>
      <c r="O39" s="196">
        <f>L39*1.0302</f>
        <v>1117.977685436709</v>
      </c>
      <c r="P39" s="197">
        <f>N39*O39</f>
        <v>7108943.827881312</v>
      </c>
      <c r="U39" s="148"/>
      <c r="V39" s="148"/>
      <c r="W39" s="148"/>
      <c r="X39" s="148"/>
      <c r="Y39" s="148"/>
      <c r="AJ39" s="174">
        <f t="shared" si="124"/>
        <v>0</v>
      </c>
    </row>
    <row r="40" spans="1:39" x14ac:dyDescent="0.2">
      <c r="A40" s="189" t="s">
        <v>292</v>
      </c>
      <c r="B40" s="193">
        <f>SUM(B41:B42)</f>
        <v>2789.8211775</v>
      </c>
      <c r="C40" s="196"/>
      <c r="D40" s="195">
        <f>SUM(D41:D42)</f>
        <v>4992345.1425480004</v>
      </c>
      <c r="E40" s="201">
        <f>SUM(E41:E42)</f>
        <v>6138.0463332465015</v>
      </c>
      <c r="F40" s="194"/>
      <c r="G40" s="195">
        <f>SUM(G41:G42)</f>
        <v>11423304.076047165</v>
      </c>
      <c r="H40" s="201">
        <f>SUM(H41:H42)</f>
        <v>6323.4153325105462</v>
      </c>
      <c r="I40" s="194"/>
      <c r="J40" s="195">
        <f>SUM(J41:J42)</f>
        <v>12239019.373509541</v>
      </c>
      <c r="K40" s="201">
        <f>SUM(K41:K42)</f>
        <v>6514.3824755523647</v>
      </c>
      <c r="L40" s="194"/>
      <c r="M40" s="195">
        <f>SUM(M41:M42)</f>
        <v>13112983.268933112</v>
      </c>
      <c r="N40" s="201">
        <f>SUM(N41:N42)</f>
        <v>6711.1168263140453</v>
      </c>
      <c r="O40" s="194"/>
      <c r="P40" s="195">
        <f>SUM(P41:P42)</f>
        <v>13916967.023637267</v>
      </c>
      <c r="Q40" s="139" t="s">
        <v>296</v>
      </c>
      <c r="U40" s="150">
        <f>D40/B40</f>
        <v>1789.4857142857145</v>
      </c>
      <c r="V40" s="150">
        <f>G40/E40</f>
        <v>1861.0651428571434</v>
      </c>
      <c r="W40" s="150">
        <f>J40/H40</f>
        <v>1935.5077485714289</v>
      </c>
      <c r="X40" s="150">
        <f>M40/K40</f>
        <v>2012.9280585142862</v>
      </c>
      <c r="Y40" s="150">
        <f>P40/N40</f>
        <v>2073.7184858814176</v>
      </c>
      <c r="AI40" s="174">
        <v>9549.9359556204236</v>
      </c>
      <c r="AJ40" s="174">
        <f t="shared" si="124"/>
        <v>10122.932112957649</v>
      </c>
      <c r="AK40" s="174">
        <f t="shared" si="124"/>
        <v>10730.308039735108</v>
      </c>
      <c r="AL40" s="174">
        <f t="shared" si="124"/>
        <v>11374.126522119213</v>
      </c>
      <c r="AM40" s="174">
        <f t="shared" si="124"/>
        <v>12056.574113446366</v>
      </c>
    </row>
    <row r="41" spans="1:39" x14ac:dyDescent="0.2">
      <c r="A41" s="190" t="s">
        <v>293</v>
      </c>
      <c r="B41" s="193">
        <f>B24</f>
        <v>2460.61024</v>
      </c>
      <c r="C41" s="196">
        <f>'Costos x productos'!D37</f>
        <v>1789.4857142857145</v>
      </c>
      <c r="D41" s="197">
        <f>B41*C41</f>
        <v>4403226.8729051435</v>
      </c>
      <c r="E41" s="202">
        <f>E24</f>
        <v>5387.2406691840015</v>
      </c>
      <c r="F41" s="196">
        <f>C41*1.04</f>
        <v>1861.0651428571432</v>
      </c>
      <c r="G41" s="197">
        <f>E41*F41</f>
        <v>10026005.825600736</v>
      </c>
      <c r="H41" s="202">
        <f>H24</f>
        <v>5549.9353373933591</v>
      </c>
      <c r="I41" s="196">
        <f>F41*1.04</f>
        <v>1935.5077485714289</v>
      </c>
      <c r="J41" s="197">
        <f>I41*H41</f>
        <v>10741942.849595234</v>
      </c>
      <c r="K41" s="202">
        <f>K24</f>
        <v>5717.5433845826383</v>
      </c>
      <c r="L41" s="196">
        <f>I41*1.04</f>
        <v>2012.9280585142862</v>
      </c>
      <c r="M41" s="197">
        <f>K41*L41</f>
        <v>11509003.504599132</v>
      </c>
      <c r="N41" s="202">
        <f>N24</f>
        <v>5890.2131947970329</v>
      </c>
      <c r="O41" s="196">
        <f>L41*1.0302</f>
        <v>2073.7184858814176</v>
      </c>
      <c r="P41" s="197">
        <f>O41*N41</f>
        <v>12214643.98783325</v>
      </c>
      <c r="U41" s="148"/>
      <c r="V41" s="148"/>
      <c r="W41" s="148"/>
      <c r="X41" s="148"/>
      <c r="Y41" s="148"/>
      <c r="AJ41" s="174">
        <f t="shared" si="124"/>
        <v>0</v>
      </c>
    </row>
    <row r="42" spans="1:39" x14ac:dyDescent="0.2">
      <c r="A42" s="190" t="s">
        <v>294</v>
      </c>
      <c r="B42" s="193">
        <f>B25</f>
        <v>329.2109375</v>
      </c>
      <c r="C42" s="196">
        <f>C41</f>
        <v>1789.4857142857145</v>
      </c>
      <c r="D42" s="197">
        <f>B42*C42</f>
        <v>589118.26964285725</v>
      </c>
      <c r="E42" s="202">
        <f>E25</f>
        <v>750.8056640625</v>
      </c>
      <c r="F42" s="196">
        <f>C42*1.04</f>
        <v>1861.0651428571432</v>
      </c>
      <c r="G42" s="197">
        <f>E42*F42</f>
        <v>1397298.2504464288</v>
      </c>
      <c r="H42" s="202">
        <f>H25</f>
        <v>773.4799951171874</v>
      </c>
      <c r="I42" s="196">
        <f>F42*1.04</f>
        <v>1935.5077485714289</v>
      </c>
      <c r="J42" s="197">
        <f>I42*H42</f>
        <v>1497076.5239143071</v>
      </c>
      <c r="K42" s="202">
        <f>K25</f>
        <v>796.8390909697265</v>
      </c>
      <c r="L42" s="196">
        <f>I42*1.04</f>
        <v>2012.9280585142862</v>
      </c>
      <c r="M42" s="197">
        <f>K42*L42</f>
        <v>1603979.7643339804</v>
      </c>
      <c r="N42" s="202">
        <f>N25</f>
        <v>820.90363151701251</v>
      </c>
      <c r="O42" s="196">
        <f>L42*1.0302</f>
        <v>2073.7184858814176</v>
      </c>
      <c r="P42" s="197">
        <f>O42*N42</f>
        <v>1702323.0358040163</v>
      </c>
      <c r="U42" s="148"/>
      <c r="V42" s="148"/>
      <c r="W42" s="148"/>
      <c r="X42" s="148"/>
      <c r="Y42" s="148"/>
      <c r="AJ42" s="174">
        <f t="shared" si="124"/>
        <v>0</v>
      </c>
    </row>
    <row r="43" spans="1:39" x14ac:dyDescent="0.2">
      <c r="A43" s="189" t="s">
        <v>290</v>
      </c>
      <c r="B43" s="193">
        <f>SUM(B44:B45)</f>
        <v>858.46047999999996</v>
      </c>
      <c r="C43" s="196"/>
      <c r="D43" s="195">
        <f>SUM(D44:D45)</f>
        <v>3070222.5881142858</v>
      </c>
      <c r="E43" s="201">
        <f>SUM(E44:E45)</f>
        <v>2193.7706675280001</v>
      </c>
      <c r="F43" s="194"/>
      <c r="G43" s="203"/>
      <c r="H43" s="201">
        <f>SUM(H44:H45)</f>
        <v>2260.0225416873463</v>
      </c>
      <c r="I43" s="194"/>
      <c r="J43" s="203"/>
      <c r="K43" s="201">
        <f>SUM(K44:K45)</f>
        <v>2328.2752224463034</v>
      </c>
      <c r="L43" s="194"/>
      <c r="M43" s="203"/>
      <c r="N43" s="201">
        <f>SUM(N44:N45)</f>
        <v>2398.5891341641827</v>
      </c>
      <c r="O43" s="194"/>
      <c r="P43" s="203"/>
      <c r="Q43" s="139" t="s">
        <v>297</v>
      </c>
      <c r="U43" s="150">
        <f>D43/B43</f>
        <v>3576.4285714285716</v>
      </c>
      <c r="V43" s="150">
        <f>G43/E43</f>
        <v>0</v>
      </c>
      <c r="W43" s="150">
        <f>J43/H43</f>
        <v>0</v>
      </c>
      <c r="X43" s="150">
        <f>M43/K43</f>
        <v>0</v>
      </c>
      <c r="Y43" s="150">
        <f>P43/N43</f>
        <v>0</v>
      </c>
      <c r="AI43" s="174">
        <v>16612.675825885693</v>
      </c>
      <c r="AJ43" s="174">
        <f t="shared" si="124"/>
        <v>17609.436375438836</v>
      </c>
      <c r="AK43" s="174">
        <f t="shared" si="124"/>
        <v>18666.002557965166</v>
      </c>
      <c r="AL43" s="174">
        <f t="shared" si="124"/>
        <v>19785.962711443077</v>
      </c>
      <c r="AM43" s="174">
        <f t="shared" si="124"/>
        <v>20973.120474129661</v>
      </c>
    </row>
    <row r="44" spans="1:39" x14ac:dyDescent="0.2">
      <c r="A44" s="190" t="s">
        <v>293</v>
      </c>
      <c r="B44" s="193">
        <f>B27</f>
        <v>123.76416</v>
      </c>
      <c r="C44" s="196">
        <f>'Costos x productos'!D57</f>
        <v>3576.4285714285716</v>
      </c>
      <c r="D44" s="197">
        <f>B44*C44</f>
        <v>442633.67794285715</v>
      </c>
      <c r="E44" s="202">
        <f>E27</f>
        <v>275.483897856</v>
      </c>
      <c r="F44" s="196">
        <f>C44*1.04</f>
        <v>3719.4857142857145</v>
      </c>
      <c r="G44" s="197">
        <f>E44*F44</f>
        <v>1024658.422591137</v>
      </c>
      <c r="H44" s="202">
        <f>H27</f>
        <v>283.80351157125125</v>
      </c>
      <c r="I44" s="196">
        <f>F44*1.04</f>
        <v>3868.265142857143</v>
      </c>
      <c r="J44" s="197">
        <f>I44*H44</f>
        <v>1097827.2312315251</v>
      </c>
      <c r="K44" s="202">
        <f>K27</f>
        <v>292.374377620703</v>
      </c>
      <c r="L44" s="196">
        <f>I44*1.04</f>
        <v>4022.995748571429</v>
      </c>
      <c r="M44" s="197">
        <f>K44*L44</f>
        <v>1176220.8781593058</v>
      </c>
      <c r="N44" s="202">
        <f>N27</f>
        <v>301.20408382484834</v>
      </c>
      <c r="O44" s="196">
        <f>L44*1.04</f>
        <v>4183.9155785142866</v>
      </c>
      <c r="P44" s="197">
        <f>N44*O44</f>
        <v>1260212.4586269059</v>
      </c>
      <c r="U44" s="148"/>
      <c r="V44" s="148"/>
      <c r="W44" s="148"/>
      <c r="X44" s="148"/>
      <c r="Y44" s="148"/>
      <c r="AJ44" s="174">
        <f t="shared" si="124"/>
        <v>0</v>
      </c>
    </row>
    <row r="45" spans="1:39" x14ac:dyDescent="0.2">
      <c r="A45" s="190" t="s">
        <v>294</v>
      </c>
      <c r="B45" s="193">
        <f>B28</f>
        <v>734.69632000000001</v>
      </c>
      <c r="C45" s="196">
        <f>'Costos x productos'!D57</f>
        <v>3576.4285714285716</v>
      </c>
      <c r="D45" s="197">
        <f>B45*C45</f>
        <v>2627588.9101714287</v>
      </c>
      <c r="E45" s="202">
        <f>E28</f>
        <v>1918.2867696720002</v>
      </c>
      <c r="F45" s="196">
        <f>C45*1.04</f>
        <v>3719.4857142857145</v>
      </c>
      <c r="G45" s="197">
        <f>E45*F45</f>
        <v>7135040.2356982958</v>
      </c>
      <c r="H45" s="202">
        <f>H28</f>
        <v>1976.2190301160952</v>
      </c>
      <c r="I45" s="196">
        <f>F45*1.04</f>
        <v>3868.265142857143</v>
      </c>
      <c r="J45" s="197">
        <f>I45*H45</f>
        <v>7644539.1888490412</v>
      </c>
      <c r="K45" s="202">
        <f>K28</f>
        <v>2035.9008448256002</v>
      </c>
      <c r="L45" s="196">
        <f>I45*1.04</f>
        <v>4022.995748571429</v>
      </c>
      <c r="M45" s="197">
        <f>K45*L45</f>
        <v>8190420.4432463702</v>
      </c>
      <c r="N45" s="202">
        <f>N28</f>
        <v>2097.3850503393346</v>
      </c>
      <c r="O45" s="196">
        <f>L45*1.04</f>
        <v>4183.9155785142866</v>
      </c>
      <c r="P45" s="197">
        <f>N45*O45</f>
        <v>8775281.9862577133</v>
      </c>
      <c r="U45" s="148"/>
      <c r="V45" s="148"/>
      <c r="W45" s="148"/>
      <c r="X45" s="148"/>
      <c r="Y45" s="148"/>
      <c r="AJ45" s="174">
        <f t="shared" si="124"/>
        <v>0</v>
      </c>
    </row>
    <row r="46" spans="1:39" x14ac:dyDescent="0.2">
      <c r="A46" s="189" t="s">
        <v>295</v>
      </c>
      <c r="B46" s="193">
        <f>SUM(B47:B47)</f>
        <v>0</v>
      </c>
      <c r="C46" s="196"/>
      <c r="D46" s="195">
        <f>SUM(D47:D47)</f>
        <v>0</v>
      </c>
      <c r="E46" s="201">
        <f>SUM(E47:E47)</f>
        <v>0</v>
      </c>
      <c r="F46" s="194"/>
      <c r="G46" s="195">
        <f>SUM(G47:G47)</f>
        <v>0</v>
      </c>
      <c r="H46" s="201">
        <f>SUM(H47:H47)</f>
        <v>0</v>
      </c>
      <c r="I46" s="194"/>
      <c r="J46" s="195">
        <f>SUM(J47:J47)</f>
        <v>0</v>
      </c>
      <c r="K46" s="201">
        <f>SUM(K47:K47)</f>
        <v>0</v>
      </c>
      <c r="L46" s="194"/>
      <c r="M46" s="195">
        <f>SUM(M47:M47)</f>
        <v>0</v>
      </c>
      <c r="N46" s="201">
        <f>SUM(N47:N47)</f>
        <v>0</v>
      </c>
      <c r="O46" s="194"/>
      <c r="P46" s="195">
        <f>SUM(P47:P47)</f>
        <v>0</v>
      </c>
      <c r="Q46" s="139" t="s">
        <v>284</v>
      </c>
      <c r="U46" s="150" t="e">
        <f>D46/B46</f>
        <v>#DIV/0!</v>
      </c>
      <c r="V46" s="150" t="e">
        <f>G46/E46</f>
        <v>#DIV/0!</v>
      </c>
      <c r="W46" s="150" t="e">
        <f>J46/H46</f>
        <v>#DIV/0!</v>
      </c>
      <c r="X46" s="150" t="e">
        <f>M46/K46</f>
        <v>#DIV/0!</v>
      </c>
      <c r="Y46" s="150" t="e">
        <f>P46/N46</f>
        <v>#DIV/0!</v>
      </c>
      <c r="AI46" s="139" t="e">
        <v>#DIV/0!</v>
      </c>
      <c r="AJ46" s="174" t="e">
        <f t="shared" si="124"/>
        <v>#DIV/0!</v>
      </c>
      <c r="AK46" s="139" t="e">
        <v>#DIV/0!</v>
      </c>
      <c r="AL46" s="139" t="e">
        <v>#DIV/0!</v>
      </c>
      <c r="AM46" s="139" t="e">
        <v>#DIV/0!</v>
      </c>
    </row>
    <row r="47" spans="1:39" x14ac:dyDescent="0.2">
      <c r="A47" s="190"/>
      <c r="B47" s="193">
        <f>B30</f>
        <v>0</v>
      </c>
      <c r="C47" s="196">
        <f>'[1]COSTOS Y DETER. PRECIO'!E179+'[1]COSTOS Y DETER. PRECIO'!E186</f>
        <v>12705</v>
      </c>
      <c r="D47" s="197">
        <f>B47*C47</f>
        <v>0</v>
      </c>
      <c r="E47" s="202">
        <f>E30</f>
        <v>0</v>
      </c>
      <c r="F47" s="196">
        <f>C47*1.0325</f>
        <v>13117.9125</v>
      </c>
      <c r="G47" s="197">
        <f>E47*F47</f>
        <v>0</v>
      </c>
      <c r="H47" s="202">
        <f>H30</f>
        <v>0</v>
      </c>
      <c r="I47" s="196">
        <f>F47*1.0301</f>
        <v>13512.76166625</v>
      </c>
      <c r="J47" s="197">
        <f>H47*I47</f>
        <v>0</v>
      </c>
      <c r="K47" s="202">
        <f>K30</f>
        <v>0</v>
      </c>
      <c r="L47" s="196">
        <f>I47*1.0302</f>
        <v>13920.847068570751</v>
      </c>
      <c r="M47" s="197">
        <f>K47*L47</f>
        <v>0</v>
      </c>
      <c r="N47" s="202">
        <f>N30</f>
        <v>0</v>
      </c>
      <c r="O47" s="196">
        <f>L47*1.0302</f>
        <v>14341.256650041587</v>
      </c>
      <c r="P47" s="197">
        <f>N47*O47</f>
        <v>0</v>
      </c>
      <c r="U47" s="148"/>
      <c r="V47" s="148"/>
      <c r="W47" s="148"/>
      <c r="X47" s="148"/>
      <c r="Y47" s="148"/>
    </row>
    <row r="48" spans="1:39" x14ac:dyDescent="0.2">
      <c r="A48" s="139" t="s">
        <v>311</v>
      </c>
      <c r="B48" s="198"/>
      <c r="C48" s="199"/>
      <c r="D48" s="200">
        <f>D37+D40+D43+D46</f>
        <v>27114257.191508003</v>
      </c>
      <c r="E48" s="198"/>
      <c r="F48" s="199"/>
      <c r="G48" s="200">
        <f>G37+G40+G46</f>
        <v>60949825.707772911</v>
      </c>
      <c r="H48" s="198"/>
      <c r="I48" s="199"/>
      <c r="J48" s="200">
        <f>J37+J40+J46</f>
        <v>65302130.861913554</v>
      </c>
      <c r="K48" s="198"/>
      <c r="L48" s="199"/>
      <c r="M48" s="200">
        <f>M37+M40+M46</f>
        <v>69965225.422501102</v>
      </c>
      <c r="N48" s="198"/>
      <c r="O48" s="199"/>
      <c r="P48" s="200">
        <f>P37+P40+P46</f>
        <v>74254936.122214511</v>
      </c>
      <c r="U48" s="148"/>
      <c r="V48" s="148"/>
      <c r="W48" s="148"/>
      <c r="X48" s="148"/>
      <c r="Y48" s="148"/>
    </row>
    <row r="51" spans="1:25" x14ac:dyDescent="0.2">
      <c r="A51" s="247" t="s">
        <v>285</v>
      </c>
      <c r="B51" s="248" t="s">
        <v>2</v>
      </c>
      <c r="C51" s="249"/>
      <c r="D51" s="249"/>
      <c r="E51" s="249" t="s">
        <v>275</v>
      </c>
      <c r="F51" s="249"/>
      <c r="G51" s="249"/>
      <c r="H51" s="249" t="s">
        <v>276</v>
      </c>
      <c r="I51" s="249"/>
      <c r="J51" s="249"/>
      <c r="K51" s="249" t="s">
        <v>277</v>
      </c>
      <c r="L51" s="249"/>
      <c r="M51" s="249"/>
      <c r="N51" s="249" t="s">
        <v>278</v>
      </c>
      <c r="O51" s="249"/>
      <c r="P51" s="249"/>
      <c r="Q51" s="148"/>
      <c r="R51" s="148"/>
      <c r="S51" s="148"/>
      <c r="T51" s="148"/>
      <c r="U51" s="148"/>
      <c r="V51" s="148"/>
      <c r="W51" s="148"/>
      <c r="X51" s="148"/>
      <c r="Y51" s="148"/>
    </row>
    <row r="52" spans="1:25" x14ac:dyDescent="0.2">
      <c r="A52" s="247"/>
      <c r="B52" s="139" t="s">
        <v>280</v>
      </c>
      <c r="C52" s="139" t="s">
        <v>96</v>
      </c>
      <c r="D52" s="139" t="s">
        <v>286</v>
      </c>
      <c r="E52" s="139" t="s">
        <v>280</v>
      </c>
      <c r="F52" s="139" t="s">
        <v>96</v>
      </c>
      <c r="G52" s="139" t="s">
        <v>286</v>
      </c>
      <c r="H52" s="139" t="s">
        <v>280</v>
      </c>
      <c r="I52" s="139" t="s">
        <v>96</v>
      </c>
      <c r="J52" s="139" t="s">
        <v>286</v>
      </c>
      <c r="K52" s="139" t="s">
        <v>280</v>
      </c>
      <c r="L52" s="139" t="s">
        <v>96</v>
      </c>
      <c r="M52" s="139" t="s">
        <v>286</v>
      </c>
      <c r="N52" s="139" t="s">
        <v>280</v>
      </c>
      <c r="O52" s="139" t="s">
        <v>96</v>
      </c>
      <c r="P52" s="139" t="s">
        <v>286</v>
      </c>
      <c r="Q52" s="148"/>
      <c r="R52" s="148"/>
      <c r="S52" s="148"/>
      <c r="T52" s="148"/>
      <c r="U52" s="148" t="s">
        <v>2</v>
      </c>
      <c r="V52" s="148" t="s">
        <v>275</v>
      </c>
      <c r="W52" s="148" t="s">
        <v>276</v>
      </c>
      <c r="X52" s="148" t="s">
        <v>277</v>
      </c>
      <c r="Y52" s="148" t="s">
        <v>278</v>
      </c>
    </row>
    <row r="53" spans="1:25" x14ac:dyDescent="0.2">
      <c r="A53" s="140" t="s">
        <v>291</v>
      </c>
      <c r="B53" s="147">
        <f>SUM(B54:B55)</f>
        <v>19747.945599999999</v>
      </c>
      <c r="C53" s="148"/>
      <c r="D53" s="147">
        <f>SUM(D54:D55)</f>
        <v>1575360901.632</v>
      </c>
      <c r="E53" s="152">
        <f>SUM(E54:E55)</f>
        <v>49362.019176960006</v>
      </c>
      <c r="F53" s="148"/>
      <c r="G53" s="147">
        <f>SUM(G54:G55)</f>
        <v>4098035011.9482231</v>
      </c>
      <c r="H53" s="152">
        <f>SUM(H54:H55)</f>
        <v>50852.752156104194</v>
      </c>
      <c r="I53" s="148"/>
      <c r="J53" s="147">
        <f>SUM(J54:J55)</f>
        <v>4348871718.9552612</v>
      </c>
      <c r="K53" s="152">
        <f>SUM(K54:K55)</f>
        <v>52388.50527121855</v>
      </c>
      <c r="L53" s="148"/>
      <c r="M53" s="147">
        <f>SUM(M54:M55)</f>
        <v>4615509915.7427158</v>
      </c>
      <c r="N53" s="152">
        <f>SUM(N54:N55)</f>
        <v>53970.638130409352</v>
      </c>
      <c r="O53" s="148"/>
      <c r="P53" s="147">
        <f>SUM(P54:P55)</f>
        <v>4898496244.3171301</v>
      </c>
      <c r="Q53" s="148" t="s">
        <v>287</v>
      </c>
      <c r="R53" s="148"/>
      <c r="S53" s="148"/>
      <c r="T53" s="148"/>
      <c r="U53" s="150">
        <f>D53/B53</f>
        <v>79773.406993383658</v>
      </c>
      <c r="V53" s="150">
        <f>G53/E53</f>
        <v>83020.00364403658</v>
      </c>
      <c r="W53" s="150">
        <f>J53/H53</f>
        <v>85518.905753722065</v>
      </c>
      <c r="X53" s="150">
        <f>M53/K53</f>
        <v>88101.576707484477</v>
      </c>
      <c r="Y53" s="150">
        <f>P53/N53</f>
        <v>90762.244324050509</v>
      </c>
    </row>
    <row r="54" spans="1:25" x14ac:dyDescent="0.2">
      <c r="A54" s="138" t="s">
        <v>293</v>
      </c>
      <c r="B54" s="147">
        <f>B38</f>
        <v>17128.48</v>
      </c>
      <c r="C54" s="149">
        <f>'[1]COSTOS Y DETER. PRECIO'!E25</f>
        <v>85440</v>
      </c>
      <c r="D54" s="150">
        <f>B54*C54</f>
        <v>1463457331.2</v>
      </c>
      <c r="E54" s="151">
        <f>E38</f>
        <v>43546.248000000007</v>
      </c>
      <c r="F54" s="150">
        <f>C54*1.0325</f>
        <v>88216.8</v>
      </c>
      <c r="G54" s="150">
        <f>F54*E54</f>
        <v>3841510650.5664005</v>
      </c>
      <c r="H54" s="151">
        <f>H38</f>
        <v>44861.344689600002</v>
      </c>
      <c r="I54" s="150">
        <f>F54*1.0301</f>
        <v>90872.125679999997</v>
      </c>
      <c r="J54" s="150">
        <f>H54*I54</f>
        <v>4076645752.8071318</v>
      </c>
      <c r="K54" s="151">
        <f>K38</f>
        <v>46216.157299225932</v>
      </c>
      <c r="L54" s="150">
        <f>I54*1.0302</f>
        <v>93616.463875535992</v>
      </c>
      <c r="M54" s="150">
        <f>K54*L54</f>
        <v>4326593220.2690735</v>
      </c>
      <c r="N54" s="151">
        <f>N38</f>
        <v>47611.885249662555</v>
      </c>
      <c r="O54" s="150">
        <f>L54*1.0302</f>
        <v>96443.681084577183</v>
      </c>
      <c r="P54" s="150">
        <f>N54*O54</f>
        <v>4591865476.85394</v>
      </c>
      <c r="Q54" s="148"/>
      <c r="R54" s="148"/>
      <c r="S54" s="148"/>
      <c r="T54" s="148"/>
      <c r="U54" s="148"/>
      <c r="V54" s="148"/>
      <c r="W54" s="148"/>
      <c r="X54" s="148"/>
      <c r="Y54" s="148"/>
    </row>
    <row r="55" spans="1:25" x14ac:dyDescent="0.2">
      <c r="A55" s="138" t="s">
        <v>294</v>
      </c>
      <c r="B55" s="147">
        <f>B39</f>
        <v>2619.4656</v>
      </c>
      <c r="C55" s="149">
        <f>'[1]COSTOS Y DETER. PRECIO'!E88</f>
        <v>42720</v>
      </c>
      <c r="D55" s="150">
        <f>B55*C55</f>
        <v>111903570.432</v>
      </c>
      <c r="E55" s="151">
        <f>E39</f>
        <v>5815.7711769600019</v>
      </c>
      <c r="F55" s="150">
        <f>C55*1.0325</f>
        <v>44108.4</v>
      </c>
      <c r="G55" s="150">
        <f>F55*E55</f>
        <v>256524361.38182256</v>
      </c>
      <c r="H55" s="151">
        <f>H39</f>
        <v>5991.4074665041926</v>
      </c>
      <c r="I55" s="150">
        <f>F55*1.0301</f>
        <v>45436.062839999999</v>
      </c>
      <c r="J55" s="150">
        <f>H55*I55</f>
        <v>272225966.1481297</v>
      </c>
      <c r="K55" s="151">
        <f>K39</f>
        <v>6172.3479719926208</v>
      </c>
      <c r="L55" s="150">
        <f>I55*1.0302</f>
        <v>46808.231937767996</v>
      </c>
      <c r="M55" s="150">
        <f>K55*L55</f>
        <v>288916695.47364253</v>
      </c>
      <c r="N55" s="151">
        <f>N39</f>
        <v>6358.7528807467988</v>
      </c>
      <c r="O55" s="150">
        <f>L55*1.0302</f>
        <v>48221.840542288592</v>
      </c>
      <c r="P55" s="150">
        <f>N55*O55</f>
        <v>306630767.46319038</v>
      </c>
      <c r="Q55" s="148"/>
      <c r="R55" s="148"/>
      <c r="S55" s="148"/>
      <c r="T55" s="148"/>
      <c r="U55" s="148"/>
      <c r="V55" s="148"/>
      <c r="W55" s="148"/>
      <c r="X55" s="148"/>
      <c r="Y55" s="148"/>
    </row>
    <row r="56" spans="1:25" x14ac:dyDescent="0.2">
      <c r="A56" s="140" t="s">
        <v>292</v>
      </c>
      <c r="B56" s="147">
        <f>SUM(B57:B58)</f>
        <v>2789.8211775</v>
      </c>
      <c r="C56" s="149"/>
      <c r="D56" s="147">
        <f>SUM(D57:D58)</f>
        <v>79762184.657999992</v>
      </c>
      <c r="E56" s="152">
        <f>SUM(E57:E58)</f>
        <v>6138.0463332465015</v>
      </c>
      <c r="F56" s="148"/>
      <c r="G56" s="147">
        <f>SUM(G57:G58)</f>
        <v>181630940.51063162</v>
      </c>
      <c r="H56" s="152">
        <f>SUM(H57:H58)</f>
        <v>6323.4153325105462</v>
      </c>
      <c r="I56" s="148"/>
      <c r="J56" s="147">
        <f>SUM(J57:J58)</f>
        <v>192748392.38096571</v>
      </c>
      <c r="K56" s="152">
        <f>SUM(K57:K58)</f>
        <v>6514.3824755523647</v>
      </c>
      <c r="L56" s="148"/>
      <c r="M56" s="147">
        <f>SUM(M57:M58)</f>
        <v>204566189.52456316</v>
      </c>
      <c r="N56" s="152">
        <f>SUM(N57:N58)</f>
        <v>6711.1168263140453</v>
      </c>
      <c r="O56" s="148"/>
      <c r="P56" s="147">
        <f>SUM(P57:P58)</f>
        <v>217108559.91934073</v>
      </c>
      <c r="Q56" s="148" t="s">
        <v>288</v>
      </c>
      <c r="R56" s="148"/>
      <c r="S56" s="148"/>
      <c r="T56" s="148"/>
      <c r="U56" s="150">
        <f>D56/B56</f>
        <v>28590.429129036889</v>
      </c>
      <c r="V56" s="150">
        <f>G56/E56</f>
        <v>29591.001867619398</v>
      </c>
      <c r="W56" s="150">
        <f>J56/H56</f>
        <v>30481.691023834745</v>
      </c>
      <c r="X56" s="150">
        <f>M56/K56</f>
        <v>31402.238092754553</v>
      </c>
      <c r="Y56" s="150">
        <f>P56/N56</f>
        <v>32350.585683155739</v>
      </c>
    </row>
    <row r="57" spans="1:25" x14ac:dyDescent="0.2">
      <c r="A57" s="138" t="s">
        <v>293</v>
      </c>
      <c r="B57" s="147">
        <f>B41</f>
        <v>2460.61024</v>
      </c>
      <c r="C57" s="149">
        <f>'[1]COSTOS Y DETER. PRECIO'!E122</f>
        <v>26700</v>
      </c>
      <c r="D57" s="150">
        <f>B57*C57</f>
        <v>65698293.408</v>
      </c>
      <c r="E57" s="151">
        <f>E41</f>
        <v>5387.2406691840015</v>
      </c>
      <c r="F57" s="150">
        <f>C57*1.0325</f>
        <v>27567.75</v>
      </c>
      <c r="G57" s="150">
        <f>E57*F57</f>
        <v>148514103.95789725</v>
      </c>
      <c r="H57" s="151">
        <f>H41</f>
        <v>5549.9353373933591</v>
      </c>
      <c r="I57" s="150">
        <f>F57*1.0301</f>
        <v>28397.539274999999</v>
      </c>
      <c r="J57" s="150">
        <f>H57*I57</f>
        <v>157604506.71733829</v>
      </c>
      <c r="K57" s="151">
        <f>K41</f>
        <v>5717.5433845826383</v>
      </c>
      <c r="L57" s="150">
        <f>I57*1.0302</f>
        <v>29255.144961104997</v>
      </c>
      <c r="M57" s="150">
        <f>K57*L57</f>
        <v>167267560.53737199</v>
      </c>
      <c r="N57" s="151">
        <f>N41</f>
        <v>5890.2131947970329</v>
      </c>
      <c r="O57" s="150">
        <f>L57*1.0302</f>
        <v>30138.650338930369</v>
      </c>
      <c r="P57" s="150">
        <f>N57*O57</f>
        <v>177523075.89974174</v>
      </c>
      <c r="Q57" s="148"/>
      <c r="R57" s="148"/>
      <c r="S57" s="148"/>
      <c r="T57" s="148"/>
      <c r="U57" s="148"/>
      <c r="V57" s="148"/>
      <c r="W57" s="148"/>
      <c r="X57" s="148"/>
      <c r="Y57" s="148"/>
    </row>
    <row r="58" spans="1:25" x14ac:dyDescent="0.2">
      <c r="A58" s="138" t="s">
        <v>294</v>
      </c>
      <c r="B58" s="147">
        <f>B42</f>
        <v>329.2109375</v>
      </c>
      <c r="C58" s="149">
        <f>'[1]COSTOS Y DETER. PRECIO'!E162</f>
        <v>42720</v>
      </c>
      <c r="D58" s="150">
        <f>B58*C58</f>
        <v>14063891.25</v>
      </c>
      <c r="E58" s="151">
        <f>E42</f>
        <v>750.8056640625</v>
      </c>
      <c r="F58" s="150">
        <f>C58*1.0325</f>
        <v>44108.4</v>
      </c>
      <c r="G58" s="150">
        <f>E58*F58</f>
        <v>33116836.552734375</v>
      </c>
      <c r="H58" s="151">
        <f>H42</f>
        <v>773.4799951171874</v>
      </c>
      <c r="I58" s="150">
        <f>F58*1.0301</f>
        <v>45436.062839999999</v>
      </c>
      <c r="J58" s="150">
        <f>H58*I58</f>
        <v>35143885.663627416</v>
      </c>
      <c r="K58" s="151">
        <f>K42</f>
        <v>796.8390909697265</v>
      </c>
      <c r="L58" s="150">
        <f>I58*1.0302</f>
        <v>46808.231937767996</v>
      </c>
      <c r="M58" s="150">
        <f>K58*L58</f>
        <v>37298628.98719117</v>
      </c>
      <c r="N58" s="151">
        <f>N42</f>
        <v>820.90363151701251</v>
      </c>
      <c r="O58" s="150">
        <f>L58*1.0302</f>
        <v>48221.840542288592</v>
      </c>
      <c r="P58" s="150">
        <f>N58*O58</f>
        <v>39585484.019599006</v>
      </c>
      <c r="Q58" s="148"/>
      <c r="R58" s="148"/>
      <c r="S58" s="148"/>
      <c r="T58" s="148"/>
      <c r="U58" s="148"/>
      <c r="V58" s="148"/>
      <c r="W58" s="148"/>
      <c r="X58" s="148"/>
      <c r="Y58" s="148"/>
    </row>
    <row r="59" spans="1:25" x14ac:dyDescent="0.2">
      <c r="A59" s="140" t="s">
        <v>290</v>
      </c>
      <c r="B59" s="147">
        <f>SUM(B60:B61)</f>
        <v>858.46047999999996</v>
      </c>
      <c r="C59" s="149"/>
      <c r="D59" s="148"/>
      <c r="E59" s="152">
        <f>SUM(E60:E61)</f>
        <v>2193.7706675280001</v>
      </c>
      <c r="F59" s="148"/>
      <c r="G59" s="148"/>
      <c r="H59" s="152">
        <f>SUM(H60:H61)</f>
        <v>2260.0225416873463</v>
      </c>
      <c r="I59" s="148"/>
      <c r="J59" s="148"/>
      <c r="K59" s="152">
        <f>SUM(K60:K61)</f>
        <v>2328.2752224463034</v>
      </c>
      <c r="L59" s="148"/>
      <c r="M59" s="148"/>
      <c r="N59" s="152">
        <f>SUM(N60:N61)</f>
        <v>2398.5891341641827</v>
      </c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</row>
    <row r="60" spans="1:25" x14ac:dyDescent="0.2">
      <c r="A60" s="138" t="s">
        <v>293</v>
      </c>
      <c r="B60" s="147">
        <f>B44</f>
        <v>123.76416</v>
      </c>
      <c r="C60" s="149"/>
      <c r="D60" s="148"/>
      <c r="E60" s="151">
        <f>E44</f>
        <v>275.483897856</v>
      </c>
      <c r="F60" s="148"/>
      <c r="G60" s="148"/>
      <c r="H60" s="151">
        <f>H44</f>
        <v>283.80351157125125</v>
      </c>
      <c r="I60" s="148"/>
      <c r="J60" s="148"/>
      <c r="K60" s="151">
        <f>K44</f>
        <v>292.374377620703</v>
      </c>
      <c r="L60" s="148"/>
      <c r="M60" s="148"/>
      <c r="N60" s="151">
        <f>N44</f>
        <v>301.20408382484834</v>
      </c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</row>
    <row r="61" spans="1:25" x14ac:dyDescent="0.2">
      <c r="A61" s="138" t="s">
        <v>294</v>
      </c>
      <c r="B61" s="147">
        <f>B45</f>
        <v>734.69632000000001</v>
      </c>
      <c r="C61" s="149"/>
      <c r="D61" s="148"/>
      <c r="E61" s="151">
        <f>E45</f>
        <v>1918.2867696720002</v>
      </c>
      <c r="F61" s="148"/>
      <c r="G61" s="148"/>
      <c r="H61" s="151">
        <f>H45</f>
        <v>1976.2190301160952</v>
      </c>
      <c r="I61" s="148"/>
      <c r="J61" s="148"/>
      <c r="K61" s="151">
        <f>K45</f>
        <v>2035.9008448256002</v>
      </c>
      <c r="L61" s="148"/>
      <c r="M61" s="148"/>
      <c r="N61" s="151">
        <f>N45</f>
        <v>2097.3850503393346</v>
      </c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</row>
    <row r="62" spans="1:25" x14ac:dyDescent="0.2">
      <c r="A62" s="140" t="s">
        <v>295</v>
      </c>
      <c r="B62" s="147">
        <f>SUM(B63:B63)</f>
        <v>0</v>
      </c>
      <c r="C62" s="149"/>
      <c r="D62" s="147">
        <f>SUM(D63:D63)</f>
        <v>0</v>
      </c>
      <c r="E62" s="152">
        <f>SUM(E63:E63)</f>
        <v>0</v>
      </c>
      <c r="F62" s="148"/>
      <c r="G62" s="147">
        <f>SUM(G63:G63)</f>
        <v>0</v>
      </c>
      <c r="H62" s="152">
        <f>SUM(H63:H63)</f>
        <v>0</v>
      </c>
      <c r="I62" s="148"/>
      <c r="J62" s="147">
        <f>SUM(J63:J63)</f>
        <v>0</v>
      </c>
      <c r="K62" s="152">
        <f>SUM(K63:K63)</f>
        <v>0</v>
      </c>
      <c r="L62" s="148"/>
      <c r="M62" s="147">
        <f>SUM(M63:M63)</f>
        <v>0</v>
      </c>
      <c r="N62" s="152">
        <f>SUM(N63:N63)</f>
        <v>0</v>
      </c>
      <c r="O62" s="148"/>
      <c r="P62" s="147">
        <f>SUM(P63:P63)</f>
        <v>0</v>
      </c>
      <c r="Q62" s="148" t="s">
        <v>289</v>
      </c>
      <c r="R62" s="148"/>
      <c r="S62" s="148"/>
      <c r="T62" s="148"/>
      <c r="U62" s="150" t="e">
        <f>D62/B62</f>
        <v>#DIV/0!</v>
      </c>
      <c r="V62" s="150" t="e">
        <f>G62/E62</f>
        <v>#DIV/0!</v>
      </c>
      <c r="W62" s="150" t="e">
        <f>J62/H62</f>
        <v>#DIV/0!</v>
      </c>
      <c r="X62" s="150" t="e">
        <f>M62/K62</f>
        <v>#DIV/0!</v>
      </c>
      <c r="Y62" s="150" t="e">
        <f>P62/N62</f>
        <v>#DIV/0!</v>
      </c>
    </row>
    <row r="63" spans="1:25" x14ac:dyDescent="0.2">
      <c r="A63" s="138"/>
      <c r="B63" s="147">
        <f>B47</f>
        <v>0</v>
      </c>
      <c r="C63" s="149">
        <f>'[1]COSTOS Y DETER. PRECIO'!E193</f>
        <v>2146.8623511904761</v>
      </c>
      <c r="D63" s="150">
        <f>B63*C63</f>
        <v>0</v>
      </c>
      <c r="E63" s="151">
        <f>E47</f>
        <v>0</v>
      </c>
      <c r="F63" s="150">
        <f>C63*1.0325</f>
        <v>2216.6353776041665</v>
      </c>
      <c r="G63" s="150">
        <f>E63*F63</f>
        <v>0</v>
      </c>
      <c r="H63" s="151">
        <f>H47</f>
        <v>0</v>
      </c>
      <c r="I63" s="150">
        <f>F63*1.0301</f>
        <v>2283.3561024700521</v>
      </c>
      <c r="J63" s="150">
        <f>H63*I63</f>
        <v>0</v>
      </c>
      <c r="K63" s="151">
        <f>K47</f>
        <v>0</v>
      </c>
      <c r="L63" s="150">
        <f>I63*1.0302</f>
        <v>2352.3134567646475</v>
      </c>
      <c r="M63" s="150">
        <f>K63*L63</f>
        <v>0</v>
      </c>
      <c r="N63" s="151">
        <f>N47</f>
        <v>0</v>
      </c>
      <c r="O63" s="150">
        <f>L63*1.0302</f>
        <v>2423.3533231589399</v>
      </c>
      <c r="P63" s="150">
        <f>N63*O63</f>
        <v>0</v>
      </c>
      <c r="Q63" s="148"/>
      <c r="R63" s="148"/>
      <c r="S63" s="148"/>
      <c r="T63" s="148"/>
      <c r="U63" s="148"/>
      <c r="V63" s="148"/>
      <c r="W63" s="148"/>
      <c r="X63" s="148"/>
      <c r="Y63" s="148"/>
    </row>
    <row r="64" spans="1:25" x14ac:dyDescent="0.2">
      <c r="A64" s="139" t="s">
        <v>282</v>
      </c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</row>
    <row r="65" spans="1:25" x14ac:dyDescent="0.2"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</row>
    <row r="72" spans="1:25" x14ac:dyDescent="0.2">
      <c r="A72" s="154"/>
      <c r="B72" s="154"/>
      <c r="C72" s="154"/>
      <c r="D72" s="154"/>
      <c r="E72" s="154"/>
      <c r="F72" s="154"/>
      <c r="G72" s="154"/>
      <c r="H72" s="154"/>
      <c r="I72" s="154"/>
    </row>
    <row r="73" spans="1:25" x14ac:dyDescent="0.2">
      <c r="A73" s="154"/>
      <c r="B73" s="154"/>
      <c r="C73" s="154"/>
      <c r="D73" s="154"/>
      <c r="E73" s="154"/>
      <c r="F73" s="154"/>
      <c r="G73" s="154"/>
      <c r="H73" s="154"/>
      <c r="I73" s="154"/>
    </row>
    <row r="74" spans="1:25" x14ac:dyDescent="0.2">
      <c r="A74" s="154"/>
      <c r="B74" s="154"/>
      <c r="C74" s="154"/>
      <c r="D74" s="154"/>
      <c r="E74" s="155"/>
      <c r="F74" s="156"/>
      <c r="G74" s="156"/>
      <c r="H74" s="154"/>
      <c r="I74" s="154"/>
    </row>
    <row r="75" spans="1:25" x14ac:dyDescent="0.2">
      <c r="A75" s="154"/>
      <c r="B75" s="154"/>
      <c r="C75" s="154"/>
      <c r="D75" s="154"/>
      <c r="E75" s="155"/>
      <c r="F75" s="156"/>
      <c r="G75" s="155"/>
      <c r="H75" s="154"/>
      <c r="I75" s="154"/>
    </row>
    <row r="76" spans="1:25" x14ac:dyDescent="0.2">
      <c r="A76" s="154"/>
      <c r="B76" s="154"/>
      <c r="C76" s="154"/>
      <c r="D76" s="154"/>
      <c r="E76" s="157"/>
      <c r="F76" s="157"/>
      <c r="G76" s="157"/>
      <c r="H76" s="154"/>
      <c r="I76" s="154"/>
    </row>
    <row r="77" spans="1:25" x14ac:dyDescent="0.2">
      <c r="A77" s="154"/>
      <c r="B77" s="154"/>
      <c r="C77" s="154"/>
      <c r="D77" s="154"/>
      <c r="E77" s="155"/>
      <c r="F77" s="155"/>
      <c r="G77" s="155"/>
      <c r="H77" s="154"/>
      <c r="I77" s="154"/>
    </row>
    <row r="78" spans="1:25" x14ac:dyDescent="0.2">
      <c r="A78" s="154"/>
      <c r="B78" s="154"/>
      <c r="C78" s="154"/>
      <c r="D78" s="154"/>
      <c r="E78" s="155"/>
      <c r="F78" s="155"/>
      <c r="G78" s="155"/>
      <c r="H78" s="154"/>
      <c r="I78" s="154"/>
    </row>
    <row r="79" spans="1:25" x14ac:dyDescent="0.2">
      <c r="A79" s="154"/>
      <c r="B79" s="154"/>
      <c r="C79" s="154"/>
      <c r="D79" s="154"/>
      <c r="E79" s="155"/>
      <c r="F79" s="155"/>
      <c r="G79" s="155"/>
      <c r="H79" s="154"/>
      <c r="I79" s="154"/>
    </row>
    <row r="80" spans="1:25" x14ac:dyDescent="0.2">
      <c r="A80" s="154"/>
      <c r="B80" s="154"/>
      <c r="C80" s="154"/>
      <c r="D80" s="154"/>
      <c r="E80" s="155"/>
      <c r="F80" s="155"/>
      <c r="G80" s="155"/>
      <c r="H80" s="154"/>
      <c r="I80" s="154"/>
    </row>
    <row r="81" spans="1:9" x14ac:dyDescent="0.2">
      <c r="A81" s="154"/>
      <c r="B81" s="154"/>
      <c r="C81" s="154"/>
      <c r="D81" s="154"/>
      <c r="E81" s="155"/>
      <c r="F81" s="155"/>
      <c r="G81" s="155"/>
      <c r="H81" s="154"/>
      <c r="I81" s="154"/>
    </row>
    <row r="82" spans="1:9" x14ac:dyDescent="0.2">
      <c r="A82" s="154"/>
      <c r="B82" s="154"/>
      <c r="C82" s="154"/>
      <c r="D82" s="154"/>
      <c r="E82" s="155"/>
      <c r="F82" s="155"/>
      <c r="G82" s="155"/>
      <c r="H82" s="154"/>
      <c r="I82" s="154"/>
    </row>
    <row r="83" spans="1:9" x14ac:dyDescent="0.2">
      <c r="E83" s="153"/>
      <c r="F83" s="153"/>
      <c r="G83" s="153"/>
    </row>
  </sheetData>
  <mergeCells count="25">
    <mergeCell ref="A3:A4"/>
    <mergeCell ref="B5:D15"/>
    <mergeCell ref="B17:D17"/>
    <mergeCell ref="E17:G17"/>
    <mergeCell ref="H17:J17"/>
    <mergeCell ref="A35:A36"/>
    <mergeCell ref="N17:P17"/>
    <mergeCell ref="A18:A19"/>
    <mergeCell ref="B18:D18"/>
    <mergeCell ref="E18:G18"/>
    <mergeCell ref="H18:J18"/>
    <mergeCell ref="K18:M18"/>
    <mergeCell ref="N18:P18"/>
    <mergeCell ref="K17:M17"/>
    <mergeCell ref="N51:P51"/>
    <mergeCell ref="B34:D34"/>
    <mergeCell ref="E34:G34"/>
    <mergeCell ref="H34:J34"/>
    <mergeCell ref="K34:M34"/>
    <mergeCell ref="N34:P34"/>
    <mergeCell ref="A51:A52"/>
    <mergeCell ref="B51:D51"/>
    <mergeCell ref="E51:G51"/>
    <mergeCell ref="H51:J51"/>
    <mergeCell ref="K51:M5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4" sqref="A4:E6"/>
    </sheetView>
  </sheetViews>
  <sheetFormatPr baseColWidth="10" defaultRowHeight="15" x14ac:dyDescent="0.25"/>
  <sheetData>
    <row r="1" spans="1:5" x14ac:dyDescent="0.25">
      <c r="A1" t="s">
        <v>2</v>
      </c>
      <c r="B1" t="s">
        <v>275</v>
      </c>
      <c r="C1" t="s">
        <v>276</v>
      </c>
      <c r="D1" t="s">
        <v>277</v>
      </c>
      <c r="E1" t="s">
        <v>278</v>
      </c>
    </row>
    <row r="3" spans="1:5" x14ac:dyDescent="0.25">
      <c r="A3" t="s">
        <v>280</v>
      </c>
      <c r="B3" t="s">
        <v>280</v>
      </c>
      <c r="C3" t="s">
        <v>280</v>
      </c>
      <c r="D3" t="s">
        <v>280</v>
      </c>
      <c r="E3" t="s">
        <v>280</v>
      </c>
    </row>
    <row r="4" spans="1:5" x14ac:dyDescent="0.25">
      <c r="A4" s="175">
        <v>18190.675200000001</v>
      </c>
      <c r="B4" s="175">
        <f>A4+A4*5%</f>
        <v>19100.20896</v>
      </c>
      <c r="C4" s="175">
        <f t="shared" ref="C4:E4" si="0">B4+B4*5%</f>
        <v>20055.219408000001</v>
      </c>
      <c r="D4" s="175">
        <f t="shared" si="0"/>
        <v>21057.9803784</v>
      </c>
      <c r="E4" s="175">
        <f t="shared" si="0"/>
        <v>22110.879397320001</v>
      </c>
    </row>
    <row r="5" spans="1:5" x14ac:dyDescent="0.25">
      <c r="A5" s="175">
        <v>2892.6688305624998</v>
      </c>
      <c r="B5" s="175">
        <f t="shared" ref="B5:E6" si="1">A5+A5*5%</f>
        <v>3037.3022720906247</v>
      </c>
      <c r="C5" s="175">
        <f t="shared" si="1"/>
        <v>3189.1673856951561</v>
      </c>
      <c r="D5" s="175">
        <f t="shared" si="1"/>
        <v>3348.6257549799138</v>
      </c>
      <c r="E5" s="175">
        <f t="shared" si="1"/>
        <v>3516.0570427289094</v>
      </c>
    </row>
    <row r="6" spans="1:5" x14ac:dyDescent="0.25">
      <c r="A6" s="175">
        <v>909.72237399999995</v>
      </c>
      <c r="B6" s="175">
        <f t="shared" si="1"/>
        <v>955.20849269999997</v>
      </c>
      <c r="C6" s="175">
        <f t="shared" si="1"/>
        <v>1002.968917335</v>
      </c>
      <c r="D6" s="175">
        <f t="shared" si="1"/>
        <v>1053.1173632017501</v>
      </c>
      <c r="E6" s="175">
        <f t="shared" si="1"/>
        <v>1105.7732313618376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1"/>
  <sheetViews>
    <sheetView workbookViewId="0">
      <selection activeCell="Q22" sqref="Q22"/>
    </sheetView>
  </sheetViews>
  <sheetFormatPr baseColWidth="10" defaultRowHeight="15" x14ac:dyDescent="0.25"/>
  <cols>
    <col min="4" max="4" width="11.42578125" style="100"/>
    <col min="10" max="10" width="0" hidden="1" customWidth="1"/>
    <col min="11" max="11" width="11.85546875" bestFit="1" customWidth="1"/>
    <col min="16" max="16" width="12.5703125" bestFit="1" customWidth="1"/>
  </cols>
  <sheetData>
    <row r="3" spans="1:17" x14ac:dyDescent="0.25">
      <c r="D3" s="101"/>
      <c r="F3" s="259" t="s">
        <v>194</v>
      </c>
      <c r="G3" s="259"/>
      <c r="H3" s="259"/>
      <c r="I3" s="259"/>
      <c r="J3" s="259"/>
      <c r="K3" s="259"/>
      <c r="N3" s="259" t="s">
        <v>194</v>
      </c>
      <c r="O3" s="259"/>
      <c r="P3" s="259"/>
    </row>
    <row r="4" spans="1:17" ht="45" x14ac:dyDescent="0.25">
      <c r="A4" s="164" t="s">
        <v>37</v>
      </c>
      <c r="B4" s="172" t="s">
        <v>300</v>
      </c>
      <c r="C4" s="172" t="s">
        <v>299</v>
      </c>
      <c r="D4" s="97"/>
      <c r="E4" s="104" t="s">
        <v>37</v>
      </c>
      <c r="F4" s="167" t="s">
        <v>190</v>
      </c>
      <c r="G4" s="167" t="s">
        <v>192</v>
      </c>
      <c r="H4" s="168" t="s">
        <v>191</v>
      </c>
      <c r="I4" s="168" t="s">
        <v>193</v>
      </c>
      <c r="J4" s="158"/>
      <c r="K4" s="169" t="s">
        <v>301</v>
      </c>
      <c r="L4" s="105"/>
      <c r="M4" s="104" t="s">
        <v>37</v>
      </c>
      <c r="N4" s="103" t="s">
        <v>208</v>
      </c>
      <c r="O4" s="104" t="s">
        <v>209</v>
      </c>
      <c r="P4" s="104" t="s">
        <v>193</v>
      </c>
    </row>
    <row r="5" spans="1:17" x14ac:dyDescent="0.25">
      <c r="A5" s="165">
        <v>1</v>
      </c>
      <c r="B5" s="88"/>
      <c r="C5" s="88"/>
      <c r="D5" s="102"/>
      <c r="E5" s="98">
        <v>1</v>
      </c>
      <c r="F5" s="90"/>
      <c r="G5" s="91"/>
      <c r="H5" s="91"/>
      <c r="I5" s="92"/>
      <c r="J5" s="159"/>
      <c r="K5" s="86"/>
      <c r="M5" s="98">
        <v>1</v>
      </c>
      <c r="N5" s="90"/>
      <c r="O5" s="91"/>
      <c r="P5" s="163"/>
    </row>
    <row r="6" spans="1:17" x14ac:dyDescent="0.25">
      <c r="A6" s="165">
        <v>2</v>
      </c>
      <c r="B6" s="88"/>
      <c r="C6" s="88"/>
      <c r="D6" s="102"/>
      <c r="E6" s="98">
        <v>2</v>
      </c>
      <c r="F6" s="90"/>
      <c r="G6" s="91"/>
      <c r="H6" s="91"/>
      <c r="I6" s="92"/>
      <c r="J6" s="159"/>
      <c r="K6" s="86"/>
      <c r="M6" s="98">
        <v>2</v>
      </c>
      <c r="N6" s="90"/>
      <c r="O6" s="91"/>
      <c r="P6" s="163"/>
    </row>
    <row r="7" spans="1:17" x14ac:dyDescent="0.25">
      <c r="A7" s="165">
        <v>3</v>
      </c>
      <c r="B7" s="88"/>
      <c r="C7" s="88"/>
      <c r="D7" s="102"/>
      <c r="E7" s="98">
        <v>3</v>
      </c>
      <c r="F7" s="90">
        <v>0</v>
      </c>
      <c r="G7" s="91">
        <v>0</v>
      </c>
      <c r="H7" s="91">
        <v>0</v>
      </c>
      <c r="I7" s="92">
        <v>0</v>
      </c>
      <c r="J7" s="159"/>
      <c r="K7" s="86"/>
      <c r="M7" s="98">
        <v>3</v>
      </c>
      <c r="N7" s="90">
        <f>F7*'Costos x productos'!$J$2</f>
        <v>0</v>
      </c>
      <c r="O7" s="106">
        <f>H7*'Costos x productos'!$J$3</f>
        <v>0</v>
      </c>
      <c r="P7" s="107">
        <f>I7*'Costos x productos'!$J$4</f>
        <v>0</v>
      </c>
      <c r="Q7" s="90">
        <f>N7+O7+P7</f>
        <v>0</v>
      </c>
    </row>
    <row r="8" spans="1:17" x14ac:dyDescent="0.25">
      <c r="A8" s="165">
        <v>4</v>
      </c>
      <c r="B8" s="88">
        <f>'PROYECCIONES DE VTAS EN UND.'!E5*6+'PROYECCIONES DE VTAS EN UND.'!E8*12+'PROYECCIONES DE VTAS EN UND.'!E11*24</f>
        <v>4464</v>
      </c>
      <c r="C8" s="88">
        <f>B8/30</f>
        <v>148.80000000000001</v>
      </c>
      <c r="D8" s="102"/>
      <c r="E8" s="98">
        <v>4</v>
      </c>
      <c r="F8" s="90">
        <f>B8*'Costos x productos'!$H$15</f>
        <v>89.28</v>
      </c>
      <c r="G8" s="91">
        <f>F8/'Costos x productos'!$H$2</f>
        <v>3.5712000000000002</v>
      </c>
      <c r="H8" s="91">
        <f>B8*('Costos x productos'!$H$17)/'Costos x productos'!$H$3</f>
        <v>0.26783999999999997</v>
      </c>
      <c r="I8" s="92">
        <f>B8*'Costos x productos'!$H$16</f>
        <v>44.64</v>
      </c>
      <c r="J8" s="159">
        <f>I8/'Costos x productos'!$H$4</f>
        <v>3.1885714285714286</v>
      </c>
      <c r="K8" s="92">
        <f>ROUND(J8,0)</f>
        <v>3</v>
      </c>
      <c r="L8" s="162"/>
      <c r="M8" s="98">
        <v>4</v>
      </c>
      <c r="N8" s="90">
        <f>G8*'Costos x productos'!$I$2</f>
        <v>242841.60000000001</v>
      </c>
      <c r="O8" s="90">
        <f>H8*'Costos x productos'!$I$3</f>
        <v>5356.7999999999993</v>
      </c>
      <c r="P8" s="107">
        <f>K8*'Costos x productos'!$I$4</f>
        <v>180000</v>
      </c>
      <c r="Q8" s="90">
        <f t="shared" ref="Q8:Q16" si="0">N8+O8+P8</f>
        <v>428198.40000000002</v>
      </c>
    </row>
    <row r="9" spans="1:17" x14ac:dyDescent="0.25">
      <c r="A9" s="166">
        <v>5</v>
      </c>
      <c r="B9" s="89">
        <f>'PROYECCIONES DE VTAS EN UND.'!F5*6+'PROYECCIONES DE VTAS EN UND.'!F8*12+'PROYECCIONES DE VTAS EN UND.'!F11*24</f>
        <v>9072</v>
      </c>
      <c r="C9" s="88">
        <f t="shared" ref="C9:C16" si="1">B9/30</f>
        <v>302.39999999999998</v>
      </c>
      <c r="D9" s="102"/>
      <c r="E9" s="99">
        <v>5</v>
      </c>
      <c r="F9" s="90">
        <f>B9*'Costos x productos'!$H$15</f>
        <v>181.44</v>
      </c>
      <c r="G9" s="91">
        <f>F9/'Costos x productos'!$H$2</f>
        <v>7.2576000000000001</v>
      </c>
      <c r="H9" s="91">
        <f>B9*('Costos x productos'!$H$17)/'Costos x productos'!$H$3</f>
        <v>0.54431999999999992</v>
      </c>
      <c r="I9" s="92">
        <f>B9*'Costos x productos'!$H$16</f>
        <v>90.72</v>
      </c>
      <c r="J9" s="159">
        <f>I9/'Costos x productos'!$H$4</f>
        <v>6.4799999999999995</v>
      </c>
      <c r="K9" s="92">
        <f t="shared" ref="K9:K16" si="2">ROUND(J9,0)</f>
        <v>6</v>
      </c>
      <c r="L9" s="162"/>
      <c r="M9" s="99">
        <v>5</v>
      </c>
      <c r="N9" s="90">
        <f>G9*'Costos x productos'!$I$2</f>
        <v>493516.79999999999</v>
      </c>
      <c r="O9" s="90">
        <f>H9*'Costos x productos'!$I$3</f>
        <v>10886.399999999998</v>
      </c>
      <c r="P9" s="107">
        <f>K9*'Costos x productos'!$I$4</f>
        <v>360000</v>
      </c>
      <c r="Q9" s="90">
        <f t="shared" si="0"/>
        <v>864403.2</v>
      </c>
    </row>
    <row r="10" spans="1:17" x14ac:dyDescent="0.25">
      <c r="A10" s="165">
        <v>6</v>
      </c>
      <c r="B10" s="88">
        <f>'PROYECCIONES DE VTAS EN UND.'!G5*6+'PROYECCIONES DE VTAS EN UND.'!G8*12+'PROYECCIONES DE VTAS EN UND.'!G11*24</f>
        <v>11376</v>
      </c>
      <c r="C10" s="88">
        <f t="shared" si="1"/>
        <v>379.2</v>
      </c>
      <c r="D10" s="102"/>
      <c r="E10" s="98">
        <v>6</v>
      </c>
      <c r="F10" s="90">
        <f>B10*'Costos x productos'!$H$15</f>
        <v>227.52</v>
      </c>
      <c r="G10" s="91">
        <f>F10/'Costos x productos'!$H$2</f>
        <v>9.1007999999999996</v>
      </c>
      <c r="H10" s="91">
        <f>B10*('Costos x productos'!$H$17)/'Costos x productos'!$H$3</f>
        <v>0.68255999999999994</v>
      </c>
      <c r="I10" s="92">
        <f>B10*'Costos x productos'!$H$16</f>
        <v>113.76</v>
      </c>
      <c r="J10" s="159">
        <f>I10/'Costos x productos'!$H$4</f>
        <v>8.1257142857142863</v>
      </c>
      <c r="K10" s="92">
        <f t="shared" si="2"/>
        <v>8</v>
      </c>
      <c r="L10" s="162"/>
      <c r="M10" s="98">
        <v>6</v>
      </c>
      <c r="N10" s="90">
        <f>G10*'Costos x productos'!$I$2</f>
        <v>618854.40000000002</v>
      </c>
      <c r="O10" s="90">
        <f>H10*'Costos x productos'!$I$3</f>
        <v>13651.199999999999</v>
      </c>
      <c r="P10" s="107">
        <f>K10*'Costos x productos'!$I$4</f>
        <v>480000</v>
      </c>
      <c r="Q10" s="90">
        <f t="shared" si="0"/>
        <v>1112505.6000000001</v>
      </c>
    </row>
    <row r="11" spans="1:17" x14ac:dyDescent="0.25">
      <c r="A11" s="165">
        <v>7</v>
      </c>
      <c r="B11" s="88">
        <f>'PROYECCIONES DE VTAS EN UND.'!H5*6+'PROYECCIONES DE VTAS EN UND.'!H8*12+'PROYECCIONES DE VTAS EN UND.'!H11*24</f>
        <v>13764</v>
      </c>
      <c r="C11" s="88">
        <f t="shared" si="1"/>
        <v>458.8</v>
      </c>
      <c r="D11" s="102"/>
      <c r="E11" s="98">
        <v>7</v>
      </c>
      <c r="F11" s="90">
        <f>B11*'Costos x productos'!$H$15</f>
        <v>275.28000000000003</v>
      </c>
      <c r="G11" s="91">
        <f>F11/'Costos x productos'!$H$2</f>
        <v>11.011200000000001</v>
      </c>
      <c r="H11" s="91">
        <f>B11*('Costos x productos'!$H$17)/'Costos x productos'!$H$3</f>
        <v>0.82584000000000002</v>
      </c>
      <c r="I11" s="92">
        <f>B11*'Costos x productos'!$H$16</f>
        <v>137.64000000000001</v>
      </c>
      <c r="J11" s="159">
        <f>I11/'Costos x productos'!$H$4</f>
        <v>9.8314285714285727</v>
      </c>
      <c r="K11" s="92">
        <f t="shared" si="2"/>
        <v>10</v>
      </c>
      <c r="L11" s="162"/>
      <c r="M11" s="98">
        <v>7</v>
      </c>
      <c r="N11" s="90">
        <f>G11*'Costos x productos'!$I$2</f>
        <v>748761.60000000009</v>
      </c>
      <c r="O11" s="90">
        <f>H11*'Costos x productos'!$I$3</f>
        <v>16516.8</v>
      </c>
      <c r="P11" s="107">
        <f>K11*'Costos x productos'!$I$4</f>
        <v>600000</v>
      </c>
      <c r="Q11" s="90">
        <f t="shared" si="0"/>
        <v>1365278.4000000001</v>
      </c>
    </row>
    <row r="12" spans="1:17" x14ac:dyDescent="0.25">
      <c r="A12" s="165">
        <v>8</v>
      </c>
      <c r="B12" s="88">
        <f>'PROYECCIONES DE VTAS EN UND.'!I5*6+'PROYECCIONES DE VTAS EN UND.'!I8*12+'PROYECCIONES DE VTAS EN UND.'!I11*24</f>
        <v>16662.84</v>
      </c>
      <c r="C12" s="88">
        <f t="shared" si="1"/>
        <v>555.428</v>
      </c>
      <c r="D12" s="102"/>
      <c r="E12" s="98">
        <v>8</v>
      </c>
      <c r="F12" s="90">
        <f>B12*'Costos x productos'!$H$15</f>
        <v>333.2568</v>
      </c>
      <c r="G12" s="91">
        <f>F12/'Costos x productos'!$H$2</f>
        <v>13.330272000000001</v>
      </c>
      <c r="H12" s="91">
        <f>B12*('Costos x productos'!$H$17)/'Costos x productos'!$H$3</f>
        <v>0.99977039999999984</v>
      </c>
      <c r="I12" s="92">
        <f>B12*'Costos x productos'!$H$16</f>
        <v>166.6284</v>
      </c>
      <c r="J12" s="159">
        <f>I12/'Costos x productos'!$H$4</f>
        <v>11.902028571428572</v>
      </c>
      <c r="K12" s="92">
        <f t="shared" si="2"/>
        <v>12</v>
      </c>
      <c r="L12" s="162"/>
      <c r="M12" s="98">
        <v>8</v>
      </c>
      <c r="N12" s="90">
        <f>G12*'Costos x productos'!$I$2</f>
        <v>906458.49600000004</v>
      </c>
      <c r="O12" s="90">
        <f>H12*'Costos x productos'!$I$3</f>
        <v>19995.407999999996</v>
      </c>
      <c r="P12" s="107">
        <f>K12*'Costos x productos'!$I$4</f>
        <v>720000</v>
      </c>
      <c r="Q12" s="90">
        <f t="shared" si="0"/>
        <v>1646453.9040000001</v>
      </c>
    </row>
    <row r="13" spans="1:17" x14ac:dyDescent="0.25">
      <c r="A13" s="165">
        <v>9</v>
      </c>
      <c r="B13" s="88">
        <f>'PROYECCIONES DE VTAS EN UND.'!J5*6+'PROYECCIONES DE VTAS EN UND.'!J8*12+'PROYECCIONES DE VTAS EN UND.'!J11*24</f>
        <v>20184.510000000002</v>
      </c>
      <c r="C13" s="88">
        <f t="shared" si="1"/>
        <v>672.81700000000012</v>
      </c>
      <c r="D13" s="102"/>
      <c r="E13" s="98">
        <v>9</v>
      </c>
      <c r="F13" s="90">
        <f>B13*'Costos x productos'!$H$15</f>
        <v>403.69020000000006</v>
      </c>
      <c r="G13" s="91">
        <f>F13/'Costos x productos'!$H$2</f>
        <v>16.147608000000002</v>
      </c>
      <c r="H13" s="91">
        <f>B13*('Costos x productos'!$H$17)/'Costos x productos'!$H$3</f>
        <v>1.2110706</v>
      </c>
      <c r="I13" s="92">
        <f>B13*'Costos x productos'!$H$16</f>
        <v>201.84510000000003</v>
      </c>
      <c r="J13" s="159">
        <f>I13/'Costos x productos'!$H$4</f>
        <v>14.417507142857145</v>
      </c>
      <c r="K13" s="92">
        <f t="shared" si="2"/>
        <v>14</v>
      </c>
      <c r="L13" s="162"/>
      <c r="M13" s="98">
        <v>9</v>
      </c>
      <c r="N13" s="90">
        <f>G13*'Costos x productos'!$I$2</f>
        <v>1098037.344</v>
      </c>
      <c r="O13" s="90">
        <f>H13*'Costos x productos'!$I$3</f>
        <v>24221.412</v>
      </c>
      <c r="P13" s="107">
        <f>K13*'Costos x productos'!$I$4</f>
        <v>840000</v>
      </c>
      <c r="Q13" s="90">
        <f t="shared" si="0"/>
        <v>1962258.7560000001</v>
      </c>
    </row>
    <row r="14" spans="1:17" x14ac:dyDescent="0.25">
      <c r="A14" s="165">
        <v>10</v>
      </c>
      <c r="B14" s="88">
        <f>'PROYECCIONES DE VTAS EN UND.'!K5*6+'PROYECCIONES DE VTAS EN UND.'!K8*12+'PROYECCIONES DE VTAS EN UND.'!K11*24</f>
        <v>28356.131099999995</v>
      </c>
      <c r="C14" s="88">
        <f t="shared" si="1"/>
        <v>945.20436999999981</v>
      </c>
      <c r="D14" s="102"/>
      <c r="E14" s="98">
        <v>10</v>
      </c>
      <c r="F14" s="90">
        <f>B14*'Costos x productos'!$H$15</f>
        <v>567.12262199999986</v>
      </c>
      <c r="G14" s="91">
        <f>F14/'Costos x productos'!$H$2</f>
        <v>22.684904879999994</v>
      </c>
      <c r="H14" s="91">
        <f>B14*('Costos x productos'!$H$17)/'Costos x productos'!$H$3</f>
        <v>1.7013678659999996</v>
      </c>
      <c r="I14" s="92">
        <f>B14*'Costos x productos'!$H$16</f>
        <v>283.56131099999993</v>
      </c>
      <c r="J14" s="159">
        <f>I14/'Costos x productos'!$H$4</f>
        <v>20.254379357142852</v>
      </c>
      <c r="K14" s="92">
        <f t="shared" si="2"/>
        <v>20</v>
      </c>
      <c r="L14" s="162"/>
      <c r="M14" s="98">
        <v>10</v>
      </c>
      <c r="N14" s="90">
        <f>G14*'Costos x productos'!$I$2</f>
        <v>1542573.5318399996</v>
      </c>
      <c r="O14" s="90">
        <f>H14*'Costos x productos'!$I$3</f>
        <v>34027.357319999988</v>
      </c>
      <c r="P14" s="107">
        <f>K14*'Costos x productos'!$I$4</f>
        <v>1200000</v>
      </c>
      <c r="Q14" s="90">
        <f t="shared" si="0"/>
        <v>2776600.8891599998</v>
      </c>
    </row>
    <row r="15" spans="1:17" x14ac:dyDescent="0.25">
      <c r="A15" s="165">
        <v>11</v>
      </c>
      <c r="B15" s="88">
        <f>'PROYECCIONES DE VTAS EN UND.'!L5*6+'PROYECCIONES DE VTAS EN UND.'!L8*12+'PROYECCIONES DE VTAS EN UND.'!L11*24</f>
        <v>34344.549074999995</v>
      </c>
      <c r="C15" s="88">
        <f t="shared" si="1"/>
        <v>1144.8183024999998</v>
      </c>
      <c r="D15" s="102"/>
      <c r="E15" s="98">
        <v>11</v>
      </c>
      <c r="F15" s="90">
        <f>B15*'Costos x productos'!$H$15</f>
        <v>686.89098149999995</v>
      </c>
      <c r="G15" s="91">
        <f>F15/'Costos x productos'!$H$2</f>
        <v>27.475639259999998</v>
      </c>
      <c r="H15" s="91">
        <f>B15*('Costos x productos'!$H$17)/'Costos x productos'!$H$3</f>
        <v>2.0606729444999994</v>
      </c>
      <c r="I15" s="92">
        <f>B15*'Costos x productos'!$H$16</f>
        <v>343.44549074999998</v>
      </c>
      <c r="J15" s="159">
        <f>I15/'Costos x productos'!$H$4</f>
        <v>24.531820767857141</v>
      </c>
      <c r="K15" s="92">
        <f t="shared" si="2"/>
        <v>25</v>
      </c>
      <c r="L15" s="162"/>
      <c r="M15" s="98">
        <v>11</v>
      </c>
      <c r="N15" s="90">
        <f>G15*'Costos x productos'!$I$2</f>
        <v>1868343.4696799999</v>
      </c>
      <c r="O15" s="90">
        <f>H15*'Costos x productos'!$I$3</f>
        <v>41213.458889999987</v>
      </c>
      <c r="P15" s="107">
        <f>K15*'Costos x productos'!$I$4</f>
        <v>1500000</v>
      </c>
      <c r="Q15" s="90">
        <f t="shared" si="0"/>
        <v>3409556.9285699995</v>
      </c>
    </row>
    <row r="16" spans="1:17" x14ac:dyDescent="0.25">
      <c r="A16" s="165">
        <v>12</v>
      </c>
      <c r="B16" s="88">
        <f>'PROYECCIONES DE VTAS EN UND.'!M5*6+'PROYECCIONES DE VTAS EN UND.'!M8*12+'PROYECCIONES DE VTAS EN UND.'!M11*24</f>
        <v>34344.549074999995</v>
      </c>
      <c r="C16" s="88">
        <f t="shared" si="1"/>
        <v>1144.8183024999998</v>
      </c>
      <c r="D16" s="102"/>
      <c r="E16" s="98">
        <v>12</v>
      </c>
      <c r="F16" s="90">
        <f>B16*'Costos x productos'!$H$15</f>
        <v>686.89098149999995</v>
      </c>
      <c r="G16" s="91">
        <f>F16/'Costos x productos'!$H$2</f>
        <v>27.475639259999998</v>
      </c>
      <c r="H16" s="91">
        <f>B16*('Costos x productos'!$H$17)/'Costos x productos'!$H$3</f>
        <v>2.0606729444999994</v>
      </c>
      <c r="I16" s="92">
        <f>B16*'Costos x productos'!$H$16</f>
        <v>343.44549074999998</v>
      </c>
      <c r="J16" s="159">
        <f>I16/'Costos x productos'!$H$4</f>
        <v>24.531820767857141</v>
      </c>
      <c r="K16" s="92">
        <f t="shared" si="2"/>
        <v>25</v>
      </c>
      <c r="L16" s="162"/>
      <c r="M16" s="98">
        <v>12</v>
      </c>
      <c r="N16" s="90">
        <f>G16*'Costos x productos'!$I$2</f>
        <v>1868343.4696799999</v>
      </c>
      <c r="O16" s="90">
        <f>H16*'Costos x productos'!$I$3</f>
        <v>41213.458889999987</v>
      </c>
      <c r="P16" s="107">
        <f>K16*'Costos x productos'!$I$4</f>
        <v>1500000</v>
      </c>
      <c r="Q16" s="90">
        <f t="shared" si="0"/>
        <v>3409556.9285699995</v>
      </c>
    </row>
    <row r="17" spans="5:17" x14ac:dyDescent="0.25">
      <c r="E17" s="170"/>
      <c r="F17" s="171"/>
      <c r="G17" s="170"/>
      <c r="M17" s="108" t="s">
        <v>210</v>
      </c>
      <c r="N17" s="108"/>
      <c r="O17" s="108"/>
      <c r="P17" s="108"/>
      <c r="Q17" s="109">
        <f>SUM(Q7:Q16)</f>
        <v>16974813.006299999</v>
      </c>
    </row>
    <row r="18" spans="5:17" x14ac:dyDescent="0.25">
      <c r="E18" s="170"/>
      <c r="F18" s="170"/>
      <c r="G18" s="170"/>
    </row>
    <row r="21" spans="5:17" x14ac:dyDescent="0.25">
      <c r="O21" s="96">
        <f>Q8+Q9+Q10+Q11+Q12</f>
        <v>5416839.5040000007</v>
      </c>
    </row>
  </sheetData>
  <mergeCells count="2">
    <mergeCell ref="N3:P3"/>
    <mergeCell ref="F3:K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showGridLines="0" topLeftCell="A67" workbookViewId="0">
      <selection activeCell="L61" sqref="L61"/>
    </sheetView>
  </sheetViews>
  <sheetFormatPr baseColWidth="10" defaultRowHeight="15" x14ac:dyDescent="0.25"/>
  <cols>
    <col min="1" max="1" width="29.5703125" bestFit="1" customWidth="1"/>
    <col min="2" max="2" width="9.85546875" bestFit="1" customWidth="1"/>
    <col min="3" max="3" width="18.28515625" bestFit="1" customWidth="1"/>
    <col min="4" max="4" width="15.42578125" bestFit="1" customWidth="1"/>
    <col min="7" max="7" width="16.42578125" bestFit="1" customWidth="1"/>
    <col min="8" max="8" width="9.42578125" bestFit="1" customWidth="1"/>
    <col min="9" max="9" width="10.85546875" bestFit="1" customWidth="1"/>
    <col min="10" max="10" width="12.42578125" bestFit="1" customWidth="1"/>
  </cols>
  <sheetData>
    <row r="1" spans="1:11" ht="15.75" thickBot="1" x14ac:dyDescent="0.3">
      <c r="A1" s="242" t="s">
        <v>108</v>
      </c>
      <c r="B1" s="261"/>
      <c r="C1" s="261"/>
      <c r="D1" s="243"/>
      <c r="G1" s="74" t="s">
        <v>121</v>
      </c>
      <c r="H1" s="77" t="s">
        <v>122</v>
      </c>
      <c r="I1" s="77" t="s">
        <v>123</v>
      </c>
      <c r="J1" s="74" t="s">
        <v>124</v>
      </c>
      <c r="K1" s="46"/>
    </row>
    <row r="2" spans="1:11" ht="15.75" thickBot="1" x14ac:dyDescent="0.3">
      <c r="A2" s="244" t="s">
        <v>109</v>
      </c>
      <c r="B2" s="260"/>
      <c r="C2" s="260"/>
      <c r="D2" s="245"/>
      <c r="G2" s="71" t="s">
        <v>125</v>
      </c>
      <c r="H2" s="78">
        <v>25</v>
      </c>
      <c r="I2" s="72">
        <v>68000</v>
      </c>
      <c r="J2" s="72">
        <f>I2/H2</f>
        <v>2720</v>
      </c>
      <c r="K2" s="46"/>
    </row>
    <row r="3" spans="1:11" ht="15.75" thickBot="1" x14ac:dyDescent="0.3">
      <c r="A3" s="45" t="s">
        <v>95</v>
      </c>
      <c r="B3" s="42">
        <v>6</v>
      </c>
      <c r="C3" s="44" t="s">
        <v>126</v>
      </c>
      <c r="D3" s="43"/>
      <c r="G3" s="71" t="s">
        <v>103</v>
      </c>
      <c r="H3" s="78">
        <v>10</v>
      </c>
      <c r="I3" s="72">
        <v>20000</v>
      </c>
      <c r="J3" s="72">
        <f>I3/H3</f>
        <v>2000</v>
      </c>
      <c r="K3" s="46"/>
    </row>
    <row r="4" spans="1:11" ht="15.75" thickBot="1" x14ac:dyDescent="0.3">
      <c r="A4" s="25" t="s">
        <v>110</v>
      </c>
      <c r="B4" s="26" t="s">
        <v>111</v>
      </c>
      <c r="C4" s="26" t="s">
        <v>112</v>
      </c>
      <c r="D4" s="27" t="s">
        <v>113</v>
      </c>
      <c r="G4" s="73" t="s">
        <v>105</v>
      </c>
      <c r="H4" s="78">
        <v>14</v>
      </c>
      <c r="I4" s="72">
        <v>60000</v>
      </c>
      <c r="J4" s="72">
        <f>I4/H4</f>
        <v>4285.7142857142853</v>
      </c>
      <c r="K4" s="46"/>
    </row>
    <row r="5" spans="1:11" x14ac:dyDescent="0.25">
      <c r="A5" s="28" t="s">
        <v>120</v>
      </c>
      <c r="B5" s="29">
        <v>0.12</v>
      </c>
      <c r="C5" s="48">
        <f>$J$2</f>
        <v>2720</v>
      </c>
      <c r="D5" s="32">
        <f>C5*B5</f>
        <v>326.39999999999998</v>
      </c>
    </row>
    <row r="6" spans="1:11" x14ac:dyDescent="0.25">
      <c r="A6" s="28" t="s">
        <v>128</v>
      </c>
      <c r="B6" s="29">
        <f>0.01*6</f>
        <v>0.06</v>
      </c>
      <c r="C6" s="48">
        <f>$J$4</f>
        <v>4285.7142857142853</v>
      </c>
      <c r="D6" s="32">
        <f>C6*B6</f>
        <v>257.14285714285711</v>
      </c>
      <c r="G6" s="47" t="s">
        <v>129</v>
      </c>
      <c r="H6" s="47">
        <v>300</v>
      </c>
      <c r="J6" s="49"/>
    </row>
    <row r="7" spans="1:11" x14ac:dyDescent="0.25">
      <c r="A7" s="28" t="s">
        <v>127</v>
      </c>
      <c r="B7" s="29">
        <f>H17*B3</f>
        <v>3.5999999999999999E-3</v>
      </c>
      <c r="C7" s="48">
        <f>$J$3</f>
        <v>2000</v>
      </c>
      <c r="D7" s="32">
        <f>C7*B7</f>
        <v>7.2</v>
      </c>
    </row>
    <row r="8" spans="1:11" ht="15.75" thickBot="1" x14ac:dyDescent="0.3">
      <c r="A8" s="28" t="s">
        <v>114</v>
      </c>
      <c r="B8" s="26">
        <v>1</v>
      </c>
      <c r="C8" s="53">
        <v>140</v>
      </c>
      <c r="D8" s="32">
        <f>C8*B8</f>
        <v>140</v>
      </c>
      <c r="G8" s="75" t="s">
        <v>183</v>
      </c>
      <c r="H8" s="77" t="s">
        <v>185</v>
      </c>
      <c r="I8" s="75" t="s">
        <v>186</v>
      </c>
      <c r="J8" s="75" t="s">
        <v>184</v>
      </c>
    </row>
    <row r="9" spans="1:11" ht="15.75" thickBot="1" x14ac:dyDescent="0.3">
      <c r="A9" s="34" t="s">
        <v>115</v>
      </c>
      <c r="B9" s="35"/>
      <c r="C9" s="35"/>
      <c r="D9" s="36">
        <f>SUM(D5:D8)</f>
        <v>730.74285714285713</v>
      </c>
      <c r="G9" s="71" t="s">
        <v>179</v>
      </c>
      <c r="H9" s="78">
        <v>6</v>
      </c>
      <c r="I9" s="76">
        <f>D17*4</f>
        <v>3858.971428571429</v>
      </c>
      <c r="J9" s="76">
        <f>I9*1.2</f>
        <v>4630.7657142857142</v>
      </c>
    </row>
    <row r="10" spans="1:11" x14ac:dyDescent="0.25">
      <c r="A10" s="37"/>
      <c r="B10" s="29"/>
      <c r="C10" s="29"/>
      <c r="D10" s="38"/>
      <c r="G10" s="71" t="s">
        <v>180</v>
      </c>
      <c r="H10" s="78">
        <v>12</v>
      </c>
      <c r="I10" s="76">
        <f>D37*4</f>
        <v>7157.942857142858</v>
      </c>
      <c r="J10" s="76">
        <f>I10*1.2</f>
        <v>8589.5314285714285</v>
      </c>
    </row>
    <row r="11" spans="1:11" x14ac:dyDescent="0.25">
      <c r="A11" s="37"/>
      <c r="B11" s="29"/>
      <c r="C11" s="29"/>
      <c r="D11" s="38"/>
      <c r="G11" s="71" t="s">
        <v>181</v>
      </c>
      <c r="H11" s="78">
        <v>25</v>
      </c>
      <c r="I11" s="76">
        <f>D57*4</f>
        <v>14305.714285714286</v>
      </c>
      <c r="J11" s="76">
        <f>I11*1.2</f>
        <v>17166.857142857141</v>
      </c>
    </row>
    <row r="12" spans="1:11" ht="15.75" thickBot="1" x14ac:dyDescent="0.3">
      <c r="A12" s="25" t="s">
        <v>116</v>
      </c>
      <c r="B12" s="26" t="s">
        <v>111</v>
      </c>
      <c r="C12" s="26" t="s">
        <v>117</v>
      </c>
      <c r="D12" s="27" t="s">
        <v>113</v>
      </c>
      <c r="G12" s="73" t="s">
        <v>182</v>
      </c>
      <c r="H12" s="78">
        <v>50</v>
      </c>
      <c r="I12" s="76">
        <f>D77*3</f>
        <v>19028.571428571428</v>
      </c>
      <c r="J12" s="76">
        <f>I12*1.2</f>
        <v>22834.285714285714</v>
      </c>
    </row>
    <row r="13" spans="1:11" x14ac:dyDescent="0.25">
      <c r="A13" s="28" t="s">
        <v>130</v>
      </c>
      <c r="B13" s="29">
        <f>(60/$H$6)*$B$3</f>
        <v>1.2000000000000002</v>
      </c>
      <c r="C13" s="31">
        <v>65</v>
      </c>
      <c r="D13" s="32">
        <f>C13*B13</f>
        <v>78.000000000000014</v>
      </c>
      <c r="G13" s="70"/>
      <c r="H13" s="70"/>
      <c r="I13" s="70"/>
    </row>
    <row r="14" spans="1:11" x14ac:dyDescent="0.25">
      <c r="A14" s="28" t="s">
        <v>131</v>
      </c>
      <c r="B14" s="29">
        <f>(60/$H$6)*$B$3</f>
        <v>1.2000000000000002</v>
      </c>
      <c r="C14" s="31">
        <v>65</v>
      </c>
      <c r="D14" s="32">
        <f>C14*B14</f>
        <v>78.000000000000014</v>
      </c>
      <c r="G14" s="160" t="s">
        <v>110</v>
      </c>
      <c r="H14" s="82" t="s">
        <v>111</v>
      </c>
    </row>
    <row r="15" spans="1:11" ht="15.75" thickBot="1" x14ac:dyDescent="0.3">
      <c r="A15" s="28" t="s">
        <v>132</v>
      </c>
      <c r="B15" s="29">
        <f>(60/$H$6)*$B$3</f>
        <v>1.2000000000000002</v>
      </c>
      <c r="C15" s="31">
        <v>65</v>
      </c>
      <c r="D15" s="32">
        <f>C15*B15</f>
        <v>78.000000000000014</v>
      </c>
      <c r="G15" s="161" t="s">
        <v>120</v>
      </c>
      <c r="H15" s="82">
        <f>0.12/6</f>
        <v>0.02</v>
      </c>
    </row>
    <row r="16" spans="1:11" ht="15.75" thickBot="1" x14ac:dyDescent="0.3">
      <c r="A16" s="34" t="s">
        <v>118</v>
      </c>
      <c r="B16" s="39"/>
      <c r="C16" s="39"/>
      <c r="D16" s="40">
        <f>D13+D14+D15</f>
        <v>234.00000000000006</v>
      </c>
      <c r="G16" s="161" t="s">
        <v>128</v>
      </c>
      <c r="H16" s="82">
        <f>0.01</f>
        <v>0.01</v>
      </c>
    </row>
    <row r="17" spans="1:8" ht="15.75" thickBot="1" x14ac:dyDescent="0.3">
      <c r="A17" s="25" t="s">
        <v>119</v>
      </c>
      <c r="B17" s="35"/>
      <c r="C17" s="35"/>
      <c r="D17" s="41">
        <f>D9+D16</f>
        <v>964.74285714285725</v>
      </c>
      <c r="E17" s="30"/>
      <c r="G17" s="161" t="s">
        <v>127</v>
      </c>
      <c r="H17" s="82">
        <f>0.0006</f>
        <v>5.9999999999999995E-4</v>
      </c>
    </row>
    <row r="18" spans="1:8" x14ac:dyDescent="0.25">
      <c r="G18" s="30"/>
    </row>
    <row r="20" spans="1:8" ht="15.75" thickBot="1" x14ac:dyDescent="0.3"/>
    <row r="21" spans="1:8" ht="15.75" thickBot="1" x14ac:dyDescent="0.3">
      <c r="A21" s="242" t="s">
        <v>108</v>
      </c>
      <c r="B21" s="261"/>
      <c r="C21" s="261"/>
      <c r="D21" s="243"/>
    </row>
    <row r="22" spans="1:8" ht="15.75" thickBot="1" x14ac:dyDescent="0.3">
      <c r="A22" s="244" t="s">
        <v>133</v>
      </c>
      <c r="B22" s="260"/>
      <c r="C22" s="260"/>
      <c r="D22" s="245"/>
    </row>
    <row r="23" spans="1:8" ht="15.75" thickBot="1" x14ac:dyDescent="0.3">
      <c r="A23" s="45" t="s">
        <v>95</v>
      </c>
      <c r="B23" s="42">
        <v>12</v>
      </c>
      <c r="C23" s="44" t="s">
        <v>126</v>
      </c>
      <c r="D23" s="43"/>
    </row>
    <row r="24" spans="1:8" ht="15.75" thickBot="1" x14ac:dyDescent="0.3">
      <c r="A24" s="25" t="s">
        <v>110</v>
      </c>
      <c r="B24" s="26" t="s">
        <v>111</v>
      </c>
      <c r="C24" s="26" t="s">
        <v>112</v>
      </c>
      <c r="D24" s="27" t="s">
        <v>113</v>
      </c>
    </row>
    <row r="25" spans="1:8" x14ac:dyDescent="0.25">
      <c r="A25" s="28" t="s">
        <v>120</v>
      </c>
      <c r="B25" s="29">
        <v>0.24</v>
      </c>
      <c r="C25" s="48">
        <f>$J$2</f>
        <v>2720</v>
      </c>
      <c r="D25" s="32">
        <f>C25*B25</f>
        <v>652.79999999999995</v>
      </c>
    </row>
    <row r="26" spans="1:8" x14ac:dyDescent="0.25">
      <c r="A26" s="28" t="s">
        <v>128</v>
      </c>
      <c r="B26" s="29">
        <f>0.01*$B$23</f>
        <v>0.12</v>
      </c>
      <c r="C26" s="48">
        <f>$J$4</f>
        <v>4285.7142857142853</v>
      </c>
      <c r="D26" s="32">
        <f>C26*B26</f>
        <v>514.28571428571422</v>
      </c>
    </row>
    <row r="27" spans="1:8" x14ac:dyDescent="0.25">
      <c r="A27" s="28" t="s">
        <v>127</v>
      </c>
      <c r="B27" s="29">
        <f>0.0006*$B$23</f>
        <v>7.1999999999999998E-3</v>
      </c>
      <c r="C27" s="48">
        <f>$J$3</f>
        <v>2000</v>
      </c>
      <c r="D27" s="32">
        <f>C27*B27</f>
        <v>14.4</v>
      </c>
    </row>
    <row r="28" spans="1:8" ht="15.75" thickBot="1" x14ac:dyDescent="0.3">
      <c r="A28" s="28" t="s">
        <v>114</v>
      </c>
      <c r="B28" s="26">
        <v>1</v>
      </c>
      <c r="C28" s="53">
        <v>140</v>
      </c>
      <c r="D28" s="32">
        <f>C28*B28</f>
        <v>140</v>
      </c>
    </row>
    <row r="29" spans="1:8" ht="15.75" thickBot="1" x14ac:dyDescent="0.3">
      <c r="A29" s="34" t="s">
        <v>115</v>
      </c>
      <c r="B29" s="35"/>
      <c r="C29" s="35"/>
      <c r="D29" s="36">
        <f>SUM(D25:D28)</f>
        <v>1321.4857142857143</v>
      </c>
    </row>
    <row r="30" spans="1:8" x14ac:dyDescent="0.25">
      <c r="A30" s="37"/>
      <c r="B30" s="29"/>
      <c r="C30" s="29"/>
      <c r="D30" s="38"/>
    </row>
    <row r="31" spans="1:8" x14ac:dyDescent="0.25">
      <c r="A31" s="37"/>
      <c r="B31" s="29"/>
      <c r="C31" s="29"/>
      <c r="D31" s="38"/>
    </row>
    <row r="32" spans="1:8" ht="15.75" thickBot="1" x14ac:dyDescent="0.3">
      <c r="A32" s="25" t="s">
        <v>116</v>
      </c>
      <c r="B32" s="26" t="s">
        <v>111</v>
      </c>
      <c r="C32" s="26" t="s">
        <v>117</v>
      </c>
      <c r="D32" s="27" t="s">
        <v>113</v>
      </c>
    </row>
    <row r="33" spans="1:5" x14ac:dyDescent="0.25">
      <c r="A33" s="28" t="s">
        <v>130</v>
      </c>
      <c r="B33" s="29">
        <f>(60/$H$6)*$B$23</f>
        <v>2.4000000000000004</v>
      </c>
      <c r="C33" s="31">
        <v>65</v>
      </c>
      <c r="D33" s="32">
        <f>C33*B33</f>
        <v>156.00000000000003</v>
      </c>
    </row>
    <row r="34" spans="1:5" x14ac:dyDescent="0.25">
      <c r="A34" s="28" t="s">
        <v>131</v>
      </c>
      <c r="B34" s="29">
        <f>(60/$H$6)*$B$23</f>
        <v>2.4000000000000004</v>
      </c>
      <c r="C34" s="31">
        <v>65</v>
      </c>
      <c r="D34" s="32">
        <f>C34*B34</f>
        <v>156.00000000000003</v>
      </c>
    </row>
    <row r="35" spans="1:5" ht="15.75" thickBot="1" x14ac:dyDescent="0.3">
      <c r="A35" s="28" t="s">
        <v>132</v>
      </c>
      <c r="B35" s="29">
        <f>(60/$H$6)*$B$23</f>
        <v>2.4000000000000004</v>
      </c>
      <c r="C35" s="31">
        <v>65</v>
      </c>
      <c r="D35" s="32">
        <f>C35*B35</f>
        <v>156.00000000000003</v>
      </c>
    </row>
    <row r="36" spans="1:5" ht="15.75" thickBot="1" x14ac:dyDescent="0.3">
      <c r="A36" s="34" t="s">
        <v>118</v>
      </c>
      <c r="B36" s="39"/>
      <c r="C36" s="39"/>
      <c r="D36" s="40">
        <f>D33+D34+D35</f>
        <v>468.00000000000011</v>
      </c>
    </row>
    <row r="37" spans="1:5" ht="15.75" thickBot="1" x14ac:dyDescent="0.3">
      <c r="A37" s="25" t="s">
        <v>119</v>
      </c>
      <c r="B37" s="35"/>
      <c r="C37" s="35"/>
      <c r="D37" s="41">
        <f>D29+D36</f>
        <v>1789.4857142857145</v>
      </c>
      <c r="E37" s="30"/>
    </row>
    <row r="40" spans="1:5" ht="15.75" thickBot="1" x14ac:dyDescent="0.3"/>
    <row r="41" spans="1:5" ht="15.75" thickBot="1" x14ac:dyDescent="0.3">
      <c r="A41" s="242" t="s">
        <v>108</v>
      </c>
      <c r="B41" s="261"/>
      <c r="C41" s="261"/>
      <c r="D41" s="243"/>
    </row>
    <row r="42" spans="1:5" ht="15.75" thickBot="1" x14ac:dyDescent="0.3">
      <c r="A42" s="244" t="s">
        <v>135</v>
      </c>
      <c r="B42" s="260"/>
      <c r="C42" s="260"/>
      <c r="D42" s="245"/>
    </row>
    <row r="43" spans="1:5" ht="15.75" thickBot="1" x14ac:dyDescent="0.3">
      <c r="A43" s="45" t="s">
        <v>95</v>
      </c>
      <c r="B43" s="42">
        <v>25</v>
      </c>
      <c r="C43" s="44" t="s">
        <v>126</v>
      </c>
      <c r="D43" s="43"/>
    </row>
    <row r="44" spans="1:5" ht="15.75" thickBot="1" x14ac:dyDescent="0.3">
      <c r="A44" s="25" t="s">
        <v>110</v>
      </c>
      <c r="B44" s="26" t="s">
        <v>111</v>
      </c>
      <c r="C44" s="26" t="s">
        <v>112</v>
      </c>
      <c r="D44" s="27" t="s">
        <v>113</v>
      </c>
    </row>
    <row r="45" spans="1:5" x14ac:dyDescent="0.25">
      <c r="A45" s="28" t="s">
        <v>120</v>
      </c>
      <c r="B45" s="29">
        <v>0.5</v>
      </c>
      <c r="C45" s="48">
        <f>$J$2</f>
        <v>2720</v>
      </c>
      <c r="D45" s="32">
        <f>C45*B45</f>
        <v>1360</v>
      </c>
    </row>
    <row r="46" spans="1:5" x14ac:dyDescent="0.25">
      <c r="A46" s="28" t="s">
        <v>128</v>
      </c>
      <c r="B46" s="29">
        <f>0.01*$B$43</f>
        <v>0.25</v>
      </c>
      <c r="C46" s="48">
        <f>$J$4</f>
        <v>4285.7142857142853</v>
      </c>
      <c r="D46" s="32">
        <f>C46*B46</f>
        <v>1071.4285714285713</v>
      </c>
    </row>
    <row r="47" spans="1:5" x14ac:dyDescent="0.25">
      <c r="A47" s="28" t="s">
        <v>127</v>
      </c>
      <c r="B47" s="29">
        <f>0.0006*$B$43</f>
        <v>1.4999999999999999E-2</v>
      </c>
      <c r="C47" s="48">
        <f>$J$3</f>
        <v>2000</v>
      </c>
      <c r="D47" s="32">
        <f>C47*B47</f>
        <v>30</v>
      </c>
    </row>
    <row r="48" spans="1:5" ht="15.75" thickBot="1" x14ac:dyDescent="0.3">
      <c r="A48" s="28" t="s">
        <v>114</v>
      </c>
      <c r="B48" s="26">
        <v>1</v>
      </c>
      <c r="C48" s="53">
        <v>140</v>
      </c>
      <c r="D48" s="32">
        <f>C48*B48</f>
        <v>140</v>
      </c>
    </row>
    <row r="49" spans="1:14" ht="15.75" thickBot="1" x14ac:dyDescent="0.3">
      <c r="A49" s="34" t="s">
        <v>115</v>
      </c>
      <c r="B49" s="35"/>
      <c r="C49" s="35"/>
      <c r="D49" s="36">
        <f>SUM(D45:D48)</f>
        <v>2601.4285714285716</v>
      </c>
    </row>
    <row r="50" spans="1:14" x14ac:dyDescent="0.25">
      <c r="A50" s="37"/>
      <c r="B50" s="29"/>
      <c r="C50" s="29"/>
      <c r="D50" s="38"/>
    </row>
    <row r="51" spans="1:14" x14ac:dyDescent="0.25">
      <c r="A51" s="37"/>
      <c r="B51" s="29"/>
      <c r="C51" s="29"/>
      <c r="D51" s="38"/>
    </row>
    <row r="52" spans="1:14" ht="15.75" thickBot="1" x14ac:dyDescent="0.3">
      <c r="A52" s="25" t="s">
        <v>116</v>
      </c>
      <c r="B52" s="26" t="s">
        <v>111</v>
      </c>
      <c r="C52" s="26" t="s">
        <v>117</v>
      </c>
      <c r="D52" s="27" t="s">
        <v>113</v>
      </c>
    </row>
    <row r="53" spans="1:14" x14ac:dyDescent="0.25">
      <c r="A53" s="28" t="s">
        <v>130</v>
      </c>
      <c r="B53" s="29">
        <f>(60/$H$6)*$B$43</f>
        <v>5</v>
      </c>
      <c r="C53" s="31">
        <v>65</v>
      </c>
      <c r="D53" s="32">
        <f>C53*B53</f>
        <v>325</v>
      </c>
    </row>
    <row r="54" spans="1:14" x14ac:dyDescent="0.25">
      <c r="A54" s="28" t="s">
        <v>131</v>
      </c>
      <c r="B54" s="29">
        <f>(60/$H$6)*$B$43</f>
        <v>5</v>
      </c>
      <c r="C54" s="31">
        <v>65</v>
      </c>
      <c r="D54" s="32">
        <f>C54*B54</f>
        <v>325</v>
      </c>
    </row>
    <row r="55" spans="1:14" ht="15.75" thickBot="1" x14ac:dyDescent="0.3">
      <c r="A55" s="28" t="s">
        <v>132</v>
      </c>
      <c r="B55" s="29">
        <f>(60/$H$6)*$B$43</f>
        <v>5</v>
      </c>
      <c r="C55" s="31">
        <v>65</v>
      </c>
      <c r="D55" s="32">
        <f>C55*B55</f>
        <v>325</v>
      </c>
      <c r="J55" s="176">
        <v>731</v>
      </c>
      <c r="K55" s="175">
        <f>J55*5%+J55</f>
        <v>767.55</v>
      </c>
      <c r="L55" s="175">
        <f t="shared" ref="L55:M55" si="0">K55*5%+K55</f>
        <v>805.92750000000001</v>
      </c>
      <c r="M55" s="175">
        <f t="shared" si="0"/>
        <v>846.22387500000002</v>
      </c>
      <c r="N55" s="175">
        <f>M55*5%+M55</f>
        <v>888.53506875000005</v>
      </c>
    </row>
    <row r="56" spans="1:14" ht="15.75" thickBot="1" x14ac:dyDescent="0.3">
      <c r="A56" s="34" t="s">
        <v>118</v>
      </c>
      <c r="B56" s="39"/>
      <c r="C56" s="39"/>
      <c r="D56" s="40">
        <f>D53+D54+D55</f>
        <v>975</v>
      </c>
      <c r="J56" s="176">
        <v>1321</v>
      </c>
      <c r="K56" s="175">
        <f t="shared" ref="K56:N57" si="1">J56*5%+J56</f>
        <v>1387.05</v>
      </c>
      <c r="L56" s="175">
        <f t="shared" si="1"/>
        <v>1456.4024999999999</v>
      </c>
      <c r="M56" s="175">
        <f t="shared" si="1"/>
        <v>1529.2226249999999</v>
      </c>
      <c r="N56" s="175">
        <f t="shared" si="1"/>
        <v>1605.68375625</v>
      </c>
    </row>
    <row r="57" spans="1:14" ht="15.75" thickBot="1" x14ac:dyDescent="0.3">
      <c r="A57" s="25" t="s">
        <v>119</v>
      </c>
      <c r="B57" s="35"/>
      <c r="C57" s="35"/>
      <c r="D57" s="41">
        <f>D49+D56</f>
        <v>3576.4285714285716</v>
      </c>
      <c r="E57" s="30"/>
      <c r="J57" s="176">
        <v>2601</v>
      </c>
      <c r="K57" s="175">
        <f t="shared" si="1"/>
        <v>2731.05</v>
      </c>
      <c r="L57" s="175">
        <f t="shared" si="1"/>
        <v>2867.6025</v>
      </c>
      <c r="M57" s="175">
        <f t="shared" si="1"/>
        <v>3010.9826250000001</v>
      </c>
      <c r="N57" s="175">
        <f t="shared" si="1"/>
        <v>3161.5317562499999</v>
      </c>
    </row>
    <row r="58" spans="1:14" x14ac:dyDescent="0.25">
      <c r="A58" s="50"/>
      <c r="B58" s="51"/>
      <c r="C58" s="51"/>
      <c r="D58" s="52"/>
    </row>
    <row r="59" spans="1:14" x14ac:dyDescent="0.25">
      <c r="A59" s="50"/>
      <c r="B59" s="51"/>
      <c r="C59" s="51"/>
      <c r="D59" s="52"/>
    </row>
    <row r="60" spans="1:14" ht="15.75" thickBot="1" x14ac:dyDescent="0.3"/>
    <row r="61" spans="1:14" ht="15.75" thickBot="1" x14ac:dyDescent="0.3">
      <c r="A61" s="242" t="s">
        <v>134</v>
      </c>
      <c r="B61" s="261"/>
      <c r="C61" s="261"/>
      <c r="D61" s="243"/>
    </row>
    <row r="62" spans="1:14" ht="15.75" thickBot="1" x14ac:dyDescent="0.3">
      <c r="A62" s="244" t="s">
        <v>253</v>
      </c>
      <c r="B62" s="260"/>
      <c r="C62" s="260"/>
      <c r="D62" s="245"/>
    </row>
    <row r="63" spans="1:14" ht="15.75" thickBot="1" x14ac:dyDescent="0.3">
      <c r="A63" s="45" t="s">
        <v>95</v>
      </c>
      <c r="B63" s="42">
        <v>50</v>
      </c>
      <c r="C63" s="44" t="s">
        <v>126</v>
      </c>
      <c r="D63" s="43"/>
    </row>
    <row r="64" spans="1:14" ht="15.75" thickBot="1" x14ac:dyDescent="0.3">
      <c r="A64" s="25" t="s">
        <v>110</v>
      </c>
      <c r="B64" s="26" t="s">
        <v>111</v>
      </c>
      <c r="C64" s="26" t="s">
        <v>112</v>
      </c>
      <c r="D64" s="27" t="s">
        <v>113</v>
      </c>
    </row>
    <row r="65" spans="1:5" x14ac:dyDescent="0.25">
      <c r="A65" s="28" t="s">
        <v>120</v>
      </c>
      <c r="B65" s="29">
        <v>1</v>
      </c>
      <c r="C65" s="48">
        <f>$J$2</f>
        <v>2720</v>
      </c>
      <c r="D65" s="32">
        <f>C65*B65</f>
        <v>2720</v>
      </c>
    </row>
    <row r="66" spans="1:5" x14ac:dyDescent="0.25">
      <c r="A66" s="28" t="s">
        <v>128</v>
      </c>
      <c r="B66" s="29">
        <f>0.01*$B$63</f>
        <v>0.5</v>
      </c>
      <c r="C66" s="48">
        <f>$J$4</f>
        <v>4285.7142857142853</v>
      </c>
      <c r="D66" s="32">
        <f>C66*B66</f>
        <v>2142.8571428571427</v>
      </c>
    </row>
    <row r="67" spans="1:5" x14ac:dyDescent="0.25">
      <c r="A67" s="28" t="s">
        <v>127</v>
      </c>
      <c r="B67" s="29">
        <f>0.0006*$B$63</f>
        <v>0.03</v>
      </c>
      <c r="C67" s="48">
        <f>$J$3</f>
        <v>2000</v>
      </c>
      <c r="D67" s="32">
        <f>C67*B67</f>
        <v>60</v>
      </c>
    </row>
    <row r="68" spans="1:5" ht="15.75" thickBot="1" x14ac:dyDescent="0.3">
      <c r="A68" s="28" t="s">
        <v>114</v>
      </c>
      <c r="B68" s="26">
        <v>1</v>
      </c>
      <c r="C68" s="33">
        <v>160</v>
      </c>
      <c r="D68" s="32">
        <f>C68*B68</f>
        <v>160</v>
      </c>
    </row>
    <row r="69" spans="1:5" ht="15.75" thickBot="1" x14ac:dyDescent="0.3">
      <c r="A69" s="34" t="s">
        <v>115</v>
      </c>
      <c r="B69" s="35"/>
      <c r="C69" s="35"/>
      <c r="D69" s="36">
        <f>SUM(D65:D68)</f>
        <v>5082.8571428571431</v>
      </c>
    </row>
    <row r="70" spans="1:5" x14ac:dyDescent="0.25">
      <c r="A70" s="37"/>
      <c r="B70" s="29"/>
      <c r="C70" s="29"/>
      <c r="D70" s="38"/>
    </row>
    <row r="71" spans="1:5" x14ac:dyDescent="0.25">
      <c r="A71" s="37"/>
      <c r="B71" s="29"/>
      <c r="C71" s="29"/>
      <c r="D71" s="38"/>
    </row>
    <row r="72" spans="1:5" ht="15.75" thickBot="1" x14ac:dyDescent="0.3">
      <c r="A72" s="25" t="s">
        <v>116</v>
      </c>
      <c r="B72" s="26" t="s">
        <v>111</v>
      </c>
      <c r="C72" s="26" t="s">
        <v>117</v>
      </c>
      <c r="D72" s="27" t="s">
        <v>113</v>
      </c>
    </row>
    <row r="73" spans="1:5" x14ac:dyDescent="0.25">
      <c r="A73" s="28" t="s">
        <v>130</v>
      </c>
      <c r="B73" s="29">
        <f>(60/$H$6)*$B$63</f>
        <v>10</v>
      </c>
      <c r="C73" s="31">
        <v>42</v>
      </c>
      <c r="D73" s="32">
        <f>C73*B73</f>
        <v>420</v>
      </c>
    </row>
    <row r="74" spans="1:5" x14ac:dyDescent="0.25">
      <c r="A74" s="28" t="s">
        <v>131</v>
      </c>
      <c r="B74" s="29">
        <f>(60/$H$6)*$B$63</f>
        <v>10</v>
      </c>
      <c r="C74" s="31">
        <v>42</v>
      </c>
      <c r="D74" s="32">
        <f>C74*B74</f>
        <v>420</v>
      </c>
    </row>
    <row r="75" spans="1:5" ht="15.75" thickBot="1" x14ac:dyDescent="0.3">
      <c r="A75" s="28" t="s">
        <v>132</v>
      </c>
      <c r="B75" s="29">
        <f>(60/$H$6)*$B$63</f>
        <v>10</v>
      </c>
      <c r="C75" s="31">
        <v>42</v>
      </c>
      <c r="D75" s="32">
        <f>C75*B75</f>
        <v>420</v>
      </c>
    </row>
    <row r="76" spans="1:5" ht="15.75" thickBot="1" x14ac:dyDescent="0.3">
      <c r="A76" s="34" t="s">
        <v>118</v>
      </c>
      <c r="B76" s="39"/>
      <c r="C76" s="39"/>
      <c r="D76" s="40">
        <f>D73+D74+D75</f>
        <v>1260</v>
      </c>
    </row>
    <row r="77" spans="1:5" ht="15.75" thickBot="1" x14ac:dyDescent="0.3">
      <c r="A77" s="25" t="s">
        <v>119</v>
      </c>
      <c r="B77" s="35"/>
      <c r="C77" s="35"/>
      <c r="D77" s="41">
        <f>D69+D76</f>
        <v>6342.8571428571431</v>
      </c>
      <c r="E77" s="30"/>
    </row>
  </sheetData>
  <mergeCells count="8">
    <mergeCell ref="A62:D62"/>
    <mergeCell ref="A41:D41"/>
    <mergeCell ref="A42:D42"/>
    <mergeCell ref="A1:D1"/>
    <mergeCell ref="A2:D2"/>
    <mergeCell ref="A21:D21"/>
    <mergeCell ref="A22:D22"/>
    <mergeCell ref="A61:D61"/>
  </mergeCells>
  <dataValidations count="3">
    <dataValidation allowBlank="1" showInputMessage="1" showErrorMessage="1" promptTitle="Costo Prom. Materia Prima" prompt="Valor del Costo Promedio Unitario de Materia Prima Producto 3" sqref="J57"/>
    <dataValidation allowBlank="1" showInputMessage="1" showErrorMessage="1" promptTitle="Costo Prom. Materia Prima" prompt="Valor del Costo Promedio Unitario de Materia Prima Producto 2" sqref="J56"/>
    <dataValidation allowBlank="1" showInputMessage="1" showErrorMessage="1" promptTitle="Costo Prom. Materia Prima" prompt="Valor del Costo Promedio Unitario de Materia Prima Producto 1" sqref="J55"/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opLeftCell="A7" workbookViewId="0">
      <selection activeCell="J26" sqref="J26"/>
    </sheetView>
  </sheetViews>
  <sheetFormatPr baseColWidth="10" defaultRowHeight="15" x14ac:dyDescent="0.25"/>
  <cols>
    <col min="1" max="1" width="20.28515625" customWidth="1"/>
    <col min="3" max="3" width="16.85546875" customWidth="1"/>
  </cols>
  <sheetData>
    <row r="1" spans="1:7" x14ac:dyDescent="0.25">
      <c r="A1" s="137" t="s">
        <v>195</v>
      </c>
      <c r="B1" s="137" t="s">
        <v>196</v>
      </c>
      <c r="C1" s="137" t="s">
        <v>248</v>
      </c>
      <c r="D1" s="137" t="s">
        <v>197</v>
      </c>
      <c r="E1" s="137" t="s">
        <v>198</v>
      </c>
      <c r="F1" s="137" t="s">
        <v>199</v>
      </c>
      <c r="G1" s="137" t="s">
        <v>200</v>
      </c>
    </row>
    <row r="2" spans="1:7" x14ac:dyDescent="0.25">
      <c r="A2" s="93" t="s">
        <v>246</v>
      </c>
      <c r="B2" s="93" t="s">
        <v>201</v>
      </c>
      <c r="C2" s="93">
        <v>20</v>
      </c>
      <c r="D2" s="93">
        <v>890</v>
      </c>
      <c r="E2" s="93" t="s">
        <v>202</v>
      </c>
      <c r="F2" s="93" t="s">
        <v>203</v>
      </c>
      <c r="G2" s="93" t="s">
        <v>204</v>
      </c>
    </row>
    <row r="3" spans="1:7" x14ac:dyDescent="0.25">
      <c r="A3" s="82" t="s">
        <v>247</v>
      </c>
      <c r="B3" s="136" t="s">
        <v>201</v>
      </c>
      <c r="C3" s="136">
        <v>30</v>
      </c>
      <c r="D3" s="136"/>
      <c r="E3" s="136"/>
      <c r="F3" s="136"/>
      <c r="G3" s="13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F15" sqref="F15"/>
    </sheetView>
  </sheetViews>
  <sheetFormatPr baseColWidth="10" defaultRowHeight="15" x14ac:dyDescent="0.25"/>
  <cols>
    <col min="2" max="2" width="23.85546875" customWidth="1"/>
    <col min="3" max="3" width="23.42578125" customWidth="1"/>
    <col min="4" max="4" width="25.140625" customWidth="1"/>
  </cols>
  <sheetData>
    <row r="1" spans="1:4" x14ac:dyDescent="0.25">
      <c r="A1" s="55" t="s">
        <v>71</v>
      </c>
      <c r="B1" s="55" t="s">
        <v>72</v>
      </c>
      <c r="C1" s="55" t="s">
        <v>73</v>
      </c>
      <c r="D1" s="55" t="s">
        <v>74</v>
      </c>
    </row>
    <row r="2" spans="1:4" ht="48" x14ac:dyDescent="0.25">
      <c r="A2" s="262" t="s">
        <v>60</v>
      </c>
      <c r="B2" s="13" t="s">
        <v>61</v>
      </c>
      <c r="C2" s="262" t="s">
        <v>75</v>
      </c>
      <c r="D2" s="262" t="s">
        <v>63</v>
      </c>
    </row>
    <row r="3" spans="1:4" x14ac:dyDescent="0.25">
      <c r="A3" s="262"/>
      <c r="B3" s="263" t="s">
        <v>62</v>
      </c>
      <c r="C3" s="262"/>
      <c r="D3" s="262"/>
    </row>
    <row r="4" spans="1:4" x14ac:dyDescent="0.25">
      <c r="A4" s="262"/>
      <c r="B4" s="264"/>
      <c r="C4" s="262"/>
      <c r="D4" s="262"/>
    </row>
    <row r="5" spans="1:4" x14ac:dyDescent="0.25">
      <c r="A5" s="262"/>
      <c r="B5" s="265"/>
      <c r="C5" s="262"/>
      <c r="D5" s="262"/>
    </row>
    <row r="6" spans="1:4" ht="60" x14ac:dyDescent="0.25">
      <c r="A6" s="13" t="s">
        <v>64</v>
      </c>
      <c r="B6" s="13" t="s">
        <v>62</v>
      </c>
      <c r="C6" s="13" t="s">
        <v>175</v>
      </c>
      <c r="D6" s="13"/>
    </row>
    <row r="7" spans="1:4" ht="36" x14ac:dyDescent="0.25">
      <c r="A7" s="13" t="s">
        <v>65</v>
      </c>
      <c r="B7" s="13" t="s">
        <v>69</v>
      </c>
      <c r="C7" s="13" t="s">
        <v>70</v>
      </c>
      <c r="D7" s="13"/>
    </row>
    <row r="8" spans="1:4" ht="60" x14ac:dyDescent="0.25">
      <c r="A8" s="13" t="s">
        <v>66</v>
      </c>
      <c r="B8" s="13" t="s">
        <v>67</v>
      </c>
      <c r="C8" s="13" t="s">
        <v>68</v>
      </c>
      <c r="D8" s="13"/>
    </row>
  </sheetData>
  <mergeCells count="4">
    <mergeCell ref="A2:A5"/>
    <mergeCell ref="C2:C5"/>
    <mergeCell ref="D2:D5"/>
    <mergeCell ref="B3:B5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C6" sqref="C6"/>
    </sheetView>
  </sheetViews>
  <sheetFormatPr baseColWidth="10" defaultRowHeight="15" x14ac:dyDescent="0.25"/>
  <cols>
    <col min="1" max="1" width="21.28515625" bestFit="1" customWidth="1"/>
    <col min="3" max="3" width="14.140625" bestFit="1" customWidth="1"/>
    <col min="4" max="4" width="13.28515625" bestFit="1" customWidth="1"/>
    <col min="6" max="6" width="12.28515625" bestFit="1" customWidth="1"/>
  </cols>
  <sheetData>
    <row r="2" spans="1:6" x14ac:dyDescent="0.25">
      <c r="A2" t="s">
        <v>212</v>
      </c>
    </row>
    <row r="3" spans="1:6" x14ac:dyDescent="0.25">
      <c r="A3" t="s">
        <v>211</v>
      </c>
      <c r="C3" s="6">
        <f>'Salarios y carga Prestacional '!D32</f>
        <v>50062124</v>
      </c>
    </row>
    <row r="4" spans="1:6" x14ac:dyDescent="0.25">
      <c r="A4" t="s">
        <v>213</v>
      </c>
      <c r="C4" s="95">
        <f>'Proyeccion de ventas'!Q17</f>
        <v>16974813.006299999</v>
      </c>
    </row>
    <row r="5" spans="1:6" x14ac:dyDescent="0.25">
      <c r="A5" t="s">
        <v>214</v>
      </c>
      <c r="C5" s="6" t="e">
        <f>'Gastos anuales de Admin'!#REF!</f>
        <v>#REF!</v>
      </c>
    </row>
    <row r="6" spans="1:6" x14ac:dyDescent="0.25">
      <c r="A6" t="s">
        <v>215</v>
      </c>
      <c r="C6">
        <f>'Mezcla de Mercado'!B12</f>
        <v>4825000</v>
      </c>
    </row>
    <row r="7" spans="1:6" x14ac:dyDescent="0.25">
      <c r="A7" s="111" t="s">
        <v>216</v>
      </c>
      <c r="B7" s="111"/>
      <c r="C7" s="112" t="e">
        <f>SUM(C3:C6)</f>
        <v>#REF!</v>
      </c>
    </row>
    <row r="8" spans="1:6" x14ac:dyDescent="0.25">
      <c r="A8" s="110" t="s">
        <v>217</v>
      </c>
      <c r="B8" s="110"/>
      <c r="C8" s="110"/>
      <c r="D8" s="113" t="e">
        <f>'Proyeccion de ventas'!#REF!</f>
        <v>#REF!</v>
      </c>
    </row>
    <row r="10" spans="1:6" x14ac:dyDescent="0.25">
      <c r="F10" s="30" t="e">
        <f>D8-C7</f>
        <v>#REF!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L1" sqref="L1:P1"/>
    </sheetView>
  </sheetViews>
  <sheetFormatPr baseColWidth="10" defaultRowHeight="15" x14ac:dyDescent="0.25"/>
  <cols>
    <col min="1" max="1" width="6.28515625" customWidth="1"/>
    <col min="2" max="2" width="7.42578125" customWidth="1"/>
    <col min="3" max="3" width="43.140625" customWidth="1"/>
    <col min="4" max="4" width="6.5703125" bestFit="1" customWidth="1"/>
    <col min="5" max="5" width="4.5703125" bestFit="1" customWidth="1"/>
    <col min="6" max="6" width="12" bestFit="1" customWidth="1"/>
    <col min="7" max="7" width="16.42578125" bestFit="1" customWidth="1"/>
    <col min="8" max="8" width="13.5703125" bestFit="1" customWidth="1"/>
    <col min="10" max="10" width="9.5703125" bestFit="1" customWidth="1"/>
    <col min="16" max="16" width="13.140625" bestFit="1" customWidth="1"/>
  </cols>
  <sheetData>
    <row r="1" spans="1:16" x14ac:dyDescent="0.25">
      <c r="A1" s="86" t="s">
        <v>218</v>
      </c>
      <c r="B1" s="86" t="s">
        <v>219</v>
      </c>
      <c r="C1" s="86" t="s">
        <v>220</v>
      </c>
      <c r="D1" s="86" t="s">
        <v>221</v>
      </c>
      <c r="E1" s="86" t="s">
        <v>222</v>
      </c>
      <c r="F1" s="86" t="s">
        <v>226</v>
      </c>
      <c r="G1" s="86" t="s">
        <v>227</v>
      </c>
      <c r="H1" s="86" t="s">
        <v>232</v>
      </c>
      <c r="I1" s="86"/>
      <c r="J1" s="86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238</v>
      </c>
    </row>
    <row r="2" spans="1:16" x14ac:dyDescent="0.25">
      <c r="A2" s="86" t="s">
        <v>223</v>
      </c>
      <c r="B2" s="86">
        <v>360173</v>
      </c>
      <c r="C2" s="86" t="s">
        <v>224</v>
      </c>
      <c r="D2" s="115">
        <v>72000</v>
      </c>
      <c r="E2" s="116">
        <v>0.16</v>
      </c>
      <c r="F2" s="115">
        <v>83520</v>
      </c>
      <c r="G2" s="86">
        <v>300</v>
      </c>
      <c r="H2" s="106">
        <v>1000</v>
      </c>
      <c r="I2" s="106">
        <f>H2*G2</f>
        <v>300000</v>
      </c>
      <c r="J2" s="106">
        <f>G2/30</f>
        <v>10</v>
      </c>
      <c r="L2">
        <v>20</v>
      </c>
      <c r="M2" s="96">
        <f>L2*30</f>
        <v>600</v>
      </c>
      <c r="N2" s="49">
        <f>M2/G2</f>
        <v>2</v>
      </c>
      <c r="O2" s="96">
        <f>N2*F2</f>
        <v>167040</v>
      </c>
      <c r="P2" s="95">
        <f>M2*H2</f>
        <v>600000</v>
      </c>
    </row>
    <row r="3" spans="1:16" x14ac:dyDescent="0.25">
      <c r="A3" s="86" t="s">
        <v>223</v>
      </c>
      <c r="B3" s="86">
        <v>360102</v>
      </c>
      <c r="C3" s="86" t="s">
        <v>228</v>
      </c>
      <c r="D3" s="115">
        <v>60000</v>
      </c>
      <c r="E3" s="116">
        <v>0.16</v>
      </c>
      <c r="F3" s="115">
        <v>69600</v>
      </c>
      <c r="G3" s="86">
        <v>100</v>
      </c>
      <c r="H3" s="106">
        <v>1500</v>
      </c>
      <c r="I3" s="106">
        <f>H3*G3</f>
        <v>150000</v>
      </c>
      <c r="J3" s="106">
        <f>G3/30</f>
        <v>3.3333333333333335</v>
      </c>
      <c r="L3">
        <v>10</v>
      </c>
      <c r="M3" s="96">
        <f t="shared" ref="M3:M6" si="0">L3*30</f>
        <v>300</v>
      </c>
      <c r="N3" s="49">
        <f t="shared" ref="N3:N6" si="1">M3/G3</f>
        <v>3</v>
      </c>
      <c r="O3" s="96">
        <f t="shared" ref="O3:O6" si="2">N3*F3</f>
        <v>208800</v>
      </c>
      <c r="P3" s="95">
        <f t="shared" ref="P3:P6" si="3">M3*H3</f>
        <v>450000</v>
      </c>
    </row>
    <row r="4" spans="1:16" x14ac:dyDescent="0.25">
      <c r="A4" s="86" t="s">
        <v>223</v>
      </c>
      <c r="B4" s="86">
        <v>360103</v>
      </c>
      <c r="C4" s="86" t="s">
        <v>229</v>
      </c>
      <c r="D4" s="115">
        <v>60000</v>
      </c>
      <c r="E4" s="116">
        <v>0.16</v>
      </c>
      <c r="F4" s="115">
        <v>69600</v>
      </c>
      <c r="G4" s="86">
        <v>100</v>
      </c>
      <c r="H4" s="106">
        <v>1500</v>
      </c>
      <c r="I4" s="106">
        <f>H4*G4</f>
        <v>150000</v>
      </c>
      <c r="J4" s="106">
        <f>G4/30</f>
        <v>3.3333333333333335</v>
      </c>
      <c r="L4">
        <v>10</v>
      </c>
      <c r="M4" s="96">
        <f t="shared" si="0"/>
        <v>300</v>
      </c>
      <c r="N4" s="49">
        <f t="shared" si="1"/>
        <v>3</v>
      </c>
      <c r="O4" s="96">
        <f t="shared" si="2"/>
        <v>208800</v>
      </c>
      <c r="P4" s="95">
        <f t="shared" si="3"/>
        <v>450000</v>
      </c>
    </row>
    <row r="5" spans="1:16" x14ac:dyDescent="0.25">
      <c r="A5" s="86" t="s">
        <v>223</v>
      </c>
      <c r="B5" s="86">
        <v>360105</v>
      </c>
      <c r="C5" s="86" t="s">
        <v>230</v>
      </c>
      <c r="D5" s="115">
        <v>55000</v>
      </c>
      <c r="E5" s="116">
        <v>0.16</v>
      </c>
      <c r="F5" s="115">
        <v>63800</v>
      </c>
      <c r="G5" s="86">
        <v>100</v>
      </c>
      <c r="H5" s="106">
        <v>1000</v>
      </c>
      <c r="I5" s="106">
        <f>H5*G5</f>
        <v>100000</v>
      </c>
      <c r="J5" s="106">
        <f>G5/30</f>
        <v>3.3333333333333335</v>
      </c>
      <c r="L5">
        <v>1</v>
      </c>
      <c r="M5" s="96">
        <f t="shared" si="0"/>
        <v>30</v>
      </c>
      <c r="N5" s="49">
        <f t="shared" si="1"/>
        <v>0.3</v>
      </c>
      <c r="O5" s="96">
        <f t="shared" si="2"/>
        <v>19140</v>
      </c>
      <c r="P5" s="95">
        <f t="shared" si="3"/>
        <v>30000</v>
      </c>
    </row>
    <row r="6" spans="1:16" x14ac:dyDescent="0.25">
      <c r="A6" s="86" t="s">
        <v>223</v>
      </c>
      <c r="B6" s="86">
        <v>360100</v>
      </c>
      <c r="C6" s="86" t="s">
        <v>225</v>
      </c>
      <c r="D6" s="115">
        <v>68000</v>
      </c>
      <c r="E6" s="116">
        <v>0.16</v>
      </c>
      <c r="F6" s="115">
        <v>78880</v>
      </c>
      <c r="G6" s="86">
        <v>100</v>
      </c>
      <c r="H6" s="106">
        <v>1500</v>
      </c>
      <c r="I6" s="106">
        <f>H6*G6</f>
        <v>150000</v>
      </c>
      <c r="J6" s="106">
        <f>G6/30</f>
        <v>3.3333333333333335</v>
      </c>
      <c r="L6">
        <v>10</v>
      </c>
      <c r="M6" s="96">
        <f t="shared" si="0"/>
        <v>300</v>
      </c>
      <c r="N6" s="49">
        <f t="shared" si="1"/>
        <v>3</v>
      </c>
      <c r="O6" s="96">
        <f t="shared" si="2"/>
        <v>236640</v>
      </c>
      <c r="P6" s="95">
        <f t="shared" si="3"/>
        <v>450000</v>
      </c>
    </row>
    <row r="7" spans="1:16" x14ac:dyDescent="0.25">
      <c r="A7" s="86"/>
      <c r="B7" s="86"/>
      <c r="C7" s="117" t="s">
        <v>231</v>
      </c>
      <c r="D7" s="117"/>
      <c r="E7" s="117"/>
      <c r="F7" s="118">
        <f>SUM(F2:F6)</f>
        <v>365400</v>
      </c>
      <c r="G7" s="117"/>
      <c r="H7" s="117"/>
      <c r="I7" s="119">
        <f>SUM(I2:I6)</f>
        <v>850000</v>
      </c>
      <c r="J7" s="117"/>
      <c r="O7" s="114">
        <f>SUM(O2:O6)</f>
        <v>840420</v>
      </c>
      <c r="P7" s="121">
        <f>SUM(P2:P6)</f>
        <v>1980000</v>
      </c>
    </row>
    <row r="11" spans="1:16" x14ac:dyDescent="0.25">
      <c r="H11" s="120"/>
      <c r="O11" s="120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showGridLines="0" workbookViewId="0">
      <selection activeCell="I25" sqref="I25"/>
    </sheetView>
  </sheetViews>
  <sheetFormatPr baseColWidth="10" defaultRowHeight="15" x14ac:dyDescent="0.25"/>
  <sheetData>
    <row r="3" spans="1:6" x14ac:dyDescent="0.25">
      <c r="A3" s="124"/>
      <c r="B3" s="125"/>
      <c r="C3" s="125"/>
      <c r="D3" s="124"/>
      <c r="E3" s="124"/>
      <c r="F3" s="124"/>
    </row>
    <row r="4" spans="1:6" x14ac:dyDescent="0.25">
      <c r="A4" s="124"/>
      <c r="B4" s="126"/>
      <c r="C4" s="124"/>
      <c r="D4" s="126"/>
      <c r="E4" s="124"/>
      <c r="F4" s="124"/>
    </row>
    <row r="5" spans="1:6" x14ac:dyDescent="0.25">
      <c r="A5" s="124"/>
      <c r="B5" s="127"/>
      <c r="C5" s="124"/>
      <c r="D5" s="124"/>
      <c r="E5" s="127"/>
      <c r="F5" s="124"/>
    </row>
    <row r="6" spans="1:6" x14ac:dyDescent="0.25">
      <c r="A6" s="124"/>
      <c r="B6" s="128"/>
      <c r="C6" s="124"/>
      <c r="D6" s="124"/>
      <c r="E6" s="124"/>
      <c r="F6" s="266"/>
    </row>
    <row r="7" spans="1:6" x14ac:dyDescent="0.25">
      <c r="A7" s="124" t="s">
        <v>243</v>
      </c>
      <c r="B7" s="129"/>
      <c r="C7" s="124"/>
      <c r="D7" s="129"/>
      <c r="E7" s="124"/>
      <c r="F7" s="266"/>
    </row>
    <row r="8" spans="1:6" x14ac:dyDescent="0.25">
      <c r="A8" s="130"/>
      <c r="B8" s="131"/>
      <c r="C8" s="124"/>
      <c r="D8" s="124"/>
      <c r="E8" s="131"/>
      <c r="F8" s="266"/>
    </row>
    <row r="9" spans="1:6" x14ac:dyDescent="0.25">
      <c r="A9" s="130"/>
      <c r="B9" s="124"/>
      <c r="C9" s="124"/>
      <c r="D9" s="124"/>
      <c r="E9" s="124"/>
      <c r="F9" s="266"/>
    </row>
    <row r="10" spans="1:6" x14ac:dyDescent="0.25">
      <c r="A10" s="130"/>
      <c r="B10" s="124"/>
      <c r="C10" s="124"/>
      <c r="D10" s="124"/>
      <c r="E10" s="124"/>
      <c r="F10" s="266"/>
    </row>
    <row r="11" spans="1:6" x14ac:dyDescent="0.25">
      <c r="A11" s="130"/>
      <c r="B11" s="124"/>
      <c r="C11" s="124"/>
      <c r="D11" s="124"/>
      <c r="E11" s="124"/>
      <c r="F11" s="266"/>
    </row>
    <row r="12" spans="1:6" x14ac:dyDescent="0.25">
      <c r="A12" s="130"/>
      <c r="B12" s="124"/>
      <c r="C12" s="124"/>
      <c r="D12" s="124"/>
      <c r="E12" s="124"/>
      <c r="F12" s="266"/>
    </row>
    <row r="13" spans="1:6" x14ac:dyDescent="0.25">
      <c r="A13" s="130"/>
      <c r="B13" s="124"/>
      <c r="C13" s="124"/>
      <c r="D13" s="124"/>
      <c r="E13" s="124"/>
      <c r="F13" s="266"/>
    </row>
    <row r="14" spans="1:6" x14ac:dyDescent="0.25">
      <c r="A14" s="130"/>
      <c r="B14" s="124"/>
      <c r="C14" s="124"/>
      <c r="D14" s="124"/>
      <c r="E14" s="124"/>
      <c r="F14" s="124"/>
    </row>
  </sheetData>
  <mergeCells count="1">
    <mergeCell ref="F6:F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workbookViewId="0">
      <selection activeCell="B28" sqref="B28"/>
    </sheetView>
  </sheetViews>
  <sheetFormatPr baseColWidth="10" defaultRowHeight="15" x14ac:dyDescent="0.25"/>
  <cols>
    <col min="1" max="1" width="33" customWidth="1"/>
    <col min="2" max="2" width="13.42578125" customWidth="1"/>
  </cols>
  <sheetData>
    <row r="1" spans="1:6" x14ac:dyDescent="0.25">
      <c r="A1" s="54" t="s">
        <v>1</v>
      </c>
      <c r="B1" s="54" t="s">
        <v>22</v>
      </c>
    </row>
    <row r="2" spans="1:6" x14ac:dyDescent="0.25">
      <c r="A2" s="10" t="s">
        <v>239</v>
      </c>
      <c r="B2" s="7">
        <v>350000</v>
      </c>
    </row>
    <row r="3" spans="1:6" x14ac:dyDescent="0.25">
      <c r="A3" s="10" t="s">
        <v>23</v>
      </c>
      <c r="B3" s="7">
        <v>150000</v>
      </c>
    </row>
    <row r="4" spans="1:6" x14ac:dyDescent="0.25">
      <c r="A4" s="10" t="s">
        <v>249</v>
      </c>
      <c r="B4" s="7">
        <v>800000</v>
      </c>
    </row>
    <row r="5" spans="1:6" x14ac:dyDescent="0.25">
      <c r="A5" s="10" t="s">
        <v>240</v>
      </c>
      <c r="B5" s="7">
        <v>2114933</v>
      </c>
    </row>
    <row r="6" spans="1:6" ht="24" x14ac:dyDescent="0.25">
      <c r="A6" s="10" t="s">
        <v>25</v>
      </c>
      <c r="B6" s="7">
        <v>775700</v>
      </c>
      <c r="F6" s="6"/>
    </row>
    <row r="7" spans="1:6" x14ac:dyDescent="0.25">
      <c r="A7" s="10" t="s">
        <v>242</v>
      </c>
      <c r="B7" s="7">
        <v>2900000</v>
      </c>
      <c r="F7" s="6"/>
    </row>
    <row r="8" spans="1:6" x14ac:dyDescent="0.25">
      <c r="A8" s="11" t="s">
        <v>24</v>
      </c>
      <c r="B8" s="9">
        <f>SUM(B2:B7)</f>
        <v>7090633</v>
      </c>
    </row>
    <row r="11" spans="1:6" x14ac:dyDescent="0.25">
      <c r="B11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showGridLines="0" tabSelected="1" workbookViewId="0">
      <selection activeCell="F5" sqref="F5"/>
    </sheetView>
  </sheetViews>
  <sheetFormatPr baseColWidth="10" defaultRowHeight="15" x14ac:dyDescent="0.25"/>
  <cols>
    <col min="1" max="1" width="17.85546875" customWidth="1"/>
    <col min="2" max="2" width="17.42578125" bestFit="1" customWidth="1"/>
    <col min="3" max="3" width="18" bestFit="1" customWidth="1"/>
    <col min="4" max="4" width="13.140625" bestFit="1" customWidth="1"/>
  </cols>
  <sheetData>
    <row r="3" spans="1:4" ht="25.5" x14ac:dyDescent="0.25">
      <c r="A3" s="132"/>
      <c r="B3" s="133" t="s">
        <v>244</v>
      </c>
      <c r="C3" s="133" t="s">
        <v>244</v>
      </c>
      <c r="D3" s="267" t="s">
        <v>245</v>
      </c>
    </row>
    <row r="4" spans="1:4" x14ac:dyDescent="0.25">
      <c r="A4" s="132" t="s">
        <v>220</v>
      </c>
      <c r="B4" s="133" t="s">
        <v>255</v>
      </c>
      <c r="C4" s="133" t="s">
        <v>256</v>
      </c>
      <c r="D4" s="268"/>
    </row>
    <row r="5" spans="1:4" x14ac:dyDescent="0.25">
      <c r="A5" s="132" t="s">
        <v>254</v>
      </c>
      <c r="B5" s="133">
        <v>923</v>
      </c>
      <c r="C5" s="135">
        <v>2126769</v>
      </c>
      <c r="D5" s="134">
        <v>0.04</v>
      </c>
    </row>
    <row r="6" spans="1:4" x14ac:dyDescent="0.25">
      <c r="A6" s="132" t="s">
        <v>157</v>
      </c>
      <c r="B6" s="135">
        <v>1200</v>
      </c>
      <c r="C6" s="135">
        <v>2764800</v>
      </c>
      <c r="D6" s="134">
        <v>0.03</v>
      </c>
    </row>
    <row r="7" spans="1:4" x14ac:dyDescent="0.25">
      <c r="A7" s="132" t="s">
        <v>158</v>
      </c>
      <c r="B7" s="133"/>
      <c r="C7" s="135"/>
      <c r="D7" s="134"/>
    </row>
  </sheetData>
  <mergeCells count="1">
    <mergeCell ref="D3:D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1:O14"/>
  <sheetViews>
    <sheetView workbookViewId="0">
      <selection activeCell="K14" sqref="K14:O14"/>
    </sheetView>
  </sheetViews>
  <sheetFormatPr baseColWidth="10" defaultRowHeight="15" x14ac:dyDescent="0.25"/>
  <sheetData>
    <row r="11" spans="11:15" x14ac:dyDescent="0.25">
      <c r="K11" t="s">
        <v>303</v>
      </c>
    </row>
    <row r="14" spans="11:15" x14ac:dyDescent="0.25">
      <c r="K14">
        <v>6497366.324153251</v>
      </c>
      <c r="L14">
        <v>7095124.0259753484</v>
      </c>
      <c r="M14">
        <v>7747875.4363650819</v>
      </c>
      <c r="N14">
        <v>8460679.9765106682</v>
      </c>
      <c r="O14">
        <v>9239062.534349652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J11" sqref="J11"/>
    </sheetView>
  </sheetViews>
  <sheetFormatPr baseColWidth="10" defaultRowHeight="15" x14ac:dyDescent="0.25"/>
  <cols>
    <col min="1" max="1" width="22.42578125" customWidth="1"/>
    <col min="3" max="3" width="2.85546875" customWidth="1"/>
    <col min="5" max="8" width="12.5703125" bestFit="1" customWidth="1"/>
    <col min="9" max="13" width="13.140625" bestFit="1" customWidth="1"/>
  </cols>
  <sheetData>
    <row r="1" spans="1:12" ht="24" customHeight="1" x14ac:dyDescent="0.25">
      <c r="A1" s="233" t="s">
        <v>26</v>
      </c>
      <c r="B1" s="234"/>
    </row>
    <row r="2" spans="1:12" x14ac:dyDescent="0.25">
      <c r="A2" s="1" t="s">
        <v>1</v>
      </c>
      <c r="B2" s="78" t="s">
        <v>37</v>
      </c>
      <c r="D2" s="86" t="s">
        <v>27</v>
      </c>
      <c r="E2" s="86" t="s">
        <v>79</v>
      </c>
      <c r="F2" s="86" t="s">
        <v>80</v>
      </c>
      <c r="G2" s="86" t="s">
        <v>81</v>
      </c>
      <c r="H2" s="86" t="s">
        <v>82</v>
      </c>
    </row>
    <row r="3" spans="1:12" x14ac:dyDescent="0.25">
      <c r="A3" s="5" t="s">
        <v>28</v>
      </c>
      <c r="B3" s="87">
        <v>166666.66666666666</v>
      </c>
      <c r="D3" s="90">
        <f>B3*9</f>
        <v>1500000</v>
      </c>
      <c r="E3" s="90">
        <f>B3*12*1.04</f>
        <v>2080000</v>
      </c>
      <c r="F3" s="90">
        <f>E3*1.04</f>
        <v>2163200</v>
      </c>
      <c r="G3" s="90">
        <f t="shared" ref="G3:H3" si="0">F3*1.04</f>
        <v>2249728</v>
      </c>
      <c r="H3" s="90">
        <f t="shared" si="0"/>
        <v>2339717.1200000001</v>
      </c>
    </row>
    <row r="4" spans="1:12" x14ac:dyDescent="0.25">
      <c r="A4" s="5" t="s">
        <v>29</v>
      </c>
      <c r="B4" s="87">
        <v>31666.666666666668</v>
      </c>
      <c r="D4" s="90">
        <f t="shared" ref="D4:D8" si="1">B4*9</f>
        <v>285000</v>
      </c>
      <c r="E4" s="90">
        <f t="shared" ref="E4:E9" si="2">B4*12*1.04</f>
        <v>395200</v>
      </c>
      <c r="F4" s="90">
        <f t="shared" ref="F4:F9" si="3">E4*1.04</f>
        <v>411008</v>
      </c>
      <c r="G4" s="90">
        <f t="shared" ref="G4:H9" si="4">F4*1.04</f>
        <v>427448.32000000001</v>
      </c>
      <c r="H4" s="90">
        <f t="shared" si="4"/>
        <v>444546.25280000002</v>
      </c>
    </row>
    <row r="5" spans="1:12" x14ac:dyDescent="0.25">
      <c r="A5" s="5" t="s">
        <v>33</v>
      </c>
      <c r="B5" s="87">
        <v>133333.33333333334</v>
      </c>
      <c r="D5" s="90">
        <f t="shared" si="1"/>
        <v>1200000</v>
      </c>
      <c r="E5" s="90">
        <f t="shared" si="2"/>
        <v>1664000</v>
      </c>
      <c r="F5" s="90">
        <f t="shared" si="3"/>
        <v>1730560</v>
      </c>
      <c r="G5" s="90">
        <f t="shared" si="4"/>
        <v>1799782.4000000001</v>
      </c>
      <c r="H5" s="90">
        <f t="shared" si="4"/>
        <v>1871773.6960000002</v>
      </c>
    </row>
    <row r="6" spans="1:12" x14ac:dyDescent="0.25">
      <c r="A6" s="5" t="s">
        <v>241</v>
      </c>
      <c r="B6" s="87">
        <v>60000</v>
      </c>
      <c r="D6" s="90">
        <f t="shared" si="1"/>
        <v>540000</v>
      </c>
      <c r="E6" s="90">
        <f t="shared" si="2"/>
        <v>748800</v>
      </c>
      <c r="F6" s="90">
        <f t="shared" si="3"/>
        <v>778752</v>
      </c>
      <c r="G6" s="90">
        <f t="shared" si="4"/>
        <v>809902.08000000007</v>
      </c>
      <c r="H6" s="90">
        <f t="shared" si="4"/>
        <v>842298.16320000007</v>
      </c>
      <c r="L6">
        <f>4/100</f>
        <v>0.04</v>
      </c>
    </row>
    <row r="7" spans="1:12" x14ac:dyDescent="0.25">
      <c r="A7" s="173" t="s">
        <v>148</v>
      </c>
      <c r="B7" s="186">
        <v>55000</v>
      </c>
      <c r="D7" s="90">
        <f t="shared" si="1"/>
        <v>495000</v>
      </c>
      <c r="E7" s="90">
        <f t="shared" si="2"/>
        <v>686400</v>
      </c>
      <c r="F7" s="90">
        <f t="shared" si="3"/>
        <v>713856</v>
      </c>
      <c r="G7" s="90">
        <f t="shared" si="4"/>
        <v>742410.23999999999</v>
      </c>
      <c r="H7" s="90">
        <f t="shared" si="4"/>
        <v>772106.6496</v>
      </c>
    </row>
    <row r="8" spans="1:12" x14ac:dyDescent="0.25">
      <c r="A8" s="173" t="s">
        <v>30</v>
      </c>
      <c r="B8" s="186">
        <v>20833.333333333332</v>
      </c>
      <c r="D8" s="90">
        <f t="shared" si="1"/>
        <v>187500</v>
      </c>
      <c r="E8" s="90">
        <f t="shared" si="2"/>
        <v>260000</v>
      </c>
      <c r="F8" s="90">
        <f t="shared" si="3"/>
        <v>270400</v>
      </c>
      <c r="G8" s="90">
        <f t="shared" si="4"/>
        <v>281216</v>
      </c>
      <c r="H8" s="90">
        <f t="shared" si="4"/>
        <v>292464.64000000001</v>
      </c>
    </row>
    <row r="9" spans="1:12" x14ac:dyDescent="0.25">
      <c r="A9" s="187" t="s">
        <v>32</v>
      </c>
      <c r="B9" s="87">
        <v>4000000</v>
      </c>
      <c r="D9" s="90">
        <f>B9*11</f>
        <v>44000000</v>
      </c>
      <c r="E9" s="90">
        <f t="shared" si="2"/>
        <v>49920000</v>
      </c>
      <c r="F9" s="90">
        <f t="shared" si="3"/>
        <v>51916800</v>
      </c>
      <c r="G9" s="90">
        <f t="shared" si="4"/>
        <v>53993472</v>
      </c>
      <c r="H9" s="90">
        <f t="shared" si="4"/>
        <v>56153210.880000003</v>
      </c>
    </row>
    <row r="10" spans="1:12" x14ac:dyDescent="0.25">
      <c r="A10" s="188" t="s">
        <v>309</v>
      </c>
      <c r="B10" s="122">
        <f>SUM(B3:B9)</f>
        <v>4467500</v>
      </c>
      <c r="D10" s="119">
        <f>SUM(D3:D9)</f>
        <v>48207500</v>
      </c>
      <c r="E10" s="119">
        <f t="shared" ref="E10:H10" si="5">SUM(E3:E9)</f>
        <v>55754400</v>
      </c>
      <c r="F10" s="119">
        <f t="shared" si="5"/>
        <v>57984576</v>
      </c>
      <c r="G10" s="119">
        <f t="shared" si="5"/>
        <v>60303959.039999999</v>
      </c>
      <c r="H10" s="119">
        <f t="shared" si="5"/>
        <v>62716117.401600003</v>
      </c>
    </row>
    <row r="11" spans="1:12" x14ac:dyDescent="0.25">
      <c r="A11" s="185"/>
      <c r="B11" s="184"/>
      <c r="D11" s="114"/>
      <c r="E11" s="114"/>
      <c r="F11" s="114"/>
      <c r="G11" s="114"/>
      <c r="H11" s="114"/>
    </row>
    <row r="12" spans="1:12" x14ac:dyDescent="0.25">
      <c r="A12" s="185"/>
      <c r="B12" s="184"/>
      <c r="D12" s="114"/>
      <c r="E12" s="114"/>
      <c r="F12" s="114"/>
      <c r="G12" s="114"/>
      <c r="H12" s="114"/>
    </row>
    <row r="13" spans="1:12" x14ac:dyDescent="0.25">
      <c r="A13" s="177" t="s">
        <v>304</v>
      </c>
      <c r="B13" s="170"/>
      <c r="D13" s="6">
        <f>'Salarios y carga Prestacional '!D32</f>
        <v>50062124</v>
      </c>
      <c r="E13" s="9">
        <v>57384330.431999996</v>
      </c>
      <c r="F13" s="9">
        <v>58727252.213760003</v>
      </c>
      <c r="G13" s="9">
        <v>60123890.866790399</v>
      </c>
      <c r="H13" s="9">
        <v>61576395.065942012</v>
      </c>
    </row>
    <row r="14" spans="1:12" x14ac:dyDescent="0.25">
      <c r="A14" s="177"/>
      <c r="B14" s="170"/>
      <c r="D14" s="95">
        <v>6497366.324153251</v>
      </c>
      <c r="E14" s="95">
        <v>7095124.0259753484</v>
      </c>
      <c r="F14" s="95">
        <v>7747875.4363650819</v>
      </c>
      <c r="G14" s="95">
        <v>8460679.9765106682</v>
      </c>
      <c r="H14" s="95">
        <v>9239062.534349652</v>
      </c>
      <c r="I14" t="s">
        <v>305</v>
      </c>
    </row>
    <row r="15" spans="1:12" x14ac:dyDescent="0.25">
      <c r="D15" s="96">
        <f>D10+D13-D14</f>
        <v>91772257.675846756</v>
      </c>
      <c r="E15" s="96">
        <f t="shared" ref="E15:H15" si="6">E10+E13-E14</f>
        <v>106043606.40602465</v>
      </c>
      <c r="F15" s="96">
        <f t="shared" si="6"/>
        <v>108963952.77739492</v>
      </c>
      <c r="G15" s="96">
        <f t="shared" si="6"/>
        <v>111967169.93027973</v>
      </c>
      <c r="H15" s="96">
        <f t="shared" si="6"/>
        <v>115053449.93319237</v>
      </c>
    </row>
    <row r="17" spans="4:13" x14ac:dyDescent="0.25">
      <c r="D17">
        <f>D10/9</f>
        <v>5356388.888888889</v>
      </c>
    </row>
    <row r="22" spans="4:13" x14ac:dyDescent="0.25">
      <c r="I22" s="95"/>
      <c r="J22" s="95"/>
      <c r="K22" s="95"/>
      <c r="L22" s="95"/>
      <c r="M22" s="95"/>
    </row>
  </sheetData>
  <mergeCells count="1">
    <mergeCell ref="A1:B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GridLines="0" workbookViewId="0">
      <selection activeCell="G15" sqref="G15"/>
    </sheetView>
  </sheetViews>
  <sheetFormatPr baseColWidth="10" defaultRowHeight="15" x14ac:dyDescent="0.25"/>
  <cols>
    <col min="1" max="1" width="32.7109375" customWidth="1"/>
    <col min="2" max="2" width="14.140625" bestFit="1" customWidth="1"/>
    <col min="3" max="3" width="12.7109375" bestFit="1" customWidth="1"/>
  </cols>
  <sheetData>
    <row r="1" spans="1:6" x14ac:dyDescent="0.25">
      <c r="A1" s="54" t="s">
        <v>78</v>
      </c>
      <c r="B1" s="54" t="s">
        <v>27</v>
      </c>
      <c r="C1" s="54" t="s">
        <v>79</v>
      </c>
      <c r="D1" s="54" t="s">
        <v>80</v>
      </c>
      <c r="E1" s="54" t="s">
        <v>81</v>
      </c>
      <c r="F1" s="54" t="s">
        <v>82</v>
      </c>
    </row>
    <row r="2" spans="1:6" x14ac:dyDescent="0.25">
      <c r="A2" s="18" t="s">
        <v>89</v>
      </c>
      <c r="B2" s="19">
        <v>720000</v>
      </c>
      <c r="C2" s="19">
        <f>B2*1.04</f>
        <v>748800</v>
      </c>
      <c r="D2" s="19">
        <f t="shared" ref="D2:F2" si="0">C2*1.04</f>
        <v>778752</v>
      </c>
      <c r="E2" s="19">
        <f t="shared" si="0"/>
        <v>809902.08000000007</v>
      </c>
      <c r="F2" s="19">
        <f t="shared" si="0"/>
        <v>842298.16320000007</v>
      </c>
    </row>
    <row r="3" spans="1:6" x14ac:dyDescent="0.25">
      <c r="A3" s="18" t="s">
        <v>83</v>
      </c>
      <c r="B3" s="19">
        <v>150000</v>
      </c>
      <c r="C3" s="19">
        <f t="shared" ref="C3:F11" si="1">B3*1.04</f>
        <v>156000</v>
      </c>
      <c r="D3" s="19">
        <f t="shared" si="1"/>
        <v>162240</v>
      </c>
      <c r="E3" s="19">
        <f t="shared" si="1"/>
        <v>168729.60000000001</v>
      </c>
      <c r="F3" s="19">
        <f t="shared" si="1"/>
        <v>175478.78400000001</v>
      </c>
    </row>
    <row r="4" spans="1:6" x14ac:dyDescent="0.25">
      <c r="A4" s="18" t="s">
        <v>84</v>
      </c>
      <c r="B4" s="19">
        <f>70000*12</f>
        <v>840000</v>
      </c>
      <c r="C4" s="19">
        <f t="shared" si="1"/>
        <v>873600</v>
      </c>
      <c r="D4" s="19">
        <f t="shared" si="1"/>
        <v>908544</v>
      </c>
      <c r="E4" s="19">
        <f t="shared" si="1"/>
        <v>944885.76000000001</v>
      </c>
      <c r="F4" s="19">
        <f t="shared" si="1"/>
        <v>982681.19040000008</v>
      </c>
    </row>
    <row r="5" spans="1:6" x14ac:dyDescent="0.25">
      <c r="A5" s="18" t="s">
        <v>91</v>
      </c>
      <c r="B5" s="19">
        <v>920000</v>
      </c>
      <c r="C5" s="19">
        <f t="shared" si="1"/>
        <v>956800</v>
      </c>
      <c r="D5" s="19">
        <f t="shared" si="1"/>
        <v>995072</v>
      </c>
      <c r="E5" s="19">
        <f t="shared" si="1"/>
        <v>1034874.88</v>
      </c>
      <c r="F5" s="19">
        <f t="shared" si="1"/>
        <v>1076269.8752000001</v>
      </c>
    </row>
    <row r="6" spans="1:6" x14ac:dyDescent="0.25">
      <c r="A6" s="18" t="s">
        <v>85</v>
      </c>
      <c r="B6" s="19">
        <v>950000</v>
      </c>
      <c r="C6" s="19">
        <f t="shared" si="1"/>
        <v>988000</v>
      </c>
      <c r="D6" s="19">
        <f t="shared" si="1"/>
        <v>1027520</v>
      </c>
      <c r="E6" s="19">
        <f t="shared" si="1"/>
        <v>1068620.8</v>
      </c>
      <c r="F6" s="19">
        <f t="shared" si="1"/>
        <v>1111365.632</v>
      </c>
    </row>
    <row r="7" spans="1:6" x14ac:dyDescent="0.25">
      <c r="A7" s="18" t="s">
        <v>90</v>
      </c>
      <c r="B7" s="19">
        <v>600000</v>
      </c>
      <c r="C7" s="19">
        <f t="shared" si="1"/>
        <v>624000</v>
      </c>
      <c r="D7" s="19">
        <f t="shared" si="1"/>
        <v>648960</v>
      </c>
      <c r="E7" s="19">
        <f t="shared" si="1"/>
        <v>674918.40000000002</v>
      </c>
      <c r="F7" s="19">
        <f t="shared" si="1"/>
        <v>701915.13600000006</v>
      </c>
    </row>
    <row r="8" spans="1:6" x14ac:dyDescent="0.25">
      <c r="A8" s="18" t="s">
        <v>86</v>
      </c>
      <c r="B8" s="19">
        <v>250000</v>
      </c>
      <c r="C8" s="19">
        <f t="shared" si="1"/>
        <v>260000</v>
      </c>
      <c r="D8" s="19">
        <f t="shared" si="1"/>
        <v>270400</v>
      </c>
      <c r="E8" s="19">
        <f t="shared" si="1"/>
        <v>281216</v>
      </c>
      <c r="F8" s="19">
        <f t="shared" si="1"/>
        <v>292464.64000000001</v>
      </c>
    </row>
    <row r="9" spans="1:6" x14ac:dyDescent="0.25">
      <c r="A9" s="18" t="s">
        <v>87</v>
      </c>
      <c r="B9" s="20">
        <v>85000</v>
      </c>
      <c r="C9" s="19">
        <f t="shared" si="1"/>
        <v>88400</v>
      </c>
      <c r="D9" s="19">
        <f t="shared" si="1"/>
        <v>91936</v>
      </c>
      <c r="E9" s="19">
        <f t="shared" si="1"/>
        <v>95613.440000000002</v>
      </c>
      <c r="F9" s="19">
        <f t="shared" si="1"/>
        <v>99437.977600000013</v>
      </c>
    </row>
    <row r="10" spans="1:6" x14ac:dyDescent="0.25">
      <c r="A10" s="18" t="s">
        <v>107</v>
      </c>
      <c r="B10" s="20">
        <v>310000</v>
      </c>
      <c r="C10" s="19">
        <f t="shared" si="1"/>
        <v>322400</v>
      </c>
      <c r="D10" s="19">
        <f t="shared" si="1"/>
        <v>335296</v>
      </c>
      <c r="E10" s="19">
        <f t="shared" si="1"/>
        <v>348707.84000000003</v>
      </c>
      <c r="F10" s="19">
        <f t="shared" si="1"/>
        <v>362656.15360000002</v>
      </c>
    </row>
    <row r="11" spans="1:6" x14ac:dyDescent="0.25">
      <c r="A11" s="18" t="s">
        <v>88</v>
      </c>
      <c r="B11" s="20"/>
      <c r="C11" s="19">
        <f t="shared" si="1"/>
        <v>0</v>
      </c>
      <c r="D11" s="19"/>
      <c r="E11" s="19">
        <v>1500000</v>
      </c>
      <c r="F11" s="19"/>
    </row>
    <row r="12" spans="1:6" x14ac:dyDescent="0.25">
      <c r="A12" s="17" t="s">
        <v>24</v>
      </c>
      <c r="B12" s="21">
        <f>SUM(B2:B11)</f>
        <v>4825000</v>
      </c>
      <c r="C12" s="21">
        <f>SUM(C2:C11)</f>
        <v>5018000</v>
      </c>
      <c r="D12" s="21">
        <f>SUM(D2:D11)</f>
        <v>5218720</v>
      </c>
      <c r="E12" s="21">
        <f>SUM(E2:E11)</f>
        <v>6927468.8000000007</v>
      </c>
      <c r="F12" s="21">
        <f>SUM(F2:F11)</f>
        <v>5644567.5519999992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workbookViewId="0"/>
  </sheetViews>
  <sheetFormatPr baseColWidth="10" defaultRowHeight="15" x14ac:dyDescent="0.25"/>
  <cols>
    <col min="3" max="11" width="2" bestFit="1" customWidth="1"/>
    <col min="12" max="14" width="3" bestFit="1" customWidth="1"/>
    <col min="15" max="15" width="53.42578125" bestFit="1" customWidth="1"/>
  </cols>
  <sheetData>
    <row r="1" spans="1:15" x14ac:dyDescent="0.25">
      <c r="A1" s="54" t="s">
        <v>34</v>
      </c>
      <c r="B1" s="54" t="s">
        <v>34</v>
      </c>
      <c r="C1" s="235" t="s">
        <v>35</v>
      </c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7"/>
      <c r="O1" s="238" t="s">
        <v>36</v>
      </c>
    </row>
    <row r="2" spans="1:15" ht="24" x14ac:dyDescent="0.25">
      <c r="A2" s="1" t="s">
        <v>37</v>
      </c>
      <c r="B2" s="1" t="s">
        <v>38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239"/>
    </row>
    <row r="3" spans="1:15" x14ac:dyDescent="0.25">
      <c r="A3" s="65"/>
      <c r="B3" s="66"/>
      <c r="C3" s="123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8" t="s">
        <v>39</v>
      </c>
    </row>
    <row r="4" spans="1:15" x14ac:dyDescent="0.25">
      <c r="A4" s="66">
        <v>5448000</v>
      </c>
      <c r="B4" s="66"/>
      <c r="C4" s="123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8" t="s">
        <v>176</v>
      </c>
    </row>
    <row r="5" spans="1:15" x14ac:dyDescent="0.25">
      <c r="A5" s="65"/>
      <c r="B5" s="66"/>
      <c r="C5" s="123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8" t="s">
        <v>177</v>
      </c>
    </row>
    <row r="6" spans="1:15" x14ac:dyDescent="0.25">
      <c r="A6" s="65"/>
      <c r="B6" s="66"/>
      <c r="C6" s="65"/>
      <c r="D6" s="123"/>
      <c r="E6" s="65"/>
      <c r="F6" s="65"/>
      <c r="G6" s="65"/>
      <c r="H6" s="65"/>
      <c r="I6" s="65"/>
      <c r="J6" s="65"/>
      <c r="K6" s="65"/>
      <c r="L6" s="65"/>
      <c r="M6" s="65"/>
      <c r="N6" s="65"/>
      <c r="O6" s="69" t="s">
        <v>40</v>
      </c>
    </row>
    <row r="7" spans="1:15" x14ac:dyDescent="0.25">
      <c r="A7" s="65"/>
      <c r="B7" s="66"/>
      <c r="C7" s="65"/>
      <c r="D7" s="123"/>
      <c r="E7" s="65"/>
      <c r="F7" s="65"/>
      <c r="G7" s="65"/>
      <c r="H7" s="65"/>
      <c r="I7" s="65"/>
      <c r="J7" s="65"/>
      <c r="K7" s="65"/>
      <c r="L7" s="65"/>
      <c r="M7" s="65"/>
      <c r="N7" s="65"/>
      <c r="O7" s="69" t="s">
        <v>41</v>
      </c>
    </row>
    <row r="8" spans="1:15" x14ac:dyDescent="0.25">
      <c r="A8" s="65"/>
      <c r="B8" s="66"/>
      <c r="C8" s="65"/>
      <c r="D8" s="123"/>
      <c r="E8" s="65"/>
      <c r="F8" s="65"/>
      <c r="G8" s="65"/>
      <c r="H8" s="65"/>
      <c r="I8" s="65"/>
      <c r="J8" s="65"/>
      <c r="K8" s="65"/>
      <c r="L8" s="65"/>
      <c r="M8" s="65"/>
      <c r="N8" s="65"/>
      <c r="O8" s="68" t="s">
        <v>42</v>
      </c>
    </row>
    <row r="9" spans="1:15" x14ac:dyDescent="0.25">
      <c r="A9" s="65"/>
      <c r="B9" s="66"/>
      <c r="C9" s="65"/>
      <c r="D9" s="123"/>
      <c r="E9" s="65"/>
      <c r="F9" s="65"/>
      <c r="G9" s="65"/>
      <c r="H9" s="65"/>
      <c r="I9" s="65"/>
      <c r="J9" s="65"/>
      <c r="K9" s="65"/>
      <c r="L9" s="65"/>
      <c r="M9" s="65"/>
      <c r="N9" s="65"/>
      <c r="O9" s="68" t="s">
        <v>43</v>
      </c>
    </row>
    <row r="10" spans="1:15" x14ac:dyDescent="0.25">
      <c r="A10" s="66">
        <v>23917584</v>
      </c>
      <c r="B10" s="66"/>
      <c r="C10" s="65"/>
      <c r="D10" s="123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8" t="s">
        <v>44</v>
      </c>
    </row>
    <row r="11" spans="1:15" x14ac:dyDescent="0.25">
      <c r="A11" s="65"/>
      <c r="B11" s="66"/>
      <c r="C11" s="65"/>
      <c r="D11" s="123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8" t="s">
        <v>45</v>
      </c>
    </row>
    <row r="12" spans="1:15" x14ac:dyDescent="0.25">
      <c r="A12" s="65"/>
      <c r="B12" s="66"/>
      <c r="C12" s="65"/>
      <c r="D12" s="123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8" t="s">
        <v>46</v>
      </c>
    </row>
    <row r="13" spans="1:15" x14ac:dyDescent="0.25">
      <c r="A13" s="65"/>
      <c r="B13" s="66"/>
      <c r="C13" s="65"/>
      <c r="D13" s="123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8" t="s">
        <v>47</v>
      </c>
    </row>
    <row r="14" spans="1:15" x14ac:dyDescent="0.25">
      <c r="A14" s="65"/>
      <c r="B14" s="67"/>
      <c r="C14" s="65"/>
      <c r="D14" s="123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8" t="s">
        <v>48</v>
      </c>
    </row>
    <row r="15" spans="1:15" x14ac:dyDescent="0.25">
      <c r="A15" s="65"/>
      <c r="B15" s="67"/>
      <c r="C15" s="65"/>
      <c r="D15" s="65"/>
      <c r="E15" s="123"/>
      <c r="F15" s="65"/>
      <c r="G15" s="65"/>
      <c r="H15" s="65"/>
      <c r="I15" s="65"/>
      <c r="J15" s="65"/>
      <c r="K15" s="65"/>
      <c r="L15" s="65"/>
      <c r="M15" s="65"/>
      <c r="N15" s="65"/>
      <c r="O15" s="68" t="s">
        <v>49</v>
      </c>
    </row>
    <row r="16" spans="1:15" x14ac:dyDescent="0.25">
      <c r="A16" s="67">
        <v>2390000</v>
      </c>
      <c r="B16" s="67"/>
      <c r="C16" s="65"/>
      <c r="D16" s="65"/>
      <c r="E16" s="123"/>
      <c r="F16" s="65"/>
      <c r="G16" s="65"/>
      <c r="H16" s="65"/>
      <c r="I16" s="65"/>
      <c r="J16" s="65"/>
      <c r="K16" s="65"/>
      <c r="L16" s="65"/>
      <c r="M16" s="65"/>
      <c r="N16" s="65"/>
      <c r="O16" s="68" t="s">
        <v>50</v>
      </c>
    </row>
    <row r="17" spans="1:15" x14ac:dyDescent="0.25">
      <c r="A17" s="65"/>
      <c r="B17" s="67"/>
      <c r="C17" s="65"/>
      <c r="D17" s="65"/>
      <c r="E17" s="123"/>
      <c r="F17" s="65"/>
      <c r="G17" s="65"/>
      <c r="H17" s="65"/>
      <c r="I17" s="65"/>
      <c r="J17" s="65"/>
      <c r="K17" s="65"/>
      <c r="L17" s="65"/>
      <c r="M17" s="65"/>
      <c r="N17" s="65"/>
      <c r="O17" s="68" t="s">
        <v>47</v>
      </c>
    </row>
    <row r="18" spans="1:15" x14ac:dyDescent="0.25">
      <c r="A18" s="65"/>
      <c r="B18" s="67"/>
      <c r="C18" s="65"/>
      <c r="D18" s="65"/>
      <c r="E18" s="123"/>
      <c r="F18" s="65"/>
      <c r="G18" s="65"/>
      <c r="H18" s="65"/>
      <c r="I18" s="65"/>
      <c r="J18" s="65"/>
      <c r="K18" s="65"/>
      <c r="L18" s="65"/>
      <c r="M18" s="65"/>
      <c r="N18" s="65"/>
      <c r="O18" s="68" t="s">
        <v>48</v>
      </c>
    </row>
    <row r="19" spans="1:15" x14ac:dyDescent="0.25">
      <c r="A19" s="65"/>
      <c r="B19" s="67"/>
      <c r="C19" s="65"/>
      <c r="D19" s="65"/>
      <c r="E19" s="65"/>
      <c r="F19" s="123"/>
      <c r="G19" s="65"/>
      <c r="H19" s="65"/>
      <c r="I19" s="65"/>
      <c r="J19" s="65"/>
      <c r="K19" s="65"/>
      <c r="L19" s="65"/>
      <c r="M19" s="65"/>
      <c r="N19" s="65"/>
      <c r="O19" s="68" t="s">
        <v>51</v>
      </c>
    </row>
    <row r="20" spans="1:15" x14ac:dyDescent="0.25">
      <c r="A20" s="65"/>
      <c r="B20" s="67"/>
      <c r="C20" s="65"/>
      <c r="D20" s="65"/>
      <c r="E20" s="65"/>
      <c r="F20" s="123"/>
      <c r="G20" s="65"/>
      <c r="H20" s="65"/>
      <c r="I20" s="65"/>
      <c r="J20" s="65"/>
      <c r="K20" s="65"/>
      <c r="L20" s="65"/>
      <c r="M20" s="65"/>
      <c r="N20" s="65"/>
      <c r="O20" s="68" t="s">
        <v>42</v>
      </c>
    </row>
    <row r="21" spans="1:15" x14ac:dyDescent="0.25">
      <c r="A21" s="65"/>
      <c r="B21" s="67"/>
      <c r="C21" s="65"/>
      <c r="D21" s="65"/>
      <c r="E21" s="65"/>
      <c r="F21" s="123"/>
      <c r="G21" s="65"/>
      <c r="H21" s="65"/>
      <c r="I21" s="65"/>
      <c r="J21" s="65"/>
      <c r="K21" s="65"/>
      <c r="L21" s="65"/>
      <c r="M21" s="65"/>
      <c r="N21" s="65"/>
      <c r="O21" s="68" t="s">
        <v>52</v>
      </c>
    </row>
    <row r="22" spans="1:15" x14ac:dyDescent="0.25">
      <c r="A22" s="67">
        <v>13700708</v>
      </c>
      <c r="B22" s="67"/>
      <c r="C22" s="65"/>
      <c r="D22" s="65"/>
      <c r="E22" s="65"/>
      <c r="F22" s="123"/>
      <c r="G22" s="65"/>
      <c r="H22" s="65"/>
      <c r="I22" s="65"/>
      <c r="J22" s="65"/>
      <c r="K22" s="65"/>
      <c r="L22" s="65"/>
      <c r="M22" s="65"/>
      <c r="N22" s="65"/>
      <c r="O22" s="68" t="s">
        <v>53</v>
      </c>
    </row>
    <row r="23" spans="1:15" x14ac:dyDescent="0.25">
      <c r="A23" s="65"/>
      <c r="B23" s="67"/>
      <c r="C23" s="65"/>
      <c r="D23" s="65"/>
      <c r="E23" s="65"/>
      <c r="F23" s="123"/>
      <c r="G23" s="65"/>
      <c r="H23" s="65"/>
      <c r="I23" s="65"/>
      <c r="J23" s="65"/>
      <c r="K23" s="65"/>
      <c r="L23" s="65"/>
      <c r="M23" s="65"/>
      <c r="N23" s="65"/>
      <c r="O23" s="68" t="s">
        <v>47</v>
      </c>
    </row>
    <row r="24" spans="1:15" x14ac:dyDescent="0.25">
      <c r="A24" s="65"/>
      <c r="B24" s="67"/>
      <c r="C24" s="65"/>
      <c r="D24" s="65"/>
      <c r="E24" s="65"/>
      <c r="F24" s="123"/>
      <c r="G24" s="65"/>
      <c r="H24" s="65"/>
      <c r="I24" s="65"/>
      <c r="J24" s="65"/>
      <c r="K24" s="65"/>
      <c r="L24" s="65"/>
      <c r="M24" s="65"/>
      <c r="N24" s="65"/>
      <c r="O24" s="68" t="s">
        <v>48</v>
      </c>
    </row>
    <row r="25" spans="1:15" x14ac:dyDescent="0.25">
      <c r="A25" s="65"/>
      <c r="B25" s="67"/>
      <c r="C25" s="65"/>
      <c r="D25" s="65"/>
      <c r="E25" s="65"/>
      <c r="F25" s="123"/>
      <c r="G25" s="65"/>
      <c r="H25" s="65"/>
      <c r="I25" s="65"/>
      <c r="J25" s="65"/>
      <c r="K25" s="65"/>
      <c r="L25" s="65"/>
      <c r="M25" s="65"/>
      <c r="N25" s="65"/>
      <c r="O25" s="68" t="s">
        <v>54</v>
      </c>
    </row>
    <row r="26" spans="1:15" x14ac:dyDescent="0.25">
      <c r="A26" s="65"/>
      <c r="B26" s="67"/>
      <c r="C26" s="65"/>
      <c r="D26" s="65"/>
      <c r="E26" s="65"/>
      <c r="F26" s="65"/>
      <c r="G26" s="123"/>
      <c r="H26" s="65"/>
      <c r="I26" s="65"/>
      <c r="J26" s="65"/>
      <c r="K26" s="65"/>
      <c r="L26" s="65"/>
      <c r="M26" s="65"/>
      <c r="N26" s="65"/>
      <c r="O26" s="68" t="s">
        <v>49</v>
      </c>
    </row>
    <row r="27" spans="1:15" x14ac:dyDescent="0.25">
      <c r="A27" s="67">
        <v>2425000</v>
      </c>
      <c r="B27" s="67"/>
      <c r="C27" s="65"/>
      <c r="D27" s="65"/>
      <c r="E27" s="65"/>
      <c r="F27" s="65"/>
      <c r="G27" s="123"/>
      <c r="H27" s="65"/>
      <c r="I27" s="65"/>
      <c r="J27" s="65"/>
      <c r="K27" s="65"/>
      <c r="L27" s="65"/>
      <c r="M27" s="65"/>
      <c r="N27" s="65"/>
      <c r="O27" s="68" t="s">
        <v>50</v>
      </c>
    </row>
    <row r="28" spans="1:15" x14ac:dyDescent="0.25">
      <c r="A28" s="65"/>
      <c r="B28" s="67"/>
      <c r="C28" s="65"/>
      <c r="D28" s="65"/>
      <c r="E28" s="65"/>
      <c r="F28" s="65"/>
      <c r="G28" s="123"/>
      <c r="H28" s="65"/>
      <c r="I28" s="65"/>
      <c r="J28" s="65"/>
      <c r="K28" s="65"/>
      <c r="L28" s="65"/>
      <c r="M28" s="65"/>
      <c r="N28" s="65"/>
      <c r="O28" s="68" t="s">
        <v>47</v>
      </c>
    </row>
    <row r="29" spans="1:15" x14ac:dyDescent="0.25">
      <c r="A29" s="65"/>
      <c r="B29" s="67"/>
      <c r="C29" s="65"/>
      <c r="D29" s="65"/>
      <c r="E29" s="65"/>
      <c r="F29" s="65"/>
      <c r="G29" s="123"/>
      <c r="H29" s="65"/>
      <c r="I29" s="65"/>
      <c r="J29" s="65"/>
      <c r="K29" s="65"/>
      <c r="L29" s="65"/>
      <c r="M29" s="65"/>
      <c r="N29" s="65"/>
      <c r="O29" s="68" t="s">
        <v>54</v>
      </c>
    </row>
    <row r="30" spans="1:15" x14ac:dyDescent="0.25">
      <c r="A30" s="65"/>
      <c r="B30" s="67"/>
      <c r="C30" s="65"/>
      <c r="D30" s="65"/>
      <c r="E30" s="65"/>
      <c r="F30" s="65"/>
      <c r="G30" s="65"/>
      <c r="H30" s="123"/>
      <c r="I30" s="65"/>
      <c r="J30" s="65"/>
      <c r="K30" s="65"/>
      <c r="L30" s="65"/>
      <c r="M30" s="65"/>
      <c r="N30" s="65"/>
      <c r="O30" s="68" t="s">
        <v>49</v>
      </c>
    </row>
    <row r="31" spans="1:15" x14ac:dyDescent="0.25">
      <c r="A31" s="67">
        <v>1925000</v>
      </c>
      <c r="B31" s="67"/>
      <c r="C31" s="65"/>
      <c r="D31" s="65"/>
      <c r="E31" s="65"/>
      <c r="F31" s="65"/>
      <c r="G31" s="65"/>
      <c r="H31" s="123"/>
      <c r="I31" s="65"/>
      <c r="J31" s="65"/>
      <c r="K31" s="65"/>
      <c r="L31" s="65"/>
      <c r="M31" s="65"/>
      <c r="N31" s="65"/>
      <c r="O31" s="68" t="s">
        <v>50</v>
      </c>
    </row>
    <row r="32" spans="1:15" x14ac:dyDescent="0.25">
      <c r="A32" s="65"/>
      <c r="B32" s="67"/>
      <c r="C32" s="65"/>
      <c r="D32" s="65"/>
      <c r="E32" s="65"/>
      <c r="F32" s="65"/>
      <c r="G32" s="65"/>
      <c r="H32" s="123"/>
      <c r="I32" s="65"/>
      <c r="J32" s="65"/>
      <c r="K32" s="65"/>
      <c r="L32" s="65"/>
      <c r="M32" s="65"/>
      <c r="N32" s="65"/>
      <c r="O32" s="68" t="s">
        <v>47</v>
      </c>
    </row>
    <row r="33" spans="1:15" x14ac:dyDescent="0.25">
      <c r="A33" s="65"/>
      <c r="B33" s="67"/>
      <c r="C33" s="65"/>
      <c r="D33" s="65"/>
      <c r="E33" s="65"/>
      <c r="F33" s="65"/>
      <c r="G33" s="65"/>
      <c r="H33" s="65"/>
      <c r="I33" s="123"/>
      <c r="J33" s="65"/>
      <c r="K33" s="65"/>
      <c r="L33" s="65"/>
      <c r="M33" s="65"/>
      <c r="N33" s="65"/>
      <c r="O33" s="68" t="s">
        <v>49</v>
      </c>
    </row>
    <row r="34" spans="1:15" x14ac:dyDescent="0.25">
      <c r="A34" s="67">
        <v>2425000</v>
      </c>
      <c r="B34" s="67"/>
      <c r="C34" s="65"/>
      <c r="D34" s="65"/>
      <c r="E34" s="65"/>
      <c r="F34" s="65"/>
      <c r="G34" s="65"/>
      <c r="H34" s="65"/>
      <c r="I34" s="123"/>
      <c r="J34" s="65"/>
      <c r="K34" s="65"/>
      <c r="L34" s="65"/>
      <c r="M34" s="65"/>
      <c r="N34" s="65"/>
      <c r="O34" s="68" t="s">
        <v>50</v>
      </c>
    </row>
    <row r="35" spans="1:15" x14ac:dyDescent="0.25">
      <c r="A35" s="65"/>
      <c r="B35" s="67"/>
      <c r="C35" s="65"/>
      <c r="D35" s="65"/>
      <c r="E35" s="65"/>
      <c r="F35" s="65"/>
      <c r="G35" s="65"/>
      <c r="H35" s="65"/>
      <c r="I35" s="123"/>
      <c r="J35" s="65"/>
      <c r="K35" s="65"/>
      <c r="L35" s="65"/>
      <c r="M35" s="65"/>
      <c r="N35" s="65"/>
      <c r="O35" s="68" t="s">
        <v>47</v>
      </c>
    </row>
    <row r="36" spans="1:15" x14ac:dyDescent="0.25">
      <c r="A36" s="65"/>
      <c r="B36" s="67"/>
      <c r="C36" s="65"/>
      <c r="D36" s="65"/>
      <c r="E36" s="65"/>
      <c r="F36" s="65"/>
      <c r="G36" s="65"/>
      <c r="H36" s="65"/>
      <c r="I36" s="123"/>
      <c r="J36" s="65"/>
      <c r="K36" s="65"/>
      <c r="L36" s="65"/>
      <c r="M36" s="65"/>
      <c r="N36" s="65"/>
      <c r="O36" s="68" t="s">
        <v>54</v>
      </c>
    </row>
    <row r="37" spans="1:15" x14ac:dyDescent="0.25">
      <c r="A37" s="65"/>
      <c r="B37" s="67"/>
      <c r="C37" s="65"/>
      <c r="D37" s="65"/>
      <c r="E37" s="65"/>
      <c r="F37" s="65"/>
      <c r="G37" s="65"/>
      <c r="H37" s="65"/>
      <c r="I37" s="65"/>
      <c r="J37" s="123"/>
      <c r="K37" s="65"/>
      <c r="L37" s="65"/>
      <c r="M37" s="65"/>
      <c r="N37" s="65"/>
      <c r="O37" s="68" t="s">
        <v>49</v>
      </c>
    </row>
    <row r="38" spans="1:15" x14ac:dyDescent="0.25">
      <c r="A38" s="67">
        <v>1925000</v>
      </c>
      <c r="B38" s="67"/>
      <c r="C38" s="65"/>
      <c r="D38" s="65"/>
      <c r="E38" s="65"/>
      <c r="F38" s="65"/>
      <c r="G38" s="65"/>
      <c r="H38" s="65"/>
      <c r="I38" s="65"/>
      <c r="J38" s="123"/>
      <c r="K38" s="65"/>
      <c r="L38" s="65"/>
      <c r="M38" s="65"/>
      <c r="N38" s="65"/>
      <c r="O38" s="68" t="s">
        <v>50</v>
      </c>
    </row>
    <row r="39" spans="1:15" x14ac:dyDescent="0.25">
      <c r="A39" s="65"/>
      <c r="B39" s="67"/>
      <c r="C39" s="65"/>
      <c r="D39" s="65"/>
      <c r="E39" s="65"/>
      <c r="F39" s="65"/>
      <c r="G39" s="65"/>
      <c r="H39" s="65"/>
      <c r="I39" s="65"/>
      <c r="J39" s="123"/>
      <c r="K39" s="65"/>
      <c r="L39" s="65"/>
      <c r="M39" s="65"/>
      <c r="N39" s="65"/>
      <c r="O39" s="68" t="s">
        <v>47</v>
      </c>
    </row>
    <row r="40" spans="1:15" x14ac:dyDescent="0.25">
      <c r="A40" s="65"/>
      <c r="B40" s="67"/>
      <c r="C40" s="65"/>
      <c r="D40" s="65"/>
      <c r="E40" s="65"/>
      <c r="F40" s="65"/>
      <c r="G40" s="65"/>
      <c r="H40" s="65"/>
      <c r="I40" s="65"/>
      <c r="J40" s="65"/>
      <c r="K40" s="123"/>
      <c r="L40" s="65"/>
      <c r="M40" s="65"/>
      <c r="N40" s="65"/>
      <c r="O40" s="68" t="s">
        <v>51</v>
      </c>
    </row>
    <row r="41" spans="1:15" x14ac:dyDescent="0.25">
      <c r="A41" s="65"/>
      <c r="B41" s="67"/>
      <c r="C41" s="65"/>
      <c r="D41" s="65"/>
      <c r="E41" s="65"/>
      <c r="F41" s="65"/>
      <c r="G41" s="65"/>
      <c r="H41" s="65"/>
      <c r="I41" s="65"/>
      <c r="J41" s="65"/>
      <c r="K41" s="123"/>
      <c r="L41" s="65"/>
      <c r="M41" s="65"/>
      <c r="N41" s="65"/>
      <c r="O41" s="68" t="s">
        <v>42</v>
      </c>
    </row>
    <row r="42" spans="1:15" x14ac:dyDescent="0.25">
      <c r="A42" s="67">
        <v>12700708</v>
      </c>
      <c r="B42" s="67"/>
      <c r="C42" s="65"/>
      <c r="D42" s="65"/>
      <c r="E42" s="65"/>
      <c r="F42" s="65"/>
      <c r="G42" s="65"/>
      <c r="H42" s="65"/>
      <c r="I42" s="65"/>
      <c r="J42" s="65"/>
      <c r="K42" s="123"/>
      <c r="L42" s="65"/>
      <c r="M42" s="65"/>
      <c r="N42" s="65"/>
      <c r="O42" s="68" t="s">
        <v>55</v>
      </c>
    </row>
    <row r="43" spans="1:15" x14ac:dyDescent="0.25">
      <c r="A43" s="65"/>
      <c r="B43" s="67"/>
      <c r="C43" s="65"/>
      <c r="D43" s="65"/>
      <c r="E43" s="65"/>
      <c r="F43" s="65"/>
      <c r="G43" s="65"/>
      <c r="H43" s="65"/>
      <c r="I43" s="65"/>
      <c r="J43" s="65"/>
      <c r="K43" s="123"/>
      <c r="L43" s="65"/>
      <c r="M43" s="65"/>
      <c r="N43" s="65"/>
      <c r="O43" s="68" t="s">
        <v>56</v>
      </c>
    </row>
    <row r="44" spans="1:15" x14ac:dyDescent="0.25">
      <c r="A44" s="65"/>
      <c r="B44" s="67"/>
      <c r="C44" s="65"/>
      <c r="D44" s="65"/>
      <c r="E44" s="65"/>
      <c r="F44" s="65"/>
      <c r="G44" s="65"/>
      <c r="H44" s="65"/>
      <c r="I44" s="65"/>
      <c r="J44" s="65"/>
      <c r="K44" s="123"/>
      <c r="L44" s="65"/>
      <c r="M44" s="65"/>
      <c r="N44" s="65"/>
      <c r="O44" s="68" t="s">
        <v>47</v>
      </c>
    </row>
    <row r="45" spans="1:15" x14ac:dyDescent="0.25">
      <c r="A45" s="65"/>
      <c r="B45" s="67"/>
      <c r="C45" s="65"/>
      <c r="D45" s="65"/>
      <c r="E45" s="65"/>
      <c r="F45" s="65"/>
      <c r="G45" s="65"/>
      <c r="H45" s="65"/>
      <c r="I45" s="65"/>
      <c r="J45" s="65"/>
      <c r="K45" s="123"/>
      <c r="L45" s="65"/>
      <c r="M45" s="65"/>
      <c r="N45" s="65"/>
      <c r="O45" s="68" t="s">
        <v>48</v>
      </c>
    </row>
    <row r="46" spans="1:15" x14ac:dyDescent="0.25">
      <c r="A46" s="65"/>
      <c r="B46" s="67"/>
      <c r="C46" s="65"/>
      <c r="D46" s="65"/>
      <c r="E46" s="65"/>
      <c r="F46" s="65"/>
      <c r="G46" s="65"/>
      <c r="H46" s="65"/>
      <c r="I46" s="65"/>
      <c r="J46" s="65"/>
      <c r="K46" s="65"/>
      <c r="L46" s="123"/>
      <c r="M46" s="65"/>
      <c r="N46" s="65"/>
      <c r="O46" s="68" t="s">
        <v>49</v>
      </c>
    </row>
    <row r="47" spans="1:15" x14ac:dyDescent="0.25">
      <c r="A47" s="65"/>
      <c r="B47" s="67"/>
      <c r="C47" s="65"/>
      <c r="D47" s="65"/>
      <c r="E47" s="65"/>
      <c r="F47" s="65"/>
      <c r="G47" s="65"/>
      <c r="H47" s="65"/>
      <c r="I47" s="65"/>
      <c r="J47" s="65"/>
      <c r="K47" s="65"/>
      <c r="L47" s="123"/>
      <c r="M47" s="65"/>
      <c r="N47" s="65"/>
      <c r="O47" s="68" t="s">
        <v>50</v>
      </c>
    </row>
    <row r="48" spans="1:15" x14ac:dyDescent="0.25">
      <c r="A48" s="67">
        <v>3006500</v>
      </c>
      <c r="B48" s="67"/>
      <c r="C48" s="65"/>
      <c r="D48" s="65"/>
      <c r="E48" s="65"/>
      <c r="F48" s="65"/>
      <c r="G48" s="65"/>
      <c r="H48" s="65"/>
      <c r="I48" s="65"/>
      <c r="J48" s="65"/>
      <c r="K48" s="65"/>
      <c r="L48" s="123"/>
      <c r="M48" s="65"/>
      <c r="N48" s="65"/>
      <c r="O48" s="68" t="s">
        <v>57</v>
      </c>
    </row>
    <row r="49" spans="1:15" x14ac:dyDescent="0.25">
      <c r="A49" s="65"/>
      <c r="B49" s="67"/>
      <c r="C49" s="65"/>
      <c r="D49" s="65"/>
      <c r="E49" s="65"/>
      <c r="F49" s="65"/>
      <c r="G49" s="65"/>
      <c r="H49" s="65"/>
      <c r="I49" s="65"/>
      <c r="J49" s="65"/>
      <c r="K49" s="65"/>
      <c r="L49" s="123"/>
      <c r="M49" s="65"/>
      <c r="N49" s="65"/>
      <c r="O49" s="68" t="s">
        <v>58</v>
      </c>
    </row>
    <row r="50" spans="1:15" x14ac:dyDescent="0.25">
      <c r="A50" s="65"/>
      <c r="B50" s="67"/>
      <c r="C50" s="65"/>
      <c r="D50" s="65"/>
      <c r="E50" s="65"/>
      <c r="F50" s="65"/>
      <c r="G50" s="65"/>
      <c r="H50" s="65"/>
      <c r="I50" s="65"/>
      <c r="J50" s="65"/>
      <c r="K50" s="65"/>
      <c r="L50" s="123"/>
      <c r="M50" s="65"/>
      <c r="N50" s="65"/>
      <c r="O50" s="68" t="s">
        <v>47</v>
      </c>
    </row>
    <row r="51" spans="1:15" x14ac:dyDescent="0.25">
      <c r="A51" s="65"/>
      <c r="B51" s="67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123"/>
      <c r="N51" s="65"/>
      <c r="O51" s="68" t="s">
        <v>49</v>
      </c>
    </row>
    <row r="52" spans="1:15" x14ac:dyDescent="0.25">
      <c r="A52" s="65"/>
      <c r="B52" s="67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123"/>
      <c r="N52" s="65"/>
      <c r="O52" s="68" t="s">
        <v>59</v>
      </c>
    </row>
    <row r="53" spans="1:15" x14ac:dyDescent="0.25">
      <c r="A53" s="67">
        <v>3192500</v>
      </c>
      <c r="B53" s="67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123"/>
      <c r="N53" s="65"/>
      <c r="O53" s="68" t="s">
        <v>57</v>
      </c>
    </row>
    <row r="54" spans="1:15" x14ac:dyDescent="0.25">
      <c r="A54" s="65"/>
      <c r="B54" s="67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123"/>
      <c r="N54" s="65"/>
      <c r="O54" s="68" t="s">
        <v>50</v>
      </c>
    </row>
    <row r="55" spans="1:15" x14ac:dyDescent="0.25">
      <c r="A55" s="65"/>
      <c r="B55" s="67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123"/>
      <c r="N55" s="65"/>
      <c r="O55" s="68" t="s">
        <v>47</v>
      </c>
    </row>
    <row r="56" spans="1:15" x14ac:dyDescent="0.25">
      <c r="A56" s="65"/>
      <c r="B56" s="67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123"/>
      <c r="O56" s="68" t="s">
        <v>49</v>
      </c>
    </row>
    <row r="57" spans="1:15" x14ac:dyDescent="0.25">
      <c r="A57" s="65"/>
      <c r="B57" s="67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123"/>
      <c r="O57" s="68" t="s">
        <v>59</v>
      </c>
    </row>
    <row r="58" spans="1:15" x14ac:dyDescent="0.25">
      <c r="A58" s="67">
        <v>2944000</v>
      </c>
      <c r="B58" s="67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123"/>
      <c r="O58" s="68" t="s">
        <v>57</v>
      </c>
    </row>
    <row r="59" spans="1:15" x14ac:dyDescent="0.25">
      <c r="A59" s="65"/>
      <c r="B59" s="67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123"/>
      <c r="O59" s="68" t="s">
        <v>50</v>
      </c>
    </row>
    <row r="60" spans="1:15" x14ac:dyDescent="0.25">
      <c r="A60" s="65"/>
      <c r="B60" s="67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123"/>
      <c r="O60" s="68" t="s">
        <v>47</v>
      </c>
    </row>
  </sheetData>
  <mergeCells count="2">
    <mergeCell ref="C1:N1"/>
    <mergeCell ref="O1:O2"/>
  </mergeCells>
  <hyperlinks>
    <hyperlink ref="O6" r:id="rId1" display="http://www.monografias.com/trabajos15/mantenimiento-industrial/mantenimiento-industrial.shtml"/>
    <hyperlink ref="O7" r:id="rId2" display="http://www.monografias.com/trabajos11/contabm/contabm.shtm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showGridLines="0" workbookViewId="0">
      <selection activeCell="F24" sqref="F24"/>
    </sheetView>
  </sheetViews>
  <sheetFormatPr baseColWidth="10" defaultRowHeight="15" x14ac:dyDescent="0.25"/>
  <cols>
    <col min="1" max="1" width="31.140625" bestFit="1" customWidth="1"/>
    <col min="2" max="2" width="8.28515625" bestFit="1" customWidth="1"/>
    <col min="3" max="3" width="13.85546875" bestFit="1" customWidth="1"/>
    <col min="4" max="4" width="11.28515625" bestFit="1" customWidth="1"/>
    <col min="7" max="7" width="15.42578125" bestFit="1" customWidth="1"/>
  </cols>
  <sheetData>
    <row r="1" spans="1:8" x14ac:dyDescent="0.25">
      <c r="A1" s="240" t="s">
        <v>151</v>
      </c>
      <c r="B1" s="240"/>
      <c r="C1" s="240"/>
      <c r="D1" s="240"/>
    </row>
    <row r="2" spans="1:8" x14ac:dyDescent="0.25">
      <c r="A2" s="62" t="s">
        <v>152</v>
      </c>
      <c r="B2" s="63" t="s">
        <v>95</v>
      </c>
      <c r="C2" s="64" t="s">
        <v>153</v>
      </c>
      <c r="D2" s="64" t="s">
        <v>154</v>
      </c>
      <c r="F2" t="s">
        <v>187</v>
      </c>
      <c r="G2">
        <v>2700</v>
      </c>
    </row>
    <row r="3" spans="1:8" x14ac:dyDescent="0.25">
      <c r="A3" s="178" t="s">
        <v>156</v>
      </c>
      <c r="B3" s="179">
        <v>1</v>
      </c>
      <c r="C3" s="181">
        <f>2900*G2</f>
        <v>7830000</v>
      </c>
      <c r="D3" s="181">
        <f>C3*B3</f>
        <v>7830000</v>
      </c>
      <c r="F3" t="s">
        <v>206</v>
      </c>
      <c r="G3">
        <v>1983</v>
      </c>
    </row>
    <row r="4" spans="1:8" x14ac:dyDescent="0.25">
      <c r="A4" s="178" t="s">
        <v>157</v>
      </c>
      <c r="B4" s="179">
        <v>1</v>
      </c>
      <c r="C4" s="182">
        <v>6000000</v>
      </c>
      <c r="D4" s="181">
        <f t="shared" ref="D4:D24" si="0">C4*B4</f>
        <v>6000000</v>
      </c>
    </row>
    <row r="5" spans="1:8" x14ac:dyDescent="0.25">
      <c r="A5" s="178" t="s">
        <v>158</v>
      </c>
      <c r="B5" s="179">
        <v>1</v>
      </c>
      <c r="C5" s="182">
        <v>2937816</v>
      </c>
      <c r="D5" s="181">
        <f t="shared" si="0"/>
        <v>2937816</v>
      </c>
    </row>
    <row r="6" spans="1:8" x14ac:dyDescent="0.25">
      <c r="A6" s="178" t="s">
        <v>159</v>
      </c>
      <c r="B6" s="179">
        <v>3</v>
      </c>
      <c r="C6" s="180">
        <f>850*G3</f>
        <v>1685550</v>
      </c>
      <c r="D6" s="181">
        <f t="shared" si="0"/>
        <v>5056650</v>
      </c>
    </row>
    <row r="7" spans="1:8" x14ac:dyDescent="0.25">
      <c r="A7" s="178" t="s">
        <v>205</v>
      </c>
      <c r="B7" s="179">
        <v>1</v>
      </c>
      <c r="C7" s="180">
        <v>3200000</v>
      </c>
      <c r="D7" s="181">
        <f t="shared" si="0"/>
        <v>3200000</v>
      </c>
    </row>
    <row r="8" spans="1:8" x14ac:dyDescent="0.25">
      <c r="A8" s="178" t="s">
        <v>160</v>
      </c>
      <c r="B8" s="179">
        <v>1</v>
      </c>
      <c r="C8" s="180">
        <v>300000</v>
      </c>
      <c r="D8" s="181">
        <f t="shared" si="0"/>
        <v>300000</v>
      </c>
    </row>
    <row r="9" spans="1:8" x14ac:dyDescent="0.25">
      <c r="A9" s="178" t="s">
        <v>161</v>
      </c>
      <c r="B9" s="179">
        <v>1</v>
      </c>
      <c r="C9" s="180">
        <v>150000</v>
      </c>
      <c r="D9" s="181">
        <f t="shared" si="0"/>
        <v>150000</v>
      </c>
    </row>
    <row r="10" spans="1:8" x14ac:dyDescent="0.25">
      <c r="A10" s="178" t="s">
        <v>162</v>
      </c>
      <c r="B10" s="179">
        <v>1</v>
      </c>
      <c r="C10" s="180">
        <v>70000</v>
      </c>
      <c r="D10" s="181">
        <f t="shared" si="0"/>
        <v>70000</v>
      </c>
    </row>
    <row r="11" spans="1:8" x14ac:dyDescent="0.25">
      <c r="A11" s="178" t="s">
        <v>163</v>
      </c>
      <c r="B11" s="179">
        <v>1</v>
      </c>
      <c r="C11" s="180">
        <v>50000</v>
      </c>
      <c r="D11" s="181">
        <f t="shared" si="0"/>
        <v>50000</v>
      </c>
    </row>
    <row r="12" spans="1:8" x14ac:dyDescent="0.25">
      <c r="A12" s="178" t="s">
        <v>164</v>
      </c>
      <c r="B12" s="179">
        <v>1</v>
      </c>
      <c r="C12" s="180">
        <v>300000</v>
      </c>
      <c r="D12" s="181">
        <f t="shared" si="0"/>
        <v>300000</v>
      </c>
    </row>
    <row r="13" spans="1:8" x14ac:dyDescent="0.25">
      <c r="A13" s="178" t="s">
        <v>165</v>
      </c>
      <c r="B13" s="179">
        <v>1</v>
      </c>
      <c r="C13" s="180">
        <v>850000</v>
      </c>
      <c r="D13" s="181">
        <f t="shared" si="0"/>
        <v>850000</v>
      </c>
      <c r="G13" t="s">
        <v>306</v>
      </c>
      <c r="H13" s="183">
        <f>SUM(D3:D15)</f>
        <v>38144466</v>
      </c>
    </row>
    <row r="14" spans="1:8" x14ac:dyDescent="0.25">
      <c r="A14" s="178" t="s">
        <v>166</v>
      </c>
      <c r="B14" s="179">
        <v>2</v>
      </c>
      <c r="C14" s="180">
        <v>3200000</v>
      </c>
      <c r="D14" s="181">
        <f t="shared" si="0"/>
        <v>6400000</v>
      </c>
      <c r="G14" t="s">
        <v>307</v>
      </c>
      <c r="H14" s="96">
        <f>D19+D21+D22+D23+D20</f>
        <v>9000000</v>
      </c>
    </row>
    <row r="15" spans="1:8" x14ac:dyDescent="0.25">
      <c r="A15" s="178" t="s">
        <v>167</v>
      </c>
      <c r="B15" s="179">
        <v>1</v>
      </c>
      <c r="C15" s="180">
        <v>5000000</v>
      </c>
      <c r="D15" s="181">
        <f t="shared" si="0"/>
        <v>5000000</v>
      </c>
      <c r="G15" t="s">
        <v>308</v>
      </c>
      <c r="H15" s="96">
        <f>D16+D17+D18+D24</f>
        <v>2700000</v>
      </c>
    </row>
    <row r="16" spans="1:8" x14ac:dyDescent="0.25">
      <c r="A16" s="81" t="s">
        <v>168</v>
      </c>
      <c r="B16" s="84">
        <v>1</v>
      </c>
      <c r="C16" s="85">
        <v>1000000</v>
      </c>
      <c r="D16" s="83">
        <f t="shared" si="0"/>
        <v>1000000</v>
      </c>
    </row>
    <row r="17" spans="1:10" x14ac:dyDescent="0.25">
      <c r="A17" s="81" t="s">
        <v>169</v>
      </c>
      <c r="B17" s="84">
        <v>1</v>
      </c>
      <c r="C17" s="85">
        <v>850000</v>
      </c>
      <c r="D17" s="83">
        <f t="shared" si="0"/>
        <v>850000</v>
      </c>
      <c r="H17" s="96">
        <f>SUM(H13:H15)</f>
        <v>49844466</v>
      </c>
    </row>
    <row r="18" spans="1:10" x14ac:dyDescent="0.25">
      <c r="A18" s="81" t="s">
        <v>170</v>
      </c>
      <c r="B18" s="84">
        <v>1</v>
      </c>
      <c r="C18" s="85">
        <v>350000</v>
      </c>
      <c r="D18" s="83">
        <f t="shared" si="0"/>
        <v>350000</v>
      </c>
    </row>
    <row r="19" spans="1:10" x14ac:dyDescent="0.25">
      <c r="A19" s="81" t="s">
        <v>171</v>
      </c>
      <c r="B19" s="84">
        <v>2</v>
      </c>
      <c r="C19" s="85">
        <v>4000000</v>
      </c>
      <c r="D19" s="83">
        <f t="shared" si="0"/>
        <v>8000000</v>
      </c>
    </row>
    <row r="20" spans="1:10" x14ac:dyDescent="0.25">
      <c r="A20" s="81" t="s">
        <v>172</v>
      </c>
      <c r="B20" s="84">
        <v>1</v>
      </c>
      <c r="C20" s="85">
        <v>650000</v>
      </c>
      <c r="D20" s="83">
        <f t="shared" si="0"/>
        <v>650000</v>
      </c>
    </row>
    <row r="21" spans="1:10" x14ac:dyDescent="0.25">
      <c r="A21" s="81" t="s">
        <v>188</v>
      </c>
      <c r="B21" s="84">
        <v>1</v>
      </c>
      <c r="C21" s="85">
        <v>90000</v>
      </c>
      <c r="D21" s="83">
        <f t="shared" si="0"/>
        <v>90000</v>
      </c>
    </row>
    <row r="22" spans="1:10" x14ac:dyDescent="0.25">
      <c r="A22" s="81" t="s">
        <v>189</v>
      </c>
      <c r="B22" s="84">
        <v>1</v>
      </c>
      <c r="C22" s="85">
        <v>120000</v>
      </c>
      <c r="D22" s="83">
        <f t="shared" si="0"/>
        <v>120000</v>
      </c>
    </row>
    <row r="23" spans="1:10" x14ac:dyDescent="0.25">
      <c r="A23" s="81" t="s">
        <v>173</v>
      </c>
      <c r="B23" s="84">
        <v>2</v>
      </c>
      <c r="C23" s="85">
        <v>70000</v>
      </c>
      <c r="D23" s="83">
        <f t="shared" si="0"/>
        <v>140000</v>
      </c>
      <c r="J23">
        <v>4190633</v>
      </c>
    </row>
    <row r="24" spans="1:10" x14ac:dyDescent="0.25">
      <c r="A24" s="81" t="s">
        <v>174</v>
      </c>
      <c r="B24" s="84">
        <v>1</v>
      </c>
      <c r="C24" s="85">
        <v>500000</v>
      </c>
      <c r="D24" s="83">
        <f t="shared" si="0"/>
        <v>500000</v>
      </c>
      <c r="J24">
        <v>4825000</v>
      </c>
    </row>
    <row r="25" spans="1:10" x14ac:dyDescent="0.25">
      <c r="A25" s="81"/>
      <c r="B25" s="84"/>
      <c r="C25" s="85"/>
      <c r="D25" s="85"/>
      <c r="J25">
        <v>50044466</v>
      </c>
    </row>
    <row r="26" spans="1:10" x14ac:dyDescent="0.25">
      <c r="A26" s="81"/>
      <c r="B26" s="84"/>
      <c r="C26" s="85"/>
      <c r="D26" s="85"/>
      <c r="J26">
        <v>2900000</v>
      </c>
    </row>
    <row r="27" spans="1:10" x14ac:dyDescent="0.25">
      <c r="A27" s="241" t="s">
        <v>155</v>
      </c>
      <c r="B27" s="241"/>
      <c r="C27" s="241"/>
      <c r="D27" s="94">
        <f>SUM(D3:D26)</f>
        <v>49844466</v>
      </c>
      <c r="J27">
        <f>SUM(J23:J26)</f>
        <v>61960099</v>
      </c>
    </row>
    <row r="30" spans="1:10" x14ac:dyDescent="0.25">
      <c r="J30">
        <v>88000000</v>
      </c>
    </row>
    <row r="31" spans="1:10" x14ac:dyDescent="0.25">
      <c r="J31">
        <f>J30-J27</f>
        <v>26039901</v>
      </c>
    </row>
  </sheetData>
  <mergeCells count="2">
    <mergeCell ref="A1:D1"/>
    <mergeCell ref="A27:C2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showGridLines="0" workbookViewId="0">
      <selection activeCell="B4" sqref="B4"/>
    </sheetView>
  </sheetViews>
  <sheetFormatPr baseColWidth="10" defaultRowHeight="15" x14ac:dyDescent="0.25"/>
  <cols>
    <col min="1" max="1" width="17" bestFit="1" customWidth="1"/>
    <col min="2" max="2" width="27.85546875" bestFit="1" customWidth="1"/>
  </cols>
  <sheetData>
    <row r="1" spans="1:2" ht="15.75" thickBot="1" x14ac:dyDescent="0.3">
      <c r="A1" s="242" t="s">
        <v>136</v>
      </c>
      <c r="B1" s="243"/>
    </row>
    <row r="2" spans="1:2" ht="15.75" thickBot="1" x14ac:dyDescent="0.3">
      <c r="A2" s="244" t="s">
        <v>137</v>
      </c>
      <c r="B2" s="245"/>
    </row>
    <row r="3" spans="1:2" ht="15.75" thickBot="1" x14ac:dyDescent="0.3">
      <c r="A3" s="56" t="s">
        <v>138</v>
      </c>
      <c r="B3" s="27" t="s">
        <v>139</v>
      </c>
    </row>
    <row r="4" spans="1:2" ht="15.75" thickBot="1" x14ac:dyDescent="0.3">
      <c r="A4" s="57" t="s">
        <v>140</v>
      </c>
      <c r="B4" s="58">
        <f>'Costos x productos'!D17</f>
        <v>964.74285714285725</v>
      </c>
    </row>
    <row r="5" spans="1:2" ht="15.75" thickBot="1" x14ac:dyDescent="0.3">
      <c r="A5" s="57" t="s">
        <v>141</v>
      </c>
      <c r="B5" s="58">
        <f>'Costos x productos'!D37</f>
        <v>1789.4857142857145</v>
      </c>
    </row>
    <row r="6" spans="1:2" ht="15.75" thickBot="1" x14ac:dyDescent="0.3">
      <c r="A6" s="57" t="s">
        <v>142</v>
      </c>
      <c r="B6" s="58">
        <f>'Costos x productos'!D57</f>
        <v>3576.4285714285716</v>
      </c>
    </row>
    <row r="7" spans="1:2" ht="15.75" thickBot="1" x14ac:dyDescent="0.3">
      <c r="A7" s="57" t="s">
        <v>143</v>
      </c>
      <c r="B7" s="58">
        <f>'Costos x productos'!D77</f>
        <v>6342.8571428571431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GridLines="0" workbookViewId="0">
      <selection activeCell="E12" sqref="E12"/>
    </sheetView>
  </sheetViews>
  <sheetFormatPr baseColWidth="10" defaultRowHeight="15" x14ac:dyDescent="0.25"/>
  <sheetData>
    <row r="1" spans="1:3" x14ac:dyDescent="0.25">
      <c r="A1" s="79" t="s">
        <v>144</v>
      </c>
      <c r="B1" s="80"/>
      <c r="C1" s="79" t="s">
        <v>145</v>
      </c>
    </row>
    <row r="2" spans="1:3" x14ac:dyDescent="0.25">
      <c r="A2" s="246" t="s">
        <v>146</v>
      </c>
      <c r="B2" s="246"/>
      <c r="C2" s="59">
        <f>'Gastos anuales de Admin'!B3+'Gastos anuales de Admin'!B4+'Gastos anuales de Admin'!B5+'Gastos anuales de Admin'!B6</f>
        <v>391666.66666666663</v>
      </c>
    </row>
    <row r="3" spans="1:3" x14ac:dyDescent="0.25">
      <c r="A3" s="60" t="s">
        <v>147</v>
      </c>
      <c r="B3" s="61"/>
      <c r="C3" s="59">
        <f>'Gastos anuales de Admin'!B9</f>
        <v>4000000</v>
      </c>
    </row>
    <row r="4" spans="1:3" x14ac:dyDescent="0.25">
      <c r="A4" s="246" t="s">
        <v>148</v>
      </c>
      <c r="B4" s="246"/>
      <c r="C4" s="59">
        <v>55000</v>
      </c>
    </row>
    <row r="5" spans="1:3" x14ac:dyDescent="0.25">
      <c r="A5" s="246" t="s">
        <v>149</v>
      </c>
      <c r="B5" s="246"/>
      <c r="C5" s="59"/>
    </row>
    <row r="6" spans="1:3" x14ac:dyDescent="0.25">
      <c r="A6" s="246" t="s">
        <v>150</v>
      </c>
      <c r="B6" s="246"/>
      <c r="C6" s="59">
        <f>'Salarios y carga Prestacional '!D23+'Salarios y carga Prestacional '!D24+'Salarios y carga Prestacional '!D25+'Salarios y carga Prestacional '!D26+'Salarios y carga Prestacional '!D27/9</f>
        <v>327777.77777777775</v>
      </c>
    </row>
  </sheetData>
  <mergeCells count="4">
    <mergeCell ref="A2:B2"/>
    <mergeCell ref="A5:B5"/>
    <mergeCell ref="A6:B6"/>
    <mergeCell ref="A4:B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showGridLines="0" workbookViewId="0">
      <selection activeCell="D2" sqref="D2"/>
    </sheetView>
  </sheetViews>
  <sheetFormatPr baseColWidth="10" defaultRowHeight="15" x14ac:dyDescent="0.25"/>
  <cols>
    <col min="1" max="1" width="13.5703125" customWidth="1"/>
    <col min="2" max="2" width="12.5703125" bestFit="1" customWidth="1"/>
    <col min="3" max="3" width="6.5703125" bestFit="1" customWidth="1"/>
  </cols>
  <sheetData>
    <row r="1" spans="1:6" x14ac:dyDescent="0.25">
      <c r="A1" s="24" t="s">
        <v>92</v>
      </c>
      <c r="B1" s="24" t="s">
        <v>93</v>
      </c>
      <c r="C1" s="24" t="s">
        <v>94</v>
      </c>
      <c r="D1" s="24" t="s">
        <v>95</v>
      </c>
      <c r="E1" s="24" t="s">
        <v>99</v>
      </c>
      <c r="F1" s="24" t="s">
        <v>96</v>
      </c>
    </row>
    <row r="2" spans="1:6" x14ac:dyDescent="0.25">
      <c r="A2" s="5" t="s">
        <v>100</v>
      </c>
      <c r="B2" s="5" t="s">
        <v>101</v>
      </c>
      <c r="C2" s="5" t="s">
        <v>97</v>
      </c>
      <c r="D2" s="5"/>
      <c r="E2" s="23"/>
      <c r="F2" s="12"/>
    </row>
    <row r="3" spans="1:6" x14ac:dyDescent="0.25">
      <c r="A3" s="5" t="s">
        <v>100</v>
      </c>
      <c r="B3" s="5" t="s">
        <v>102</v>
      </c>
      <c r="C3" s="5" t="s">
        <v>97</v>
      </c>
      <c r="D3" s="5"/>
      <c r="E3" s="22"/>
      <c r="F3" s="12"/>
    </row>
    <row r="4" spans="1:6" x14ac:dyDescent="0.25">
      <c r="A4" s="5" t="s">
        <v>100</v>
      </c>
      <c r="B4" s="5" t="s">
        <v>103</v>
      </c>
      <c r="C4" s="5" t="s">
        <v>97</v>
      </c>
      <c r="D4" s="5"/>
      <c r="E4" s="22"/>
      <c r="F4" s="12"/>
    </row>
    <row r="5" spans="1:6" x14ac:dyDescent="0.25">
      <c r="A5" s="5" t="s">
        <v>100</v>
      </c>
      <c r="B5" s="5" t="s">
        <v>105</v>
      </c>
      <c r="C5" s="5" t="s">
        <v>98</v>
      </c>
      <c r="D5" s="5"/>
      <c r="E5" s="22"/>
      <c r="F5" s="12"/>
    </row>
    <row r="6" spans="1:6" x14ac:dyDescent="0.25">
      <c r="A6" s="5" t="s">
        <v>106</v>
      </c>
      <c r="B6" s="5" t="s">
        <v>104</v>
      </c>
      <c r="C6" s="5" t="s">
        <v>302</v>
      </c>
      <c r="D6" s="5"/>
      <c r="E6" s="22"/>
      <c r="F6" s="12"/>
    </row>
    <row r="7" spans="1:6" x14ac:dyDescent="0.25">
      <c r="A7" s="5"/>
      <c r="B7" s="5"/>
      <c r="C7" s="5"/>
      <c r="D7" s="5"/>
      <c r="E7" s="22"/>
      <c r="F7" s="12"/>
    </row>
    <row r="8" spans="1:6" x14ac:dyDescent="0.25">
      <c r="A8" s="5"/>
      <c r="B8" s="5"/>
      <c r="C8" s="5"/>
      <c r="D8" s="5"/>
      <c r="E8" s="22"/>
      <c r="F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Salarios y carga Prestacional </vt:lpstr>
      <vt:lpstr>Gastos de Puesta en Marcha</vt:lpstr>
      <vt:lpstr>Gastos anuales de Admin</vt:lpstr>
      <vt:lpstr>Mezcla de Mercado</vt:lpstr>
      <vt:lpstr>Cronograma de pagos </vt:lpstr>
      <vt:lpstr>Maquinas y equipos</vt:lpstr>
      <vt:lpstr>Costos total Produccion</vt:lpstr>
      <vt:lpstr>Costos Indirectos produccion</vt:lpstr>
      <vt:lpstr>Aprovisionamiento</vt:lpstr>
      <vt:lpstr>Aportes</vt:lpstr>
      <vt:lpstr>PROYECCIONES DE VTAS EN UND.</vt:lpstr>
      <vt:lpstr>Hoja1</vt:lpstr>
      <vt:lpstr>Proyeccion de ventas</vt:lpstr>
      <vt:lpstr>Costos x productos</vt:lpstr>
      <vt:lpstr>Producto Valores</vt:lpstr>
      <vt:lpstr>Plan de Contingencia</vt:lpstr>
      <vt:lpstr>IyE anuales</vt:lpstr>
      <vt:lpstr>Cafe </vt:lpstr>
      <vt:lpstr>Hora</vt:lpstr>
      <vt:lpstr>Capacidad instalada equipo</vt:lpstr>
      <vt:lpstr>Hoja2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Mercado, Isaias</dc:creator>
  <cp:lastModifiedBy>Mercado, Isaias</cp:lastModifiedBy>
  <dcterms:created xsi:type="dcterms:W3CDTF">2014-01-20T15:43:14Z</dcterms:created>
  <dcterms:modified xsi:type="dcterms:W3CDTF">2014-10-15T15:57:02Z</dcterms:modified>
</cp:coreProperties>
</file>