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isaic/Documents/finance104/models excel/"/>
    </mc:Choice>
  </mc:AlternateContent>
  <xr:revisionPtr revIDLastSave="0" documentId="13_ncr:1_{AED3DDF0-1B06-1A4D-B211-97D8E64AD890}" xr6:coauthVersionLast="47" xr6:coauthVersionMax="47" xr10:uidLastSave="{00000000-0000-0000-0000-000000000000}"/>
  <bookViews>
    <workbookView xWindow="3460" yWindow="640" windowWidth="26880" windowHeight="16180" xr2:uid="{70F270A5-90E5-BC4F-9E43-1B4C18CF6349}"/>
  </bookViews>
  <sheets>
    <sheet name="dcf model" sheetId="1" r:id="rId1"/>
    <sheet name="growth" sheetId="6" r:id="rId2"/>
    <sheet name="risk premium and def risk" sheetId="5" r:id="rId3"/>
    <sheet name="wacc calc" sheetId="3" r:id="rId4"/>
    <sheet name="risk free" sheetId="4" r:id="rId5"/>
    <sheet name="beta" sheetId="2" r:id="rId6"/>
    <sheet name="adjustments" sheetId="7" r:id="rId7"/>
  </sheets>
  <definedNames>
    <definedName name="solver_adj" localSheetId="0" hidden="1">'dcf model'!$B$9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'dcf model'!$B$14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134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6" l="1"/>
  <c r="B25" i="7"/>
  <c r="B28" i="3"/>
  <c r="B25" i="1" s="1"/>
  <c r="C32" i="7"/>
  <c r="B32" i="7"/>
  <c r="B47" i="7"/>
  <c r="B44" i="7"/>
  <c r="B19" i="7"/>
  <c r="D12" i="7"/>
  <c r="B49" i="7"/>
  <c r="E18" i="2"/>
  <c r="F18" i="2"/>
  <c r="D18" i="2"/>
  <c r="B10" i="1"/>
  <c r="F19" i="2"/>
  <c r="E19" i="2"/>
  <c r="D19" i="2"/>
  <c r="C19" i="2"/>
  <c r="B19" i="2"/>
  <c r="O8" i="2"/>
  <c r="O7" i="2"/>
  <c r="O6" i="2"/>
  <c r="O5" i="2"/>
  <c r="O4" i="2"/>
  <c r="O3" i="2"/>
  <c r="O2" i="2"/>
  <c r="L8" i="2"/>
  <c r="L7" i="2"/>
  <c r="L6" i="2"/>
  <c r="L5" i="2"/>
  <c r="L4" i="2"/>
  <c r="L3" i="2"/>
  <c r="L2" i="2"/>
  <c r="A26" i="2"/>
  <c r="A25" i="2"/>
  <c r="A24" i="2"/>
  <c r="A22" i="2"/>
  <c r="C22" i="2"/>
  <c r="W1" i="2"/>
  <c r="T1" i="2"/>
  <c r="Q1" i="2"/>
  <c r="N1" i="2"/>
  <c r="K1" i="2"/>
  <c r="B19" i="6"/>
  <c r="B12" i="6"/>
  <c r="B5" i="6" s="1"/>
  <c r="M23" i="5"/>
  <c r="M15" i="5"/>
  <c r="L19" i="5" s="1"/>
  <c r="M14" i="5"/>
  <c r="F323" i="5"/>
  <c r="E323" i="5"/>
  <c r="F322" i="5"/>
  <c r="E322" i="5"/>
  <c r="F321" i="5"/>
  <c r="E321" i="5"/>
  <c r="F320" i="5"/>
  <c r="E320" i="5"/>
  <c r="F319" i="5"/>
  <c r="E319" i="5"/>
  <c r="F318" i="5"/>
  <c r="E318" i="5"/>
  <c r="F317" i="5"/>
  <c r="E317" i="5"/>
  <c r="F316" i="5"/>
  <c r="E316" i="5"/>
  <c r="F315" i="5"/>
  <c r="E315" i="5"/>
  <c r="F314" i="5"/>
  <c r="E314" i="5"/>
  <c r="F313" i="5"/>
  <c r="E313" i="5"/>
  <c r="F312" i="5"/>
  <c r="E312" i="5"/>
  <c r="F311" i="5"/>
  <c r="E311" i="5"/>
  <c r="F310" i="5"/>
  <c r="E310" i="5"/>
  <c r="F309" i="5"/>
  <c r="E309" i="5"/>
  <c r="F308" i="5"/>
  <c r="E308" i="5"/>
  <c r="F307" i="5"/>
  <c r="E307" i="5"/>
  <c r="F306" i="5"/>
  <c r="E306" i="5"/>
  <c r="F305" i="5"/>
  <c r="E305" i="5"/>
  <c r="F304" i="5"/>
  <c r="E304" i="5"/>
  <c r="F303" i="5"/>
  <c r="E303" i="5"/>
  <c r="F302" i="5"/>
  <c r="E302" i="5"/>
  <c r="F301" i="5"/>
  <c r="E301" i="5"/>
  <c r="F300" i="5"/>
  <c r="E300" i="5"/>
  <c r="F299" i="5"/>
  <c r="E299" i="5"/>
  <c r="F298" i="5"/>
  <c r="E298" i="5"/>
  <c r="F297" i="5"/>
  <c r="E297" i="5"/>
  <c r="F296" i="5"/>
  <c r="E296" i="5"/>
  <c r="F295" i="5"/>
  <c r="E295" i="5"/>
  <c r="F294" i="5"/>
  <c r="E294" i="5"/>
  <c r="F293" i="5"/>
  <c r="E293" i="5"/>
  <c r="F292" i="5"/>
  <c r="E292" i="5"/>
  <c r="F291" i="5"/>
  <c r="E291" i="5"/>
  <c r="F290" i="5"/>
  <c r="E290" i="5"/>
  <c r="F289" i="5"/>
  <c r="E289" i="5"/>
  <c r="F288" i="5"/>
  <c r="E288" i="5"/>
  <c r="F287" i="5"/>
  <c r="E287" i="5"/>
  <c r="F286" i="5"/>
  <c r="E286" i="5"/>
  <c r="F285" i="5"/>
  <c r="E285" i="5"/>
  <c r="F284" i="5"/>
  <c r="E284" i="5"/>
  <c r="F283" i="5"/>
  <c r="E283" i="5"/>
  <c r="F282" i="5"/>
  <c r="E282" i="5"/>
  <c r="F281" i="5"/>
  <c r="E281" i="5"/>
  <c r="F280" i="5"/>
  <c r="E280" i="5"/>
  <c r="F279" i="5"/>
  <c r="E279" i="5"/>
  <c r="F278" i="5"/>
  <c r="E278" i="5"/>
  <c r="F277" i="5"/>
  <c r="E277" i="5"/>
  <c r="F276" i="5"/>
  <c r="E276" i="5"/>
  <c r="F275" i="5"/>
  <c r="E275" i="5"/>
  <c r="F274" i="5"/>
  <c r="E274" i="5"/>
  <c r="F273" i="5"/>
  <c r="E273" i="5"/>
  <c r="F272" i="5"/>
  <c r="E272" i="5"/>
  <c r="F271" i="5"/>
  <c r="E271" i="5"/>
  <c r="F270" i="5"/>
  <c r="E270" i="5"/>
  <c r="F269" i="5"/>
  <c r="E269" i="5"/>
  <c r="F268" i="5"/>
  <c r="E268" i="5"/>
  <c r="F267" i="5"/>
  <c r="E267" i="5"/>
  <c r="F266" i="5"/>
  <c r="E266" i="5"/>
  <c r="F265" i="5"/>
  <c r="E265" i="5"/>
  <c r="F264" i="5"/>
  <c r="E264" i="5"/>
  <c r="F263" i="5"/>
  <c r="E263" i="5"/>
  <c r="F262" i="5"/>
  <c r="E262" i="5"/>
  <c r="F261" i="5"/>
  <c r="E261" i="5"/>
  <c r="F260" i="5"/>
  <c r="E260" i="5"/>
  <c r="F259" i="5"/>
  <c r="E259" i="5"/>
  <c r="F258" i="5"/>
  <c r="E258" i="5"/>
  <c r="F257" i="5"/>
  <c r="E257" i="5"/>
  <c r="F256" i="5"/>
  <c r="E256" i="5"/>
  <c r="F255" i="5"/>
  <c r="E255" i="5"/>
  <c r="F254" i="5"/>
  <c r="E254" i="5"/>
  <c r="F253" i="5"/>
  <c r="E253" i="5"/>
  <c r="F252" i="5"/>
  <c r="E252" i="5"/>
  <c r="F251" i="5"/>
  <c r="E251" i="5"/>
  <c r="F250" i="5"/>
  <c r="E250" i="5"/>
  <c r="F249" i="5"/>
  <c r="E249" i="5"/>
  <c r="F248" i="5"/>
  <c r="E248" i="5"/>
  <c r="F247" i="5"/>
  <c r="E247" i="5"/>
  <c r="F246" i="5"/>
  <c r="E246" i="5"/>
  <c r="F245" i="5"/>
  <c r="E245" i="5"/>
  <c r="F244" i="5"/>
  <c r="E244" i="5"/>
  <c r="F243" i="5"/>
  <c r="E243" i="5"/>
  <c r="F242" i="5"/>
  <c r="E242" i="5"/>
  <c r="F241" i="5"/>
  <c r="E241" i="5"/>
  <c r="F240" i="5"/>
  <c r="E240" i="5"/>
  <c r="F239" i="5"/>
  <c r="E239" i="5"/>
  <c r="F238" i="5"/>
  <c r="E238" i="5"/>
  <c r="F237" i="5"/>
  <c r="E237" i="5"/>
  <c r="F236" i="5"/>
  <c r="E236" i="5"/>
  <c r="F235" i="5"/>
  <c r="E235" i="5"/>
  <c r="F234" i="5"/>
  <c r="E234" i="5"/>
  <c r="F233" i="5"/>
  <c r="E233" i="5"/>
  <c r="F232" i="5"/>
  <c r="E232" i="5"/>
  <c r="F231" i="5"/>
  <c r="E231" i="5"/>
  <c r="F230" i="5"/>
  <c r="E230" i="5"/>
  <c r="F229" i="5"/>
  <c r="E229" i="5"/>
  <c r="F228" i="5"/>
  <c r="E228" i="5"/>
  <c r="F227" i="5"/>
  <c r="E227" i="5"/>
  <c r="F226" i="5"/>
  <c r="E226" i="5"/>
  <c r="F225" i="5"/>
  <c r="E225" i="5"/>
  <c r="F224" i="5"/>
  <c r="E224" i="5"/>
  <c r="F223" i="5"/>
  <c r="E223" i="5"/>
  <c r="F222" i="5"/>
  <c r="E222" i="5"/>
  <c r="F221" i="5"/>
  <c r="E221" i="5"/>
  <c r="F220" i="5"/>
  <c r="E220" i="5"/>
  <c r="F219" i="5"/>
  <c r="E219" i="5"/>
  <c r="F218" i="5"/>
  <c r="E218" i="5"/>
  <c r="F217" i="5"/>
  <c r="E217" i="5"/>
  <c r="F216" i="5"/>
  <c r="E216" i="5"/>
  <c r="F215" i="5"/>
  <c r="E215" i="5"/>
  <c r="F214" i="5"/>
  <c r="E214" i="5"/>
  <c r="F213" i="5"/>
  <c r="E213" i="5"/>
  <c r="F212" i="5"/>
  <c r="E212" i="5"/>
  <c r="F211" i="5"/>
  <c r="E211" i="5"/>
  <c r="F210" i="5"/>
  <c r="E210" i="5"/>
  <c r="F209" i="5"/>
  <c r="E209" i="5"/>
  <c r="F208" i="5"/>
  <c r="E208" i="5"/>
  <c r="F207" i="5"/>
  <c r="E207" i="5"/>
  <c r="F206" i="5"/>
  <c r="E206" i="5"/>
  <c r="F205" i="5"/>
  <c r="E205" i="5"/>
  <c r="F204" i="5"/>
  <c r="E204" i="5"/>
  <c r="F203" i="5"/>
  <c r="E203" i="5"/>
  <c r="F202" i="5"/>
  <c r="E202" i="5"/>
  <c r="F201" i="5"/>
  <c r="E201" i="5"/>
  <c r="F200" i="5"/>
  <c r="E200" i="5"/>
  <c r="F199" i="5"/>
  <c r="E199" i="5"/>
  <c r="F198" i="5"/>
  <c r="E198" i="5"/>
  <c r="F197" i="5"/>
  <c r="E197" i="5"/>
  <c r="F196" i="5"/>
  <c r="E196" i="5"/>
  <c r="F195" i="5"/>
  <c r="E195" i="5"/>
  <c r="F194" i="5"/>
  <c r="E194" i="5"/>
  <c r="F193" i="5"/>
  <c r="E193" i="5"/>
  <c r="F192" i="5"/>
  <c r="E192" i="5"/>
  <c r="F191" i="5"/>
  <c r="E191" i="5"/>
  <c r="F190" i="5"/>
  <c r="E190" i="5"/>
  <c r="F189" i="5"/>
  <c r="E189" i="5"/>
  <c r="F188" i="5"/>
  <c r="E188" i="5"/>
  <c r="F187" i="5"/>
  <c r="E187" i="5"/>
  <c r="F186" i="5"/>
  <c r="E186" i="5"/>
  <c r="F185" i="5"/>
  <c r="E185" i="5"/>
  <c r="F184" i="5"/>
  <c r="E184" i="5"/>
  <c r="F183" i="5"/>
  <c r="E183" i="5"/>
  <c r="F182" i="5"/>
  <c r="E182" i="5"/>
  <c r="F181" i="5"/>
  <c r="E181" i="5"/>
  <c r="F180" i="5"/>
  <c r="E180" i="5"/>
  <c r="F179" i="5"/>
  <c r="E179" i="5"/>
  <c r="F178" i="5"/>
  <c r="E178" i="5"/>
  <c r="F177" i="5"/>
  <c r="E177" i="5"/>
  <c r="F176" i="5"/>
  <c r="E176" i="5"/>
  <c r="F175" i="5"/>
  <c r="E175" i="5"/>
  <c r="F174" i="5"/>
  <c r="E174" i="5"/>
  <c r="F173" i="5"/>
  <c r="E173" i="5"/>
  <c r="F172" i="5"/>
  <c r="E172" i="5"/>
  <c r="F171" i="5"/>
  <c r="E171" i="5"/>
  <c r="F170" i="5"/>
  <c r="E170" i="5"/>
  <c r="F169" i="5"/>
  <c r="E169" i="5"/>
  <c r="F168" i="5"/>
  <c r="E168" i="5"/>
  <c r="F167" i="5"/>
  <c r="E167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6" i="5"/>
  <c r="M13" i="5"/>
  <c r="M12" i="5"/>
  <c r="M11" i="5"/>
  <c r="L20" i="5" s="1"/>
  <c r="M10" i="5"/>
  <c r="M9" i="5"/>
  <c r="M8" i="5"/>
  <c r="M7" i="5"/>
  <c r="B8" i="7"/>
  <c r="E4" i="7"/>
  <c r="E5" i="7" s="1"/>
  <c r="B26" i="3"/>
  <c r="B18" i="2"/>
  <c r="C18" i="2"/>
  <c r="B2" i="2"/>
  <c r="B16" i="2" s="1"/>
  <c r="B3" i="4"/>
  <c r="B1" i="4" s="1"/>
  <c r="B23" i="1" l="1"/>
  <c r="B8" i="1"/>
  <c r="B9" i="3"/>
  <c r="B2" i="3"/>
  <c r="B12" i="1"/>
  <c r="B20" i="2"/>
  <c r="B33" i="7"/>
  <c r="B3" i="6" s="1"/>
  <c r="F4" i="7"/>
  <c r="B9" i="7" s="1"/>
  <c r="B17" i="7" s="1"/>
  <c r="C26" i="2"/>
  <c r="C25" i="2"/>
  <c r="C24" i="2"/>
  <c r="C23" i="2"/>
  <c r="F5" i="7"/>
  <c r="G5" i="7" s="1"/>
  <c r="E6" i="7"/>
  <c r="B9" i="6"/>
  <c r="N22" i="5"/>
  <c r="O22" i="5" s="1"/>
  <c r="R22" i="5" s="1"/>
  <c r="N20" i="5"/>
  <c r="N21" i="5"/>
  <c r="O21" i="5" s="1"/>
  <c r="R21" i="5" s="1"/>
  <c r="N19" i="5"/>
  <c r="B28" i="2" l="1"/>
  <c r="B11" i="6"/>
  <c r="E7" i="7"/>
  <c r="F6" i="7"/>
  <c r="G6" i="7" s="1"/>
  <c r="O20" i="5"/>
  <c r="R20" i="5" s="1"/>
  <c r="N23" i="5"/>
  <c r="O19" i="5"/>
  <c r="F7" i="7" l="1"/>
  <c r="G7" i="7" s="1"/>
  <c r="E8" i="7"/>
  <c r="F8" i="7" s="1"/>
  <c r="G8" i="7" s="1"/>
  <c r="O23" i="5"/>
  <c r="B11" i="3" s="1"/>
  <c r="R19" i="5"/>
  <c r="R23" i="5" s="1"/>
  <c r="B12" i="3" l="1"/>
  <c r="B46" i="7" s="1"/>
  <c r="B10" i="7"/>
  <c r="B20" i="7" s="1"/>
  <c r="E2" i="5"/>
  <c r="B3" i="3" s="1"/>
  <c r="C42" i="7" l="1"/>
  <c r="C41" i="7"/>
  <c r="C44" i="7"/>
  <c r="C43" i="7"/>
  <c r="C45" i="7"/>
  <c r="B11" i="7"/>
  <c r="B2" i="6"/>
  <c r="B15" i="7" l="1"/>
  <c r="B26" i="7" s="1"/>
  <c r="B13" i="7"/>
  <c r="B4" i="6"/>
  <c r="B1" i="6" s="1"/>
  <c r="B48" i="7"/>
  <c r="B10" i="6" l="1"/>
  <c r="B18" i="6" s="1"/>
  <c r="B50" i="7"/>
  <c r="B22" i="6"/>
  <c r="B16" i="6"/>
  <c r="B15" i="6" s="1"/>
  <c r="B36" i="7"/>
  <c r="B18" i="1" s="1"/>
  <c r="L10" i="2"/>
  <c r="B11" i="1"/>
  <c r="B8" i="3"/>
  <c r="B6" i="3" s="1"/>
  <c r="E28" i="2" l="1"/>
  <c r="B22" i="7"/>
  <c r="B3" i="1" s="1"/>
  <c r="B29" i="3"/>
  <c r="B8" i="6"/>
  <c r="B7" i="6" s="1"/>
  <c r="B13" i="6" s="1"/>
  <c r="B27" i="7"/>
  <c r="B4" i="3" l="1"/>
  <c r="B5" i="3" s="1"/>
  <c r="B24" i="1" s="1"/>
  <c r="B19" i="1" s="1"/>
  <c r="B23" i="7"/>
  <c r="B25" i="3"/>
  <c r="B30" i="3"/>
  <c r="B6" i="1"/>
  <c r="C3" i="1" s="1"/>
  <c r="B17" i="6"/>
  <c r="B20" i="6" s="1"/>
  <c r="B21" i="1" s="1"/>
  <c r="B24" i="6" l="1"/>
  <c r="B32" i="3"/>
  <c r="B9" i="1" s="1"/>
  <c r="D3" i="1"/>
  <c r="B4" i="1" l="1"/>
  <c r="C18" i="1"/>
  <c r="E3" i="1"/>
  <c r="D4" i="1" l="1"/>
  <c r="C4" i="1"/>
  <c r="C19" i="1"/>
  <c r="D18" i="1"/>
  <c r="D19" i="1" s="1"/>
  <c r="E4" i="1"/>
  <c r="F3" i="1"/>
  <c r="E18" i="1" l="1"/>
  <c r="E19" i="1" s="1"/>
  <c r="G3" i="1"/>
  <c r="H3" i="1" s="1"/>
  <c r="F4" i="1"/>
  <c r="F18" i="1" l="1"/>
  <c r="F19" i="1" s="1"/>
  <c r="H4" i="1"/>
  <c r="I3" i="1"/>
  <c r="G4" i="1"/>
  <c r="G18" i="1" l="1"/>
  <c r="G19" i="1" s="1"/>
  <c r="J3" i="1"/>
  <c r="I4" i="1"/>
  <c r="H18" i="1" l="1"/>
  <c r="I18" i="1" s="1"/>
  <c r="J4" i="1"/>
  <c r="K3" i="1"/>
  <c r="H19" i="1" l="1"/>
  <c r="K4" i="1"/>
  <c r="L3" i="1"/>
  <c r="J18" i="1"/>
  <c r="I19" i="1"/>
  <c r="L4" i="1" l="1"/>
  <c r="M3" i="1"/>
  <c r="M4" i="1" s="1"/>
  <c r="K18" i="1"/>
  <c r="J19" i="1"/>
  <c r="B5" i="1" l="1"/>
  <c r="L18" i="1"/>
  <c r="K19" i="1"/>
  <c r="B13" i="1" l="1"/>
  <c r="B14" i="1" s="1"/>
  <c r="L19" i="1"/>
  <c r="M18" i="1"/>
  <c r="M19" i="1" s="1"/>
  <c r="B20" i="1" l="1"/>
  <c r="B2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2" authorId="0" shapeId="0" xr:uid="{4746D8E2-EEAF-5F4E-A60A-4F910C4B110D}">
      <text/>
    </comment>
    <comment ref="M17" authorId="0" shapeId="0" xr:uid="{0420E575-5E55-4348-B505-25A344065E43}">
      <text>
        <r>
          <rPr>
            <sz val="10"/>
            <color rgb="FF000000"/>
            <rFont val="Tahoma"/>
            <family val="2"/>
          </rPr>
          <t xml:space="preserve">find in 10k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0" authorId="0" shapeId="0" xr:uid="{824682E0-215A-6C47-B69C-60186C5F85E9}">
      <text>
        <r>
          <rPr>
            <sz val="10"/>
            <color rgb="FF000000"/>
            <rFont val="Tahoma"/>
            <family val="2"/>
          </rPr>
          <t xml:space="preserve">look at the list here--&gt;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38DD0478-8781-9F41-8C20-665AB3CEF3BE}">
      <text>
        <r>
          <rPr>
            <sz val="10"/>
            <color rgb="FF000000"/>
            <rFont val="Tahoma"/>
            <family val="2"/>
          </rPr>
          <t xml:space="preserve">gov bond of the country of 
</t>
        </r>
        <r>
          <rPr>
            <sz val="10"/>
            <color rgb="FF000000"/>
            <rFont val="Tahoma"/>
            <family val="2"/>
          </rPr>
          <t xml:space="preserve">the company </t>
        </r>
      </text>
    </comment>
    <comment ref="B5" authorId="0" shapeId="0" xr:uid="{ED0E74FB-F78D-E44B-82F0-1343EA431B7E}">
      <text>
        <r>
          <rPr>
            <sz val="10"/>
            <color rgb="FF000000"/>
            <rFont val="Tahoma"/>
            <family val="2"/>
          </rPr>
          <t xml:space="preserve">rate of the bond in the same currency(and maturity) used in the country of the government bond </t>
        </r>
      </text>
    </comment>
  </commentList>
</comments>
</file>

<file path=xl/sharedStrings.xml><?xml version="1.0" encoding="utf-8"?>
<sst xmlns="http://schemas.openxmlformats.org/spreadsheetml/2006/main" count="1122" uniqueCount="454">
  <si>
    <t>wacc</t>
  </si>
  <si>
    <t>growth 5y</t>
  </si>
  <si>
    <t xml:space="preserve">share out </t>
  </si>
  <si>
    <t>value of equity</t>
  </si>
  <si>
    <t>int value</t>
  </si>
  <si>
    <t>terminal value</t>
  </si>
  <si>
    <t>mv of debt</t>
  </si>
  <si>
    <t>risk free rate</t>
  </si>
  <si>
    <t xml:space="preserve">risk premium </t>
  </si>
  <si>
    <t>beta</t>
  </si>
  <si>
    <t>cost of equity</t>
  </si>
  <si>
    <t>gov bond</t>
  </si>
  <si>
    <t>default spread</t>
  </si>
  <si>
    <t>risk free bond</t>
  </si>
  <si>
    <t>implied risk premium</t>
  </si>
  <si>
    <t>reinvestment rate</t>
  </si>
  <si>
    <t>net capex</t>
  </si>
  <si>
    <t>ROC</t>
  </si>
  <si>
    <t>ebit</t>
  </si>
  <si>
    <t>1-tax rate</t>
  </si>
  <si>
    <t>bv debt</t>
  </si>
  <si>
    <t>bv equity</t>
  </si>
  <si>
    <t>company1</t>
  </si>
  <si>
    <t>company2</t>
  </si>
  <si>
    <t>company3</t>
  </si>
  <si>
    <t>company4</t>
  </si>
  <si>
    <t>company5</t>
  </si>
  <si>
    <t>company6</t>
  </si>
  <si>
    <t>company7</t>
  </si>
  <si>
    <t>average beta</t>
  </si>
  <si>
    <t>avg beta across companies</t>
  </si>
  <si>
    <t>D/E</t>
  </si>
  <si>
    <t>UNLEVERED BETA FOR BUSINESS</t>
  </si>
  <si>
    <t>avg D/E ratio across companies</t>
  </si>
  <si>
    <t>total revenue</t>
  </si>
  <si>
    <t>bottom up unlevered beta for my firm</t>
  </si>
  <si>
    <t>business3</t>
  </si>
  <si>
    <t>business4</t>
  </si>
  <si>
    <t>business5</t>
  </si>
  <si>
    <t>D/E for my company</t>
  </si>
  <si>
    <t>levered bottom-up beta</t>
  </si>
  <si>
    <t>interest cov ratio</t>
  </si>
  <si>
    <t>interest expense</t>
  </si>
  <si>
    <t>If interest coverage ratio is</t>
  </si>
  <si>
    <t>&gt;</t>
  </si>
  <si>
    <t>≤ to</t>
  </si>
  <si>
    <t>Rating is</t>
  </si>
  <si>
    <t>Spread is</t>
  </si>
  <si>
    <t>8.50</t>
  </si>
  <si>
    <t>Aaa/AAA</t>
  </si>
  <si>
    <t>6.5</t>
  </si>
  <si>
    <t>Aa2/AA</t>
  </si>
  <si>
    <t>5.5</t>
  </si>
  <si>
    <t>A1/A+</t>
  </si>
  <si>
    <t>4.25</t>
  </si>
  <si>
    <t>A2/A</t>
  </si>
  <si>
    <t>A3/A-</t>
  </si>
  <si>
    <t>2.5</t>
  </si>
  <si>
    <t>Baa2/BBB</t>
  </si>
  <si>
    <t>2.25</t>
  </si>
  <si>
    <t>Ba1/BB+</t>
  </si>
  <si>
    <t>Ba2/BB</t>
  </si>
  <si>
    <t>1.75</t>
  </si>
  <si>
    <t>B1/B+</t>
  </si>
  <si>
    <t>1.5</t>
  </si>
  <si>
    <t>B2/B</t>
  </si>
  <si>
    <t>1.25</t>
  </si>
  <si>
    <t>B3/B-</t>
  </si>
  <si>
    <t>0.8</t>
  </si>
  <si>
    <t>Caa/CCC</t>
  </si>
  <si>
    <t>0.65</t>
  </si>
  <si>
    <t>0.799999</t>
  </si>
  <si>
    <t>Ca2/CC</t>
  </si>
  <si>
    <t>0.2</t>
  </si>
  <si>
    <t>0.649999</t>
  </si>
  <si>
    <t>C2/C</t>
  </si>
  <si>
    <t>0.199999</t>
  </si>
  <si>
    <t>D2/D</t>
  </si>
  <si>
    <t>--&gt;</t>
  </si>
  <si>
    <t>greater than</t>
  </si>
  <si>
    <t>12.5</t>
  </si>
  <si>
    <t>0.69%</t>
  </si>
  <si>
    <t>9.5</t>
  </si>
  <si>
    <t>0.85%</t>
  </si>
  <si>
    <t>7.5</t>
  </si>
  <si>
    <t>1.07%</t>
  </si>
  <si>
    <t>1.18%</t>
  </si>
  <si>
    <t>4.5</t>
  </si>
  <si>
    <t>1.33%</t>
  </si>
  <si>
    <t>1.71%</t>
  </si>
  <si>
    <t>3.5</t>
  </si>
  <si>
    <t>2.31%</t>
  </si>
  <si>
    <t>2.77%</t>
  </si>
  <si>
    <t>4.05%</t>
  </si>
  <si>
    <t>4.86%</t>
  </si>
  <si>
    <t>5.94%</t>
  </si>
  <si>
    <t>9.46%</t>
  </si>
  <si>
    <t>9.97%</t>
  </si>
  <si>
    <t>0.5</t>
  </si>
  <si>
    <t>13.09%</t>
  </si>
  <si>
    <t>company def spread</t>
  </si>
  <si>
    <t xml:space="preserve">country def spread </t>
  </si>
  <si>
    <t>cost of debt</t>
  </si>
  <si>
    <t>17.44%</t>
  </si>
  <si>
    <t xml:space="preserve">market weights </t>
  </si>
  <si>
    <t>weight</t>
  </si>
  <si>
    <t>market cap</t>
  </si>
  <si>
    <t>debt</t>
  </si>
  <si>
    <t>mv of equity</t>
  </si>
  <si>
    <t>shares out</t>
  </si>
  <si>
    <t xml:space="preserve">WACC </t>
  </si>
  <si>
    <t xml:space="preserve">r&amp;d </t>
  </si>
  <si>
    <t>treated as capex</t>
  </si>
  <si>
    <t xml:space="preserve">leases </t>
  </si>
  <si>
    <t>treated as debt</t>
  </si>
  <si>
    <t>amortizable life</t>
  </si>
  <si>
    <t>year</t>
  </si>
  <si>
    <t>current</t>
  </si>
  <si>
    <t>r&amp;d expense</t>
  </si>
  <si>
    <t>unamortized</t>
  </si>
  <si>
    <t>Amortization this year</t>
  </si>
  <si>
    <t>Increase in Operating Income</t>
  </si>
  <si>
    <t>Amortization of r&amp;d asset this yr</t>
  </si>
  <si>
    <t xml:space="preserve">EBIT adjusted </t>
  </si>
  <si>
    <t>net income adjusted</t>
  </si>
  <si>
    <t>book equity account</t>
  </si>
  <si>
    <t>book equity adjusted</t>
  </si>
  <si>
    <t>tax rate</t>
  </si>
  <si>
    <t>capex account</t>
  </si>
  <si>
    <t>capex adjusted</t>
  </si>
  <si>
    <t>lease stated</t>
  </si>
  <si>
    <t>pv leases</t>
  </si>
  <si>
    <t>tot pv leases</t>
  </si>
  <si>
    <t>debt adjusted</t>
  </si>
  <si>
    <t xml:space="preserve">acquisitions </t>
  </si>
  <si>
    <t>expected growth op income</t>
  </si>
  <si>
    <t>periods</t>
  </si>
  <si>
    <t>cost of debt pre tax</t>
  </si>
  <si>
    <t>average discount period</t>
  </si>
  <si>
    <t>growth after 10y</t>
  </si>
  <si>
    <t>growth after 5y</t>
  </si>
  <si>
    <t>Country</t>
  </si>
  <si>
    <t>Africa</t>
  </si>
  <si>
    <t>Moody's rating</t>
  </si>
  <si>
    <t>Rating-based Default Spread</t>
  </si>
  <si>
    <t>Total Equity Risk Premium</t>
  </si>
  <si>
    <t>Country Risk Premium</t>
  </si>
  <si>
    <t>Abu Dhabi</t>
  </si>
  <si>
    <t>Middle East</t>
  </si>
  <si>
    <t>Aa2</t>
  </si>
  <si>
    <t>5.20%</t>
  </si>
  <si>
    <t>0.48%</t>
  </si>
  <si>
    <t>Albania</t>
  </si>
  <si>
    <t>Eastern Europe &amp; Russia</t>
  </si>
  <si>
    <t>B1</t>
  </si>
  <si>
    <t>9.08%</t>
  </si>
  <si>
    <t>4.36%</t>
  </si>
  <si>
    <t>Andorra (Principality of)</t>
  </si>
  <si>
    <t>Western Europe</t>
  </si>
  <si>
    <t>Caa1</t>
  </si>
  <si>
    <t>11.98%</t>
  </si>
  <si>
    <t>7.26%</t>
  </si>
  <si>
    <t>Angola</t>
  </si>
  <si>
    <t>Argentina</t>
  </si>
  <si>
    <t>Central and South America</t>
  </si>
  <si>
    <t>Ca</t>
  </si>
  <si>
    <t>16.34%</t>
  </si>
  <si>
    <t>11.62%</t>
  </si>
  <si>
    <t>Armenia</t>
  </si>
  <si>
    <t>Ba3</t>
  </si>
  <si>
    <t>8.21%</t>
  </si>
  <si>
    <t>3.49%</t>
  </si>
  <si>
    <t>Aruba</t>
  </si>
  <si>
    <t>Caribbean</t>
  </si>
  <si>
    <t>Baa1</t>
  </si>
  <si>
    <t>6.27%</t>
  </si>
  <si>
    <t>1.55%</t>
  </si>
  <si>
    <t>Australia</t>
  </si>
  <si>
    <t>Australia &amp; New Zealand</t>
  </si>
  <si>
    <t>Aaa</t>
  </si>
  <si>
    <t>0.00%</t>
  </si>
  <si>
    <t>4.72%</t>
  </si>
  <si>
    <t>Austria</t>
  </si>
  <si>
    <t>Aa1</t>
  </si>
  <si>
    <t>5.10%</t>
  </si>
  <si>
    <t>0.38%</t>
  </si>
  <si>
    <t>Azerbaijan</t>
  </si>
  <si>
    <t>Ba2</t>
  </si>
  <si>
    <t>7.63%</t>
  </si>
  <si>
    <t>2.91%</t>
  </si>
  <si>
    <t>Bahamas</t>
  </si>
  <si>
    <t>Bahrain</t>
  </si>
  <si>
    <t>B2</t>
  </si>
  <si>
    <t>10.05%</t>
  </si>
  <si>
    <t>5.33%</t>
  </si>
  <si>
    <t>Bangladesh</t>
  </si>
  <si>
    <t>Asia</t>
  </si>
  <si>
    <t>Barbados</t>
  </si>
  <si>
    <t>Belarus</t>
  </si>
  <si>
    <t>B3</t>
  </si>
  <si>
    <t>11.02%</t>
  </si>
  <si>
    <t>6.30%</t>
  </si>
  <si>
    <t>Belgium</t>
  </si>
  <si>
    <t>Aa3</t>
  </si>
  <si>
    <t>5.31%</t>
  </si>
  <si>
    <t>0.59%</t>
  </si>
  <si>
    <t>Belize</t>
  </si>
  <si>
    <t>Caa3</t>
  </si>
  <si>
    <t>14.40%</t>
  </si>
  <si>
    <t>9.68%</t>
  </si>
  <si>
    <t>Benin</t>
  </si>
  <si>
    <t>Bermuda</t>
  </si>
  <si>
    <t>A2</t>
  </si>
  <si>
    <t>5.54%</t>
  </si>
  <si>
    <t>0.82%</t>
  </si>
  <si>
    <t>Bolivia</t>
  </si>
  <si>
    <t>Bosnia and Herzegovina</t>
  </si>
  <si>
    <t>Botswana</t>
  </si>
  <si>
    <t>Brazil</t>
  </si>
  <si>
    <t>Bulgaria</t>
  </si>
  <si>
    <t>Burkina Faso</t>
  </si>
  <si>
    <t>Cambodia</t>
  </si>
  <si>
    <t>Cameroon</t>
  </si>
  <si>
    <t>Canada</t>
  </si>
  <si>
    <t>North America</t>
  </si>
  <si>
    <t>Cape Verde</t>
  </si>
  <si>
    <t>Cayman Islands</t>
  </si>
  <si>
    <t>Chile</t>
  </si>
  <si>
    <t>A1</t>
  </si>
  <si>
    <t>5.40%</t>
  </si>
  <si>
    <t>0.68%</t>
  </si>
  <si>
    <t>China</t>
  </si>
  <si>
    <t>Colombia</t>
  </si>
  <si>
    <t>Baa2</t>
  </si>
  <si>
    <t>1.68%</t>
  </si>
  <si>
    <t>6.56%</t>
  </si>
  <si>
    <t>1.84%</t>
  </si>
  <si>
    <t>Congo (Democratic Republic of)</t>
  </si>
  <si>
    <t>Congo (Republic of)</t>
  </si>
  <si>
    <t>Caa2</t>
  </si>
  <si>
    <t>13.44%</t>
  </si>
  <si>
    <t>8.72%</t>
  </si>
  <si>
    <t>Cook Islands</t>
  </si>
  <si>
    <t>Costa Rica</t>
  </si>
  <si>
    <t>Côte d'Ivoire</t>
  </si>
  <si>
    <t>Croatia</t>
  </si>
  <si>
    <t>Ba1</t>
  </si>
  <si>
    <t>7.14%</t>
  </si>
  <si>
    <t>2.42%</t>
  </si>
  <si>
    <t>Cuba</t>
  </si>
  <si>
    <t>Curacao</t>
  </si>
  <si>
    <t>A3</t>
  </si>
  <si>
    <t>5.88%</t>
  </si>
  <si>
    <t>1.16%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</si>
  <si>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</si>
  <si>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</si>
  <si>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</si>
  <si>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</si>
  <si>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</si>
  <si>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</si>
  <si>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</si>
  <si>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</si>
  <si>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</si>
  <si>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</si>
  <si>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</si>
  <si>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</si>
  <si>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</si>
  <si>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</si>
  <si>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</si>
  <si>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</si>
  <si>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</si>
  <si>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</si>
  <si>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Guernsey (States of)</t>
  </si>
  <si>
    <t>Honduras</t>
  </si>
  <si>
    <t>Hong Kong</t>
  </si>
  <si>
    <t>Hungary</t>
  </si>
  <si>
    <t>Baa3</t>
  </si>
  <si>
    <t>6.85%</t>
  </si>
  <si>
    <t>2.13%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</si>
  <si>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</si>
  <si>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</si>
  <si>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</si>
  <si>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</si>
  <si>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</si>
  <si>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</si>
  <si>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</si>
  <si>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</si>
  <si>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</si>
  <si>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</si>
  <si>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Jersey (States of)</t>
  </si>
  <si>
    <t>Jordan</t>
  </si>
  <si>
    <t>Kazakhstan</t>
  </si>
  <si>
    <t>Kenya</t>
  </si>
  <si>
    <t>Korea</t>
  </si>
  <si>
    <t>Kuwait</t>
  </si>
  <si>
    <t>Kyrgyzstan</t>
  </si>
  <si>
    <t>Laos</t>
  </si>
  <si>
    <t>Latvia</t>
  </si>
  <si>
    <t>Lebanon</t>
  </si>
  <si>
    <t>C</t>
  </si>
  <si>
    <t>23.90%</t>
  </si>
  <si>
    <t>19.18%</t>
  </si>
  <si>
    <t>Liechtenstein</t>
  </si>
  <si>
    <t>Lithuania</t>
  </si>
  <si>
    <t>Luxembourg</t>
  </si>
  <si>
    <t>Macao</t>
  </si>
  <si>
    <t>Macedonia</t>
  </si>
  <si>
    <t>Malaysia</t>
  </si>
  <si>
    <t>Maldives</t>
  </si>
  <si>
    <t>Mali</t>
  </si>
  <si>
    <t>Malta</t>
  </si>
  <si>
    <t>Mauritius</t>
  </si>
  <si>
    <t>Mexico</t>
  </si>
  <si>
    <t>Moldova</t>
  </si>
  <si>
    <t>Mongolia</t>
  </si>
  <si>
    <t>Montenegro</t>
  </si>
  <si>
    <t>Montserrat</t>
  </si>
  <si>
    <t>Morocco</t>
  </si>
  <si>
    <t>Mozambique</t>
  </si>
  <si>
    <t>Namibia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</si>
  <si>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</si>
  <si>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</si>
  <si>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</si>
  <si>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</si>
  <si>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</si>
  <si>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</si>
  <si>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</si>
  <si>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</si>
  <si>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</si>
  <si>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</si>
  <si>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</si>
  <si>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</si>
  <si>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</si>
  <si>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</si>
  <si>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</si>
  <si>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</si>
  <si>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Ras Al Khaimah (Emirate of)</t>
  </si>
  <si>
    <t>Romania</t>
  </si>
  <si>
    <t>Russia</t>
  </si>
  <si>
    <t>Rwanda</t>
  </si>
  <si>
    <t>Saudi Arabia</t>
  </si>
  <si>
    <t>Senegal</t>
  </si>
  <si>
    <t>Serbia</t>
  </si>
  <si>
    <t>Sharjah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</si>
  <si>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</si>
  <si>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</si>
  <si>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</si>
  <si>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</si>
  <si>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</si>
  <si>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</si>
  <si>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</si>
  <si>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St. Maarten</t>
  </si>
  <si>
    <t>St. Vincent &amp; the Grenadines</t>
  </si>
  <si>
    <t>Suriname</t>
  </si>
  <si>
    <t>Swaziland</t>
  </si>
  <si>
    <t>Sweden</t>
  </si>
  <si>
    <t>Switzerland</t>
  </si>
  <si>
    <t>Taiwan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</si>
  <si>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</si>
  <si>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</si>
  <si>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</si>
  <si>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</si>
  <si>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</si>
  <si>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</si>
  <si>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</si>
  <si>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Turks and Caicos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</si>
  <si>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</si>
  <si>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</si>
  <si>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</si>
  <si>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</si>
  <si>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</si>
  <si>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</si>
  <si>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</si>
  <si>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</si>
  <si>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</si>
  <si>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Zambia</t>
  </si>
  <si>
    <t>avg africa</t>
  </si>
  <si>
    <t>criteria</t>
  </si>
  <si>
    <t xml:space="preserve">avg middle east </t>
  </si>
  <si>
    <t xml:space="preserve">avg western europe </t>
  </si>
  <si>
    <t>avg eastern europe</t>
  </si>
  <si>
    <t>avg Central and South America</t>
  </si>
  <si>
    <t>avg Australia &amp; New Zealand</t>
  </si>
  <si>
    <t>avg asia</t>
  </si>
  <si>
    <t>avg carribean</t>
  </si>
  <si>
    <t>avg def risk</t>
  </si>
  <si>
    <t>avg north america</t>
  </si>
  <si>
    <t>weights</t>
  </si>
  <si>
    <t>def risk</t>
  </si>
  <si>
    <t>tot</t>
  </si>
  <si>
    <t>country the company operates in</t>
  </si>
  <si>
    <t>FCFF adjusted</t>
  </si>
  <si>
    <t>in thousands</t>
  </si>
  <si>
    <t>in mln</t>
  </si>
  <si>
    <t>def risk per country cost of debt</t>
  </si>
  <si>
    <t>Value of research asset this yr</t>
  </si>
  <si>
    <t xml:space="preserve">shares out </t>
  </si>
  <si>
    <t>country risk premium</t>
  </si>
  <si>
    <t xml:space="preserve">Debt ratio </t>
  </si>
  <si>
    <t>ROE</t>
  </si>
  <si>
    <t xml:space="preserve">i </t>
  </si>
  <si>
    <t>growth in net income</t>
  </si>
  <si>
    <t xml:space="preserve">retention ratio </t>
  </si>
  <si>
    <t>retained earnings</t>
  </si>
  <si>
    <t>growth in eps</t>
  </si>
  <si>
    <t>tax provision</t>
  </si>
  <si>
    <t>name of the firm</t>
  </si>
  <si>
    <t>big companies(&gt; $5 billion)</t>
  </si>
  <si>
    <t>small companies(&lt; $5 billion)</t>
  </si>
  <si>
    <t>actual price</t>
  </si>
  <si>
    <t>change in wc account</t>
  </si>
  <si>
    <t>revenues</t>
  </si>
  <si>
    <t>cash and equivalents</t>
  </si>
  <si>
    <t>source damodaran</t>
  </si>
  <si>
    <t xml:space="preserve">spreadsheet by </t>
  </si>
  <si>
    <t xml:space="preserve">Robert Isaic </t>
  </si>
  <si>
    <t>FCFF</t>
  </si>
  <si>
    <t>DCF</t>
  </si>
  <si>
    <t>FCFE</t>
  </si>
  <si>
    <t>EBITDA ACCOUNT</t>
  </si>
  <si>
    <t>EBIT account</t>
  </si>
  <si>
    <t>NET INCOME account</t>
  </si>
  <si>
    <t>2021</t>
  </si>
  <si>
    <t>usa</t>
  </si>
  <si>
    <t xml:space="preserve">fcfe adjusted </t>
  </si>
  <si>
    <t>EV</t>
  </si>
  <si>
    <t>recievables</t>
  </si>
  <si>
    <t>payables</t>
  </si>
  <si>
    <t>inventory</t>
  </si>
  <si>
    <t>previous y</t>
  </si>
  <si>
    <t>change in non cash wc</t>
  </si>
  <si>
    <t>non cash wc</t>
  </si>
  <si>
    <t>new debt issued</t>
  </si>
  <si>
    <t>repayment of debt</t>
  </si>
  <si>
    <t>if levrage is stable</t>
  </si>
  <si>
    <t>equity reinvestment rate</t>
  </si>
  <si>
    <t>int</t>
  </si>
  <si>
    <t>tot assets</t>
  </si>
  <si>
    <t>tot liabilities</t>
  </si>
  <si>
    <t>1-DR</t>
  </si>
  <si>
    <t>2025&gt;</t>
  </si>
  <si>
    <t>2023-24</t>
  </si>
  <si>
    <t>2022-23</t>
  </si>
  <si>
    <t>tech</t>
  </si>
  <si>
    <t>msft</t>
  </si>
  <si>
    <t>google</t>
  </si>
  <si>
    <t>dell</t>
  </si>
  <si>
    <t>amazon</t>
  </si>
  <si>
    <t>hp</t>
  </si>
  <si>
    <t>sony</t>
  </si>
  <si>
    <t>tencent</t>
  </si>
  <si>
    <t>business2</t>
  </si>
  <si>
    <t>depreciation</t>
  </si>
  <si>
    <t>AAPL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</si>
</sst>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#,##0\ &quot;€&quot;;[Red]\-#,##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0_-;\-* #,##0.000_-;_-* &quot;-&quot;??_-;_-@_-"/>
    <numFmt numFmtId="165" formatCode="_-* #,##0\ &quot;€&quot;_-;\-* #,##0\ &quot;€&quot;_-;_-* &quot;-&quot;??\ &quot;€&quot;_-;_-@_-"/>
    <numFmt numFmtId="166" formatCode="_-* #,##0_-;\-* #,##0_-;_-* &quot;-&quot;??_-;_-@_-"/>
    <numFmt numFmtId="167" formatCode="0.000"/>
    <numFmt numFmtId="168" formatCode="0.000%"/>
    <numFmt numFmtId="169" formatCode="0.0000"/>
    <numFmt numFmtId="170" formatCode="0.0000%"/>
    <numFmt numFmtId="171" formatCode="_-* #,##0.000\ &quot;€&quot;_-;\-* #,##0.000\ &quot;€&quot;_-;_-* &quot;-&quot;??\ &quot;€&quot;_-;_-@_-"/>
    <numFmt numFmtId="172" formatCode="_-* #,##0.000\ _€_-;\-* #,##0.000\ _€_-;_-* &quot;-&quot;???\ _€_-;_-@_-"/>
  </numFmts>
  <fonts count="3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 (Body)"/>
    </font>
    <font>
      <sz val="14"/>
      <color rgb="FF000000"/>
      <name val="Arial"/>
      <family val="2"/>
    </font>
    <font>
      <sz val="16"/>
      <color theme="1"/>
      <name val="Times"/>
      <family val="1"/>
    </font>
    <font>
      <sz val="18"/>
      <color theme="1"/>
      <name val="Times"/>
      <family val="1"/>
    </font>
    <font>
      <sz val="13"/>
      <color rgb="FF000000"/>
      <name val="Helvetica Neue"/>
      <family val="2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202124"/>
      <name val="Calibri"/>
      <family val="2"/>
      <scheme val="minor"/>
    </font>
    <font>
      <sz val="14"/>
      <color rgb="FF000000"/>
      <name val="Helvetica Neue"/>
      <family val="2"/>
    </font>
    <font>
      <sz val="13"/>
      <color theme="1"/>
      <name val="Calibri"/>
      <family val="2"/>
      <scheme val="minor"/>
    </font>
    <font>
      <i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8"/>
      <color theme="1"/>
      <name val="HelveticaLTStd"/>
    </font>
    <font>
      <sz val="9"/>
      <color theme="1"/>
      <name val="HelveticaLTStd"/>
    </font>
    <font>
      <sz val="14"/>
      <color theme="0"/>
      <name val="Calibri"/>
      <family val="2"/>
      <scheme val="minor"/>
    </font>
    <font>
      <sz val="18"/>
      <color theme="1"/>
      <name val="Times Roman"/>
    </font>
    <font>
      <sz val="14"/>
      <color theme="1"/>
      <name val="Times Roman"/>
    </font>
    <font>
      <sz val="14"/>
      <color theme="0"/>
      <name val="Calibri (Body)"/>
    </font>
    <font>
      <sz val="10"/>
      <color rgb="FF000000"/>
      <name val="Tahoma"/>
      <family val="2"/>
    </font>
    <font>
      <b/>
      <sz val="14"/>
      <name val="Calibri"/>
      <family val="2"/>
      <scheme val="minor"/>
    </font>
    <font>
      <i/>
      <u/>
      <sz val="14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6"/>
      <color theme="1"/>
      <name val="Calibri (Body)"/>
    </font>
    <font>
      <b/>
      <i/>
      <u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6B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A9CEA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474E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2">
    <xf numFmtId="0" fontId="0" fillId="0" borderId="0" xfId="0"/>
    <xf numFmtId="0" fontId="2" fillId="0" borderId="0" xfId="0" applyFont="1"/>
    <xf numFmtId="10" fontId="2" fillId="0" borderId="0" xfId="0" applyNumberFormat="1" applyFont="1"/>
    <xf numFmtId="0" fontId="2" fillId="0" borderId="0" xfId="0" quotePrefix="1" applyFont="1"/>
    <xf numFmtId="0" fontId="2" fillId="2" borderId="0" xfId="0" applyFont="1" applyFill="1"/>
    <xf numFmtId="10" fontId="2" fillId="2" borderId="0" xfId="3" applyNumberFormat="1" applyFont="1" applyFill="1"/>
    <xf numFmtId="0" fontId="2" fillId="4" borderId="0" xfId="0" applyFont="1" applyFill="1"/>
    <xf numFmtId="0" fontId="2" fillId="5" borderId="0" xfId="0" applyFont="1" applyFill="1"/>
    <xf numFmtId="44" fontId="2" fillId="0" borderId="0" xfId="1" applyFont="1" applyFill="1" applyBorder="1"/>
    <xf numFmtId="0" fontId="5" fillId="0" borderId="0" xfId="0" applyFont="1"/>
    <xf numFmtId="164" fontId="2" fillId="0" borderId="0" xfId="2" applyNumberFormat="1" applyFont="1" applyFill="1" applyBorder="1"/>
    <xf numFmtId="165" fontId="2" fillId="0" borderId="0" xfId="1" applyNumberFormat="1" applyFont="1" applyFill="1" applyBorder="1"/>
    <xf numFmtId="9" fontId="2" fillId="5" borderId="0" xfId="3" applyFont="1" applyFill="1" applyBorder="1"/>
    <xf numFmtId="0" fontId="2" fillId="6" borderId="0" xfId="0" applyFont="1" applyFill="1"/>
    <xf numFmtId="0" fontId="6" fillId="0" borderId="0" xfId="0" applyFont="1"/>
    <xf numFmtId="166" fontId="2" fillId="7" borderId="0" xfId="2" quotePrefix="1" applyNumberFormat="1" applyFont="1" applyFill="1"/>
    <xf numFmtId="0" fontId="2" fillId="0" borderId="3" xfId="0" applyFont="1" applyBorder="1"/>
    <xf numFmtId="0" fontId="2" fillId="0" borderId="5" xfId="0" applyFont="1" applyBorder="1"/>
    <xf numFmtId="0" fontId="2" fillId="8" borderId="0" xfId="0" applyFont="1" applyFill="1"/>
    <xf numFmtId="0" fontId="8" fillId="9" borderId="1" xfId="0" applyFont="1" applyFill="1" applyBorder="1"/>
    <xf numFmtId="0" fontId="2" fillId="2" borderId="8" xfId="0" applyFont="1" applyFill="1" applyBorder="1"/>
    <xf numFmtId="0" fontId="2" fillId="7" borderId="0" xfId="0" applyFont="1" applyFill="1"/>
    <xf numFmtId="43" fontId="2" fillId="7" borderId="0" xfId="2" applyFont="1" applyFill="1" applyBorder="1"/>
    <xf numFmtId="167" fontId="2" fillId="6" borderId="0" xfId="0" applyNumberFormat="1" applyFont="1" applyFill="1"/>
    <xf numFmtId="167" fontId="8" fillId="9" borderId="7" xfId="0" applyNumberFormat="1" applyFont="1" applyFill="1" applyBorder="1"/>
    <xf numFmtId="167" fontId="2" fillId="8" borderId="0" xfId="0" applyNumberFormat="1" applyFont="1" applyFill="1"/>
    <xf numFmtId="2" fontId="2" fillId="8" borderId="0" xfId="0" applyNumberFormat="1" applyFont="1" applyFill="1"/>
    <xf numFmtId="43" fontId="2" fillId="0" borderId="0" xfId="2" applyFont="1"/>
    <xf numFmtId="167" fontId="0" fillId="2" borderId="0" xfId="0" applyNumberFormat="1" applyFill="1"/>
    <xf numFmtId="0" fontId="0" fillId="2" borderId="0" xfId="0" applyFill="1"/>
    <xf numFmtId="0" fontId="0" fillId="8" borderId="0" xfId="0" applyFill="1"/>
    <xf numFmtId="0" fontId="2" fillId="9" borderId="1" xfId="0" applyFont="1" applyFill="1" applyBorder="1"/>
    <xf numFmtId="165" fontId="11" fillId="0" borderId="0" xfId="1" applyNumberFormat="1" applyFont="1"/>
    <xf numFmtId="165" fontId="2" fillId="0" borderId="0" xfId="0" applyNumberFormat="1" applyFont="1"/>
    <xf numFmtId="0" fontId="13" fillId="6" borderId="0" xfId="0" applyFont="1" applyFill="1"/>
    <xf numFmtId="0" fontId="14" fillId="6" borderId="0" xfId="0" applyFont="1" applyFill="1"/>
    <xf numFmtId="0" fontId="13" fillId="0" borderId="0" xfId="0" applyFont="1"/>
    <xf numFmtId="0" fontId="15" fillId="6" borderId="0" xfId="0" applyFont="1" applyFill="1"/>
    <xf numFmtId="0" fontId="15" fillId="0" borderId="0" xfId="0" applyFont="1"/>
    <xf numFmtId="3" fontId="13" fillId="0" borderId="0" xfId="0" applyNumberFormat="1" applyFont="1"/>
    <xf numFmtId="0" fontId="2" fillId="2" borderId="9" xfId="0" applyFont="1" applyFill="1" applyBorder="1"/>
    <xf numFmtId="10" fontId="2" fillId="2" borderId="9" xfId="3" applyNumberFormat="1" applyFont="1" applyFill="1" applyBorder="1"/>
    <xf numFmtId="0" fontId="2" fillId="0" borderId="11" xfId="0" applyFont="1" applyBorder="1"/>
    <xf numFmtId="0" fontId="16" fillId="0" borderId="0" xfId="0" applyFont="1"/>
    <xf numFmtId="0" fontId="17" fillId="0" borderId="0" xfId="0" applyFont="1"/>
    <xf numFmtId="0" fontId="9" fillId="0" borderId="0" xfId="0" applyFont="1"/>
    <xf numFmtId="0" fontId="19" fillId="0" borderId="0" xfId="0" applyFont="1"/>
    <xf numFmtId="10" fontId="2" fillId="0" borderId="0" xfId="3" applyNumberFormat="1" applyFont="1"/>
    <xf numFmtId="0" fontId="2" fillId="11" borderId="0" xfId="0" applyFont="1" applyFill="1"/>
    <xf numFmtId="0" fontId="9" fillId="11" borderId="0" xfId="0" applyFont="1" applyFill="1"/>
    <xf numFmtId="0" fontId="18" fillId="11" borderId="0" xfId="0" applyFont="1" applyFill="1"/>
    <xf numFmtId="0" fontId="20" fillId="11" borderId="0" xfId="0" applyFont="1" applyFill="1"/>
    <xf numFmtId="10" fontId="2" fillId="5" borderId="0" xfId="3" applyNumberFormat="1" applyFont="1" applyFill="1"/>
    <xf numFmtId="10" fontId="18" fillId="5" borderId="0" xfId="3" applyNumberFormat="1" applyFont="1" applyFill="1"/>
    <xf numFmtId="0" fontId="0" fillId="11" borderId="0" xfId="0" applyFill="1"/>
    <xf numFmtId="0" fontId="21" fillId="0" borderId="0" xfId="0" applyFont="1"/>
    <xf numFmtId="0" fontId="22" fillId="0" borderId="0" xfId="0" applyFont="1"/>
    <xf numFmtId="10" fontId="2" fillId="2" borderId="0" xfId="0" applyNumberFormat="1" applyFont="1" applyFill="1"/>
    <xf numFmtId="0" fontId="23" fillId="0" borderId="0" xfId="0" applyFont="1"/>
    <xf numFmtId="10" fontId="2" fillId="0" borderId="10" xfId="0" applyNumberFormat="1" applyFont="1" applyBorder="1"/>
    <xf numFmtId="0" fontId="2" fillId="10" borderId="0" xfId="0" applyFont="1" applyFill="1"/>
    <xf numFmtId="168" fontId="2" fillId="0" borderId="0" xfId="3" applyNumberFormat="1" applyFont="1"/>
    <xf numFmtId="168" fontId="2" fillId="2" borderId="0" xfId="0" applyNumberFormat="1" applyFont="1" applyFill="1"/>
    <xf numFmtId="0" fontId="2" fillId="0" borderId="10" xfId="0" applyFont="1" applyBorder="1"/>
    <xf numFmtId="168" fontId="2" fillId="9" borderId="7" xfId="3" applyNumberFormat="1" applyFont="1" applyFill="1" applyBorder="1"/>
    <xf numFmtId="168" fontId="2" fillId="2" borderId="8" xfId="3" applyNumberFormat="1" applyFont="1" applyFill="1" applyBorder="1"/>
    <xf numFmtId="0" fontId="24" fillId="0" borderId="0" xfId="0" applyFont="1"/>
    <xf numFmtId="0" fontId="25" fillId="0" borderId="0" xfId="0" applyFont="1"/>
    <xf numFmtId="165" fontId="11" fillId="0" borderId="0" xfId="1" applyNumberFormat="1" applyFont="1" applyBorder="1"/>
    <xf numFmtId="9" fontId="2" fillId="5" borderId="0" xfId="0" applyNumberFormat="1" applyFont="1" applyFill="1"/>
    <xf numFmtId="10" fontId="2" fillId="2" borderId="9" xfId="0" applyNumberFormat="1" applyFont="1" applyFill="1" applyBorder="1"/>
    <xf numFmtId="0" fontId="7" fillId="0" borderId="0" xfId="0" applyFont="1"/>
    <xf numFmtId="10" fontId="2" fillId="0" borderId="0" xfId="3" applyNumberFormat="1" applyFont="1" applyFill="1" applyBorder="1"/>
    <xf numFmtId="44" fontId="7" fillId="0" borderId="0" xfId="1" applyFont="1" applyBorder="1"/>
    <xf numFmtId="43" fontId="9" fillId="0" borderId="0" xfId="2" applyFont="1" applyFill="1" applyBorder="1"/>
    <xf numFmtId="0" fontId="2" fillId="12" borderId="0" xfId="0" applyFont="1" applyFill="1"/>
    <xf numFmtId="165" fontId="11" fillId="12" borderId="0" xfId="1" applyNumberFormat="1" applyFont="1" applyFill="1"/>
    <xf numFmtId="0" fontId="2" fillId="12" borderId="12" xfId="0" applyFont="1" applyFill="1" applyBorder="1"/>
    <xf numFmtId="44" fontId="2" fillId="12" borderId="12" xfId="1" applyFont="1" applyFill="1" applyBorder="1"/>
    <xf numFmtId="165" fontId="7" fillId="12" borderId="12" xfId="1" applyNumberFormat="1" applyFont="1" applyFill="1" applyBorder="1"/>
    <xf numFmtId="165" fontId="2" fillId="12" borderId="12" xfId="1" applyNumberFormat="1" applyFont="1" applyFill="1" applyBorder="1"/>
    <xf numFmtId="165" fontId="2" fillId="12" borderId="0" xfId="1" applyNumberFormat="1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26" fillId="13" borderId="0" xfId="0" applyFont="1" applyFill="1"/>
    <xf numFmtId="0" fontId="23" fillId="13" borderId="0" xfId="0" applyFont="1" applyFill="1"/>
    <xf numFmtId="164" fontId="2" fillId="0" borderId="0" xfId="2" applyNumberFormat="1" applyFont="1"/>
    <xf numFmtId="0" fontId="2" fillId="7" borderId="12" xfId="0" applyFont="1" applyFill="1" applyBorder="1"/>
    <xf numFmtId="10" fontId="2" fillId="7" borderId="12" xfId="0" applyNumberFormat="1" applyFont="1" applyFill="1" applyBorder="1"/>
    <xf numFmtId="10" fontId="9" fillId="7" borderId="12" xfId="0" applyNumberFormat="1" applyFont="1" applyFill="1" applyBorder="1"/>
    <xf numFmtId="0" fontId="2" fillId="0" borderId="2" xfId="0" applyFont="1" applyBorder="1"/>
    <xf numFmtId="0" fontId="2" fillId="11" borderId="12" xfId="0" applyFont="1" applyFill="1" applyBorder="1"/>
    <xf numFmtId="10" fontId="2" fillId="12" borderId="0" xfId="0" applyNumberFormat="1" applyFont="1" applyFill="1"/>
    <xf numFmtId="169" fontId="2" fillId="0" borderId="0" xfId="0" applyNumberFormat="1" applyFont="1"/>
    <xf numFmtId="165" fontId="2" fillId="12" borderId="0" xfId="1" applyNumberFormat="1" applyFont="1" applyFill="1"/>
    <xf numFmtId="10" fontId="2" fillId="5" borderId="0" xfId="0" applyNumberFormat="1" applyFont="1" applyFill="1"/>
    <xf numFmtId="0" fontId="13" fillId="5" borderId="0" xfId="0" applyFont="1" applyFill="1"/>
    <xf numFmtId="0" fontId="8" fillId="6" borderId="0" xfId="0" applyFont="1" applyFill="1"/>
    <xf numFmtId="0" fontId="28" fillId="6" borderId="0" xfId="0" applyFont="1" applyFill="1"/>
    <xf numFmtId="2" fontId="2" fillId="12" borderId="0" xfId="0" applyNumberFormat="1" applyFont="1" applyFill="1"/>
    <xf numFmtId="165" fontId="2" fillId="12" borderId="0" xfId="0" applyNumberFormat="1" applyFont="1" applyFill="1"/>
    <xf numFmtId="0" fontId="12" fillId="4" borderId="0" xfId="0" applyFont="1" applyFill="1"/>
    <xf numFmtId="0" fontId="2" fillId="4" borderId="12" xfId="0" applyFont="1" applyFill="1" applyBorder="1"/>
    <xf numFmtId="165" fontId="2" fillId="4" borderId="12" xfId="0" applyNumberFormat="1" applyFont="1" applyFill="1" applyBorder="1"/>
    <xf numFmtId="0" fontId="0" fillId="4" borderId="0" xfId="0" applyFill="1"/>
    <xf numFmtId="44" fontId="2" fillId="4" borderId="12" xfId="0" applyNumberFormat="1" applyFont="1" applyFill="1" applyBorder="1"/>
    <xf numFmtId="0" fontId="2" fillId="10" borderId="16" xfId="0" applyFont="1" applyFill="1" applyBorder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2" fillId="0" borderId="17" xfId="0" applyFont="1" applyBorder="1"/>
    <xf numFmtId="0" fontId="2" fillId="0" borderId="21" xfId="0" applyFont="1" applyBorder="1"/>
    <xf numFmtId="0" fontId="2" fillId="12" borderId="22" xfId="0" applyFont="1" applyFill="1" applyBorder="1"/>
    <xf numFmtId="9" fontId="3" fillId="6" borderId="16" xfId="0" applyNumberFormat="1" applyFont="1" applyFill="1" applyBorder="1"/>
    <xf numFmtId="10" fontId="2" fillId="6" borderId="16" xfId="3" applyNumberFormat="1" applyFont="1" applyFill="1" applyBorder="1"/>
    <xf numFmtId="10" fontId="3" fillId="6" borderId="16" xfId="0" applyNumberFormat="1" applyFont="1" applyFill="1" applyBorder="1"/>
    <xf numFmtId="10" fontId="2" fillId="10" borderId="16" xfId="0" applyNumberFormat="1" applyFont="1" applyFill="1" applyBorder="1"/>
    <xf numFmtId="1" fontId="2" fillId="0" borderId="22" xfId="0" applyNumberFormat="1" applyFont="1" applyBorder="1"/>
    <xf numFmtId="10" fontId="2" fillId="6" borderId="16" xfId="0" applyNumberFormat="1" applyFont="1" applyFill="1" applyBorder="1"/>
    <xf numFmtId="165" fontId="2" fillId="0" borderId="16" xfId="1" applyNumberFormat="1" applyFont="1" applyFill="1" applyBorder="1"/>
    <xf numFmtId="165" fontId="9" fillId="0" borderId="16" xfId="1" applyNumberFormat="1" applyFont="1" applyBorder="1"/>
    <xf numFmtId="1" fontId="2" fillId="0" borderId="16" xfId="0" applyNumberFormat="1" applyFont="1" applyBorder="1"/>
    <xf numFmtId="165" fontId="4" fillId="0" borderId="0" xfId="1" applyNumberFormat="1" applyFont="1" applyBorder="1"/>
    <xf numFmtId="165" fontId="2" fillId="0" borderId="0" xfId="1" applyNumberFormat="1" applyFont="1" applyBorder="1"/>
    <xf numFmtId="171" fontId="2" fillId="4" borderId="12" xfId="0" applyNumberFormat="1" applyFont="1" applyFill="1" applyBorder="1"/>
    <xf numFmtId="165" fontId="2" fillId="0" borderId="0" xfId="1" applyNumberFormat="1" applyFont="1"/>
    <xf numFmtId="0" fontId="9" fillId="10" borderId="0" xfId="0" applyFont="1" applyFill="1"/>
    <xf numFmtId="10" fontId="9" fillId="7" borderId="0" xfId="3" applyNumberFormat="1" applyFont="1" applyFill="1"/>
    <xf numFmtId="10" fontId="2" fillId="7" borderId="12" xfId="3" applyNumberFormat="1" applyFont="1" applyFill="1" applyBorder="1"/>
    <xf numFmtId="10" fontId="9" fillId="7" borderId="12" xfId="3" applyNumberFormat="1" applyFont="1" applyFill="1" applyBorder="1"/>
    <xf numFmtId="10" fontId="2" fillId="7" borderId="4" xfId="0" applyNumberFormat="1" applyFont="1" applyFill="1" applyBorder="1"/>
    <xf numFmtId="10" fontId="2" fillId="7" borderId="6" xfId="0" applyNumberFormat="1" applyFont="1" applyFill="1" applyBorder="1"/>
    <xf numFmtId="10" fontId="2" fillId="10" borderId="16" xfId="3" applyNumberFormat="1" applyFont="1" applyFill="1" applyBorder="1"/>
    <xf numFmtId="0" fontId="2" fillId="4" borderId="22" xfId="0" applyFont="1" applyFill="1" applyBorder="1"/>
    <xf numFmtId="165" fontId="2" fillId="12" borderId="13" xfId="1" applyNumberFormat="1" applyFont="1" applyFill="1" applyBorder="1"/>
    <xf numFmtId="165" fontId="9" fillId="12" borderId="12" xfId="1" applyNumberFormat="1" applyFont="1" applyFill="1" applyBorder="1"/>
    <xf numFmtId="165" fontId="2" fillId="4" borderId="12" xfId="1" applyNumberFormat="1" applyFont="1" applyFill="1" applyBorder="1"/>
    <xf numFmtId="165" fontId="7" fillId="12" borderId="0" xfId="1" applyNumberFormat="1" applyFont="1" applyFill="1"/>
    <xf numFmtId="165" fontId="2" fillId="7" borderId="18" xfId="0" applyNumberFormat="1" applyFont="1" applyFill="1" applyBorder="1"/>
    <xf numFmtId="165" fontId="2" fillId="7" borderId="25" xfId="0" applyNumberFormat="1" applyFont="1" applyFill="1" applyBorder="1"/>
    <xf numFmtId="2" fontId="2" fillId="0" borderId="0" xfId="0" applyNumberFormat="1" applyFont="1"/>
    <xf numFmtId="165" fontId="2" fillId="7" borderId="21" xfId="0" applyNumberFormat="1" applyFont="1" applyFill="1" applyBorder="1"/>
    <xf numFmtId="165" fontId="2" fillId="11" borderId="12" xfId="0" applyNumberFormat="1" applyFont="1" applyFill="1" applyBorder="1"/>
    <xf numFmtId="43" fontId="2" fillId="12" borderId="12" xfId="2" applyFont="1" applyFill="1" applyBorder="1"/>
    <xf numFmtId="165" fontId="9" fillId="0" borderId="0" xfId="1" applyNumberFormat="1" applyFont="1" applyBorder="1"/>
    <xf numFmtId="9" fontId="2" fillId="5" borderId="0" xfId="3" applyFont="1" applyFill="1"/>
    <xf numFmtId="165" fontId="7" fillId="12" borderId="20" xfId="1" applyNumberFormat="1" applyFont="1" applyFill="1" applyBorder="1"/>
    <xf numFmtId="165" fontId="9" fillId="12" borderId="26" xfId="1" applyNumberFormat="1" applyFont="1" applyFill="1" applyBorder="1"/>
    <xf numFmtId="165" fontId="9" fillId="12" borderId="13" xfId="1" applyNumberFormat="1" applyFont="1" applyFill="1" applyBorder="1"/>
    <xf numFmtId="165" fontId="2" fillId="4" borderId="16" xfId="1" applyNumberFormat="1" applyFont="1" applyFill="1" applyBorder="1"/>
    <xf numFmtId="165" fontId="2" fillId="4" borderId="18" xfId="0" applyNumberFormat="1" applyFont="1" applyFill="1" applyBorder="1"/>
    <xf numFmtId="0" fontId="2" fillId="12" borderId="25" xfId="0" applyFont="1" applyFill="1" applyBorder="1"/>
    <xf numFmtId="0" fontId="7" fillId="12" borderId="12" xfId="0" applyFont="1" applyFill="1" applyBorder="1"/>
    <xf numFmtId="0" fontId="2" fillId="4" borderId="26" xfId="0" applyFont="1" applyFill="1" applyBorder="1"/>
    <xf numFmtId="0" fontId="2" fillId="12" borderId="27" xfId="0" applyFont="1" applyFill="1" applyBorder="1"/>
    <xf numFmtId="0" fontId="8" fillId="0" borderId="0" xfId="0" applyFont="1"/>
    <xf numFmtId="0" fontId="2" fillId="2" borderId="12" xfId="0" applyFont="1" applyFill="1" applyBorder="1"/>
    <xf numFmtId="0" fontId="3" fillId="2" borderId="13" xfId="0" applyFont="1" applyFill="1" applyBorder="1"/>
    <xf numFmtId="0" fontId="2" fillId="7" borderId="13" xfId="0" applyFont="1" applyFill="1" applyBorder="1"/>
    <xf numFmtId="0" fontId="2" fillId="6" borderId="16" xfId="0" applyFont="1" applyFill="1" applyBorder="1"/>
    <xf numFmtId="0" fontId="3" fillId="6" borderId="29" xfId="0" applyFont="1" applyFill="1" applyBorder="1"/>
    <xf numFmtId="0" fontId="3" fillId="6" borderId="16" xfId="0" applyFont="1" applyFill="1" applyBorder="1"/>
    <xf numFmtId="0" fontId="3" fillId="10" borderId="16" xfId="0" applyFont="1" applyFill="1" applyBorder="1"/>
    <xf numFmtId="0" fontId="3" fillId="0" borderId="16" xfId="0" applyFont="1" applyBorder="1"/>
    <xf numFmtId="0" fontId="2" fillId="0" borderId="29" xfId="0" applyFont="1" applyBorder="1"/>
    <xf numFmtId="0" fontId="2" fillId="7" borderId="22" xfId="0" applyFont="1" applyFill="1" applyBorder="1"/>
    <xf numFmtId="0" fontId="2" fillId="2" borderId="16" xfId="0" applyFont="1" applyFill="1" applyBorder="1"/>
    <xf numFmtId="0" fontId="2" fillId="6" borderId="18" xfId="0" applyFont="1" applyFill="1" applyBorder="1"/>
    <xf numFmtId="0" fontId="3" fillId="6" borderId="12" xfId="0" applyFont="1" applyFill="1" applyBorder="1"/>
    <xf numFmtId="0" fontId="2" fillId="0" borderId="28" xfId="0" applyFont="1" applyBorder="1"/>
    <xf numFmtId="0" fontId="32" fillId="0" borderId="0" xfId="0" applyFont="1"/>
    <xf numFmtId="172" fontId="2" fillId="0" borderId="0" xfId="0" applyNumberFormat="1" applyFont="1"/>
    <xf numFmtId="165" fontId="4" fillId="0" borderId="0" xfId="1" applyNumberFormat="1" applyFont="1"/>
    <xf numFmtId="165" fontId="2" fillId="12" borderId="12" xfId="0" applyNumberFormat="1" applyFont="1" applyFill="1" applyBorder="1"/>
    <xf numFmtId="0" fontId="33" fillId="14" borderId="0" xfId="0" applyFont="1" applyFill="1"/>
    <xf numFmtId="0" fontId="34" fillId="15" borderId="0" xfId="0" applyFont="1" applyFill="1"/>
    <xf numFmtId="6" fontId="2" fillId="0" borderId="0" xfId="0" applyNumberFormat="1" applyFont="1"/>
    <xf numFmtId="165" fontId="2" fillId="11" borderId="12" xfId="1" applyNumberFormat="1" applyFont="1" applyFill="1" applyBorder="1"/>
    <xf numFmtId="165" fontId="10" fillId="11" borderId="12" xfId="1" applyNumberFormat="1" applyFont="1" applyFill="1" applyBorder="1"/>
    <xf numFmtId="0" fontId="2" fillId="0" borderId="22" xfId="0" applyFont="1" applyBorder="1"/>
    <xf numFmtId="0" fontId="2" fillId="3" borderId="12" xfId="0" applyFont="1" applyFill="1" applyBorder="1"/>
    <xf numFmtId="10" fontId="2" fillId="0" borderId="19" xfId="0" applyNumberFormat="1" applyFont="1" applyBorder="1"/>
    <xf numFmtId="170" fontId="2" fillId="2" borderId="30" xfId="0" applyNumberFormat="1" applyFont="1" applyFill="1" applyBorder="1"/>
    <xf numFmtId="0" fontId="2" fillId="0" borderId="0" xfId="0" applyFont="1" applyFill="1"/>
    <xf numFmtId="0" fontId="2" fillId="0" borderId="0" xfId="0" quotePrefix="1" applyFont="1" applyFill="1"/>
    <xf numFmtId="0" fontId="5" fillId="0" borderId="0" xfId="0" applyFont="1" applyFill="1"/>
    <xf numFmtId="165" fontId="8" fillId="9" borderId="23" xfId="0" applyNumberFormat="1" applyFont="1" applyFill="1" applyBorder="1"/>
    <xf numFmtId="0" fontId="8" fillId="9" borderId="14" xfId="0" applyFont="1" applyFill="1" applyBorder="1"/>
    <xf numFmtId="165" fontId="8" fillId="9" borderId="24" xfId="0" applyNumberFormat="1" applyFont="1" applyFill="1" applyBorder="1"/>
    <xf numFmtId="0" fontId="2" fillId="0" borderId="0" xfId="0" applyFont="1" applyFill="1" applyBorder="1"/>
    <xf numFmtId="43" fontId="2" fillId="0" borderId="0" xfId="2" applyFont="1" applyFill="1" applyBorder="1"/>
    <xf numFmtId="0" fontId="2" fillId="0" borderId="0" xfId="0" applyFont="1" applyBorder="1"/>
  </cellXfs>
  <cellStyles count="4">
    <cellStyle name="Comma" xfId="2" builtinId="3"/>
    <cellStyle name="Currency" xfId="1" builtinId="4"/>
    <cellStyle name="Normal" xfId="0" builtinId="0"/>
    <cellStyle name="Per cent" xfId="3" builtinId="5"/>
  </cellStyles>
  <dxfs count="0"/>
  <tableStyles count="0" defaultTableStyle="TableStyleMedium2" defaultPivotStyle="PivotStyleLight16"/>
  <colors>
    <mruColors>
      <color rgb="FFCC474E"/>
      <color rgb="FFCA9CEA"/>
      <color rgb="FFFF96B6"/>
      <color rgb="FFCE7DE8"/>
      <color rgb="FF4EFAFF"/>
      <color rgb="FFFF5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27</xdr:row>
      <xdr:rowOff>12700</xdr:rowOff>
    </xdr:from>
    <xdr:to>
      <xdr:col>2</xdr:col>
      <xdr:colOff>1104900</xdr:colOff>
      <xdr:row>27</xdr:row>
      <xdr:rowOff>203200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04A6203F-9C4D-8D47-A597-75180C3C3D9B}"/>
            </a:ext>
          </a:extLst>
        </xdr:cNvPr>
        <xdr:cNvSpPr/>
      </xdr:nvSpPr>
      <xdr:spPr>
        <a:xfrm>
          <a:off x="4800600" y="6540500"/>
          <a:ext cx="965200" cy="190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E54C4-A7DA-AA4B-A519-8DFCA9B89211}">
  <dimension ref="A1:O1323"/>
  <sheetViews>
    <sheetView tabSelected="1" zoomScale="91" workbookViewId="0">
      <selection activeCell="D27" sqref="D27"/>
    </sheetView>
  </sheetViews>
  <sheetFormatPr baseColWidth="10" defaultRowHeight="16"/>
  <cols>
    <col min="1" max="1" width="25.6640625" customWidth="1"/>
    <col min="2" max="2" width="25.1640625" customWidth="1"/>
    <col min="3" max="3" width="20.1640625" customWidth="1"/>
    <col min="4" max="4" width="21.1640625" customWidth="1"/>
    <col min="5" max="5" width="21.5" customWidth="1"/>
    <col min="6" max="6" width="25" customWidth="1"/>
    <col min="7" max="7" width="22" customWidth="1"/>
    <col min="8" max="8" width="26.5" customWidth="1"/>
    <col min="9" max="9" width="24.83203125" customWidth="1"/>
    <col min="10" max="10" width="20.33203125" customWidth="1"/>
    <col min="11" max="11" width="22.1640625" customWidth="1"/>
    <col min="12" max="12" width="22.83203125" customWidth="1"/>
    <col min="13" max="13" width="22.33203125" customWidth="1"/>
  </cols>
  <sheetData>
    <row r="1" spans="1:15" ht="30" customHeight="1">
      <c r="A1" s="175" t="s">
        <v>453</v>
      </c>
    </row>
    <row r="2" spans="1:15" ht="19">
      <c r="A2" s="111"/>
      <c r="B2" s="1"/>
      <c r="C2" s="174">
        <v>1</v>
      </c>
      <c r="D2" s="174">
        <v>2</v>
      </c>
      <c r="E2" s="174">
        <v>3</v>
      </c>
      <c r="F2" s="174">
        <v>4</v>
      </c>
      <c r="G2" s="174">
        <v>5</v>
      </c>
      <c r="H2" s="174">
        <v>6</v>
      </c>
      <c r="I2" s="174">
        <v>7</v>
      </c>
      <c r="J2" s="174">
        <v>8</v>
      </c>
      <c r="K2" s="174">
        <v>9</v>
      </c>
      <c r="L2" s="174">
        <v>10</v>
      </c>
      <c r="M2" s="174" t="s">
        <v>5</v>
      </c>
      <c r="N2" s="1"/>
      <c r="O2" s="1"/>
    </row>
    <row r="3" spans="1:15" ht="19">
      <c r="A3" s="156" t="s">
        <v>416</v>
      </c>
      <c r="B3" s="122">
        <f>adjustments!B22</f>
        <v>57591306.388355859</v>
      </c>
      <c r="C3" s="123">
        <f>B3+(B3*$B$6)</f>
        <v>59367496.763678014</v>
      </c>
      <c r="D3" s="123">
        <f>C3+(C3*$B$6)</f>
        <v>61198467.147429094</v>
      </c>
      <c r="E3" s="123">
        <f>D3+(D3*$B$6)</f>
        <v>63085907.025919333</v>
      </c>
      <c r="F3" s="123">
        <f>E3+(E3*$B$6)</f>
        <v>65031557.991401888</v>
      </c>
      <c r="G3" s="123">
        <f>F3+(F3*$B$6)</f>
        <v>67037215.349087507</v>
      </c>
      <c r="H3" s="123">
        <f>G3+(G3*$B$7)</f>
        <v>67037215.349087507</v>
      </c>
      <c r="I3" s="123">
        <f>H3+(H3*$B$7)</f>
        <v>67037215.349087507</v>
      </c>
      <c r="J3" s="123">
        <f>I3+(I3*$B$7)</f>
        <v>67037215.349087507</v>
      </c>
      <c r="K3" s="123">
        <f>J3+(J3*$B$7)</f>
        <v>67037215.349087507</v>
      </c>
      <c r="L3" s="123">
        <f>K3+(K3*$B$7)</f>
        <v>67037215.349087507</v>
      </c>
      <c r="M3" s="123">
        <f>(L3*(1+B8))/(B9-B8)</f>
        <v>1862200511.8733749</v>
      </c>
      <c r="N3" s="1"/>
      <c r="O3" s="1"/>
    </row>
    <row r="4" spans="1:15" ht="19">
      <c r="A4" s="157" t="s">
        <v>417</v>
      </c>
      <c r="B4" s="123">
        <f t="shared" ref="B4:L4" si="0">B3/(1+$B$9)^B2</f>
        <v>57591306.388355859</v>
      </c>
      <c r="C4" s="123">
        <f t="shared" si="0"/>
        <v>56357782.310690597</v>
      </c>
      <c r="D4" s="123">
        <f t="shared" si="0"/>
        <v>55150678.568760015</v>
      </c>
      <c r="E4" s="123">
        <f t="shared" si="0"/>
        <v>53969429.276455402</v>
      </c>
      <c r="F4" s="123">
        <f t="shared" si="0"/>
        <v>52813480.668145657</v>
      </c>
      <c r="G4" s="123">
        <f t="shared" si="0"/>
        <v>51682290.839073844</v>
      </c>
      <c r="H4" s="123">
        <f t="shared" si="0"/>
        <v>49062188.153574944</v>
      </c>
      <c r="I4" s="123">
        <f t="shared" si="0"/>
        <v>46574915.069301233</v>
      </c>
      <c r="J4" s="123">
        <f t="shared" si="0"/>
        <v>44213737.612405322</v>
      </c>
      <c r="K4" s="123">
        <f t="shared" si="0"/>
        <v>41972263.196828067</v>
      </c>
      <c r="L4" s="123">
        <f t="shared" si="0"/>
        <v>39844423.317189194</v>
      </c>
      <c r="M4" s="123">
        <f>M3/(1+$B$9)^L2</f>
        <v>1106822607.5649357</v>
      </c>
      <c r="N4" s="1"/>
      <c r="O4" s="1"/>
    </row>
    <row r="5" spans="1:15" ht="19">
      <c r="A5" s="158" t="s">
        <v>425</v>
      </c>
      <c r="B5" s="138">
        <f>SUM(B4:M4)+B10</f>
        <v>1732881102.9657159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9">
      <c r="A6" s="159" t="s">
        <v>1</v>
      </c>
      <c r="B6" s="118">
        <f>growth!B13</f>
        <v>3.0841293360229716E-2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9">
      <c r="A7" s="160" t="s">
        <v>140</v>
      </c>
      <c r="B7" s="11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9">
      <c r="A8" s="161" t="s">
        <v>139</v>
      </c>
      <c r="B8" s="118">
        <f>'risk free'!B1</f>
        <v>1.6799999999999999E-2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">
      <c r="A9" s="162" t="s">
        <v>0</v>
      </c>
      <c r="B9" s="132">
        <f>'wacc calc'!B32</f>
        <v>5.3403706277784069E-2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9">
      <c r="A10" s="163" t="s">
        <v>412</v>
      </c>
      <c r="B10" s="119">
        <f>adjustments!B28</f>
        <v>76826000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9">
      <c r="A11" s="163" t="s">
        <v>6</v>
      </c>
      <c r="B11" s="120">
        <f>adjustments!B50</f>
        <v>102988912.61358079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9">
      <c r="A12" s="164" t="s">
        <v>2</v>
      </c>
      <c r="B12" s="121">
        <f>'wacc calc'!B28</f>
        <v>16823230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20" thickBot="1">
      <c r="A13" s="165" t="s">
        <v>3</v>
      </c>
      <c r="B13" s="139">
        <f>B5-B11+B10</f>
        <v>1706718190.3521352</v>
      </c>
      <c r="C13" s="17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20" thickBot="1">
      <c r="A14" s="187" t="s">
        <v>4</v>
      </c>
      <c r="B14" s="186">
        <f>B13/B12</f>
        <v>101.45008956972799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19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9">
      <c r="A16" s="4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9">
      <c r="A17" s="1" t="s">
        <v>434</v>
      </c>
      <c r="B17" s="1"/>
      <c r="C17" s="174">
        <v>1</v>
      </c>
      <c r="D17" s="174">
        <v>2</v>
      </c>
      <c r="E17" s="174">
        <v>3</v>
      </c>
      <c r="F17" s="174">
        <v>4</v>
      </c>
      <c r="G17" s="174">
        <v>5</v>
      </c>
      <c r="H17" s="174">
        <v>6</v>
      </c>
      <c r="I17" s="174">
        <v>7</v>
      </c>
      <c r="J17" s="174">
        <v>8</v>
      </c>
      <c r="K17" s="174">
        <v>9</v>
      </c>
      <c r="L17" s="174">
        <v>10</v>
      </c>
      <c r="M17" s="174" t="s">
        <v>5</v>
      </c>
      <c r="N17" s="1"/>
      <c r="O17" s="1"/>
    </row>
    <row r="18" spans="1:15" ht="19">
      <c r="A18" s="156" t="s">
        <v>418</v>
      </c>
      <c r="B18" s="33">
        <f>adjustments!B26</f>
        <v>60659000</v>
      </c>
      <c r="C18" s="33">
        <f>B18+(B18*$B$21)</f>
        <v>63241981.104151972</v>
      </c>
      <c r="D18" s="33">
        <f>C18+(C18*$B$21)</f>
        <v>65934950.691206828</v>
      </c>
      <c r="E18" s="33">
        <f>D18+(D18*$B$21)</f>
        <v>68742592.289956883</v>
      </c>
      <c r="F18" s="33">
        <f>E18+(E18*$B$21)</f>
        <v>71669788.86318396</v>
      </c>
      <c r="G18" s="33">
        <f>F18+(F18*$B$21)</f>
        <v>74721631.299956173</v>
      </c>
      <c r="H18" s="33">
        <f>G18+(G18*$B$22)</f>
        <v>74721631.299956173</v>
      </c>
      <c r="I18" s="33">
        <f>H18+(H18*$B$22)</f>
        <v>74721631.299956173</v>
      </c>
      <c r="J18" s="33">
        <f>I18+(I18*$B$22)</f>
        <v>74721631.299956173</v>
      </c>
      <c r="K18" s="33">
        <f>J18+(J18*$B$22)</f>
        <v>74721631.299956173</v>
      </c>
      <c r="L18" s="33">
        <f>K18+(K18*$B$22)</f>
        <v>74721631.299956173</v>
      </c>
      <c r="M18" s="33">
        <f>L18*(1+B23)/(B24-B23)</f>
        <v>2050764995.5682867</v>
      </c>
      <c r="N18" s="1"/>
      <c r="O18" s="1"/>
    </row>
    <row r="19" spans="1:15" ht="19">
      <c r="A19" s="166" t="s">
        <v>417</v>
      </c>
      <c r="B19" s="33">
        <f t="shared" ref="B19:L19" si="1">B18/(1+$B$24)^B17</f>
        <v>60659000</v>
      </c>
      <c r="C19" s="33">
        <f t="shared" si="1"/>
        <v>60010527.957398824</v>
      </c>
      <c r="D19" s="33">
        <f t="shared" si="1"/>
        <v>59368988.37313088</v>
      </c>
      <c r="E19" s="33">
        <f t="shared" si="1"/>
        <v>58734307.136092864</v>
      </c>
      <c r="F19" s="33">
        <f t="shared" si="1"/>
        <v>58106410.927462541</v>
      </c>
      <c r="G19" s="33">
        <f t="shared" si="1"/>
        <v>57485227.212228946</v>
      </c>
      <c r="H19" s="33">
        <f t="shared" si="1"/>
        <v>54547924.883561365</v>
      </c>
      <c r="I19" s="33">
        <f t="shared" si="1"/>
        <v>51760708.853381276</v>
      </c>
      <c r="J19" s="33">
        <f t="shared" si="1"/>
        <v>49115910.215163864</v>
      </c>
      <c r="K19" s="33">
        <f t="shared" si="1"/>
        <v>46606251.91778937</v>
      </c>
      <c r="L19" s="33">
        <f t="shared" si="1"/>
        <v>44224828.743045993</v>
      </c>
      <c r="M19" s="33">
        <f>M18/(1+$B$24)^L17</f>
        <v>1213768076.8392718</v>
      </c>
      <c r="N19" s="1"/>
      <c r="O19" s="1"/>
    </row>
    <row r="20" spans="1:15" ht="19">
      <c r="A20" s="87" t="s">
        <v>3</v>
      </c>
      <c r="B20" s="141">
        <f>SUM(B19:M19)+adjustments!B25</f>
        <v>1825294163.0585279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5" ht="19">
      <c r="A21" s="167" t="s">
        <v>1</v>
      </c>
      <c r="B21" s="114">
        <f>growth!B20</f>
        <v>4.2581992847755011E-2</v>
      </c>
      <c r="C21" s="59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5" ht="19">
      <c r="A22" s="168" t="s">
        <v>140</v>
      </c>
      <c r="B22" s="11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5" ht="19">
      <c r="A23" s="161" t="s">
        <v>139</v>
      </c>
      <c r="B23" s="115">
        <f>'risk free'!B1</f>
        <v>1.6799999999999999E-2</v>
      </c>
      <c r="C23" s="1"/>
      <c r="D23" s="33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5" ht="19">
      <c r="A24" s="106" t="s">
        <v>10</v>
      </c>
      <c r="B24" s="116">
        <f>'wacc calc'!B5</f>
        <v>5.3848103936814801E-2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5" ht="20" thickBot="1">
      <c r="A25" s="169" t="s">
        <v>396</v>
      </c>
      <c r="B25" s="117">
        <f>'wacc calc'!B28</f>
        <v>16823230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5" ht="20" thickBot="1">
      <c r="A26" s="187" t="s">
        <v>4</v>
      </c>
      <c r="B26" s="188">
        <f>(B20/B25)</f>
        <v>108.49843716447602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5" ht="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5" ht="19">
      <c r="A28" s="189"/>
      <c r="B28" s="190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5" ht="19">
      <c r="A29" s="191"/>
      <c r="B29" s="191"/>
      <c r="C29" s="19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5" ht="19">
      <c r="A30" s="191"/>
      <c r="B30" s="19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5" ht="19">
      <c r="A31" s="191"/>
      <c r="B31" s="19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5" ht="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4" ht="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4" ht="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4" ht="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4" ht="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4" ht="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4" ht="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4" ht="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4" ht="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4" ht="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4" ht="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4" ht="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4" ht="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4" ht="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100" spans="1:2" ht="21">
      <c r="A100" s="108" t="s">
        <v>414</v>
      </c>
      <c r="B100" s="109" t="s">
        <v>415</v>
      </c>
    </row>
    <row r="101" spans="1:2" ht="21">
      <c r="A101" s="108"/>
      <c r="B101" s="109"/>
    </row>
    <row r="102" spans="1:2" ht="21">
      <c r="A102" s="108"/>
      <c r="B102" s="109"/>
    </row>
    <row r="103" spans="1:2" ht="21">
      <c r="A103" s="108"/>
      <c r="B103" s="109"/>
    </row>
    <row r="104" spans="1:2" ht="21">
      <c r="A104" s="108"/>
      <c r="B104" s="109"/>
    </row>
    <row r="105" spans="1:2" ht="21">
      <c r="A105" s="108"/>
      <c r="B105" s="109"/>
    </row>
    <row r="106" spans="1:2" ht="21">
      <c r="A106" s="108"/>
      <c r="B106" s="109"/>
    </row>
    <row r="107" spans="1:2" ht="21">
      <c r="A107" s="108"/>
      <c r="B107" s="109"/>
    </row>
    <row r="108" spans="1:2" ht="21">
      <c r="A108" s="108"/>
      <c r="B108" s="109"/>
    </row>
    <row r="109" spans="1:2" ht="21">
      <c r="A109" s="108"/>
      <c r="B109" s="109"/>
    </row>
    <row r="110" spans="1:2" ht="21">
      <c r="A110" s="108"/>
      <c r="B110" s="109"/>
    </row>
    <row r="111" spans="1:2" ht="21">
      <c r="A111" s="108"/>
      <c r="B111" s="109"/>
    </row>
    <row r="112" spans="1:2" ht="21">
      <c r="A112" s="108"/>
      <c r="B112" s="109"/>
    </row>
    <row r="113" spans="1:2" ht="21">
      <c r="A113" s="108"/>
      <c r="B113" s="109"/>
    </row>
    <row r="114" spans="1:2" ht="21">
      <c r="A114" s="108"/>
      <c r="B114" s="109"/>
    </row>
    <row r="115" spans="1:2" ht="21">
      <c r="A115" s="108"/>
      <c r="B115" s="109"/>
    </row>
    <row r="116" spans="1:2" ht="21">
      <c r="A116" s="108"/>
      <c r="B116" s="109"/>
    </row>
    <row r="117" spans="1:2" ht="21">
      <c r="A117" s="108"/>
      <c r="B117" s="109"/>
    </row>
    <row r="118" spans="1:2" ht="21">
      <c r="A118" s="108"/>
      <c r="B118" s="109"/>
    </row>
    <row r="119" spans="1:2" ht="21">
      <c r="A119" s="108"/>
      <c r="B119" s="109"/>
    </row>
    <row r="120" spans="1:2" ht="21">
      <c r="A120" s="108"/>
      <c r="B120" s="109"/>
    </row>
    <row r="121" spans="1:2" ht="21">
      <c r="A121" s="108"/>
      <c r="B121" s="109"/>
    </row>
    <row r="122" spans="1:2" ht="21">
      <c r="A122" s="108"/>
      <c r="B122" s="109"/>
    </row>
    <row r="123" spans="1:2" ht="21">
      <c r="A123" s="108"/>
      <c r="B123" s="109"/>
    </row>
    <row r="124" spans="1:2" ht="21">
      <c r="A124" s="108"/>
      <c r="B124" s="109"/>
    </row>
    <row r="125" spans="1:2" ht="21">
      <c r="A125" s="108"/>
      <c r="B125" s="109"/>
    </row>
    <row r="126" spans="1:2" ht="21">
      <c r="A126" s="108"/>
      <c r="B126" s="109"/>
    </row>
    <row r="127" spans="1:2" ht="21">
      <c r="A127" s="108"/>
      <c r="B127" s="109"/>
    </row>
    <row r="128" spans="1:2" ht="21">
      <c r="A128" s="108"/>
      <c r="B128" s="109"/>
    </row>
    <row r="129" spans="1:2" ht="21">
      <c r="A129" s="108"/>
      <c r="B129" s="109"/>
    </row>
    <row r="130" spans="1:2" ht="21">
      <c r="A130" s="108"/>
      <c r="B130" s="109"/>
    </row>
    <row r="131" spans="1:2" ht="21">
      <c r="A131" s="108"/>
      <c r="B131" s="109"/>
    </row>
    <row r="132" spans="1:2" ht="21">
      <c r="A132" s="108"/>
      <c r="B132" s="109"/>
    </row>
    <row r="133" spans="1:2" ht="21">
      <c r="A133" s="108"/>
      <c r="B133" s="109"/>
    </row>
    <row r="134" spans="1:2" ht="21">
      <c r="A134" s="108"/>
      <c r="B134" s="109"/>
    </row>
    <row r="135" spans="1:2" ht="21">
      <c r="A135" s="108"/>
      <c r="B135" s="109"/>
    </row>
    <row r="136" spans="1:2" ht="21">
      <c r="A136" s="108"/>
      <c r="B136" s="109"/>
    </row>
    <row r="137" spans="1:2" ht="21">
      <c r="A137" s="108"/>
      <c r="B137" s="109"/>
    </row>
    <row r="138" spans="1:2" ht="21">
      <c r="A138" s="108"/>
      <c r="B138" s="109"/>
    </row>
    <row r="139" spans="1:2" ht="21">
      <c r="A139" s="108"/>
      <c r="B139" s="109"/>
    </row>
    <row r="140" spans="1:2" ht="21">
      <c r="A140" s="108"/>
      <c r="B140" s="109"/>
    </row>
    <row r="141" spans="1:2" ht="21">
      <c r="A141" s="108"/>
      <c r="B141" s="109"/>
    </row>
    <row r="142" spans="1:2" ht="21">
      <c r="A142" s="108"/>
      <c r="B142" s="109"/>
    </row>
    <row r="143" spans="1:2" ht="21">
      <c r="A143" s="108"/>
      <c r="B143" s="109"/>
    </row>
    <row r="144" spans="1:2" ht="21">
      <c r="A144" s="108"/>
      <c r="B144" s="109"/>
    </row>
    <row r="145" spans="1:2" ht="21">
      <c r="A145" s="108"/>
      <c r="B145" s="109"/>
    </row>
    <row r="146" spans="1:2" ht="21">
      <c r="A146" s="108"/>
      <c r="B146" s="109"/>
    </row>
    <row r="147" spans="1:2" ht="21">
      <c r="A147" s="108"/>
      <c r="B147" s="109"/>
    </row>
    <row r="148" spans="1:2" ht="21">
      <c r="A148" s="108"/>
      <c r="B148" s="109"/>
    </row>
    <row r="149" spans="1:2" ht="21">
      <c r="A149" s="108"/>
      <c r="B149" s="109"/>
    </row>
    <row r="150" spans="1:2" ht="21">
      <c r="A150" s="108"/>
      <c r="B150" s="109"/>
    </row>
    <row r="151" spans="1:2" ht="21">
      <c r="A151" s="108"/>
      <c r="B151" s="109"/>
    </row>
    <row r="152" spans="1:2" ht="21">
      <c r="A152" s="108"/>
      <c r="B152" s="109"/>
    </row>
    <row r="153" spans="1:2" ht="21">
      <c r="A153" s="108"/>
      <c r="B153" s="109"/>
    </row>
    <row r="154" spans="1:2" ht="21">
      <c r="A154" s="108"/>
      <c r="B154" s="109"/>
    </row>
    <row r="155" spans="1:2" ht="21">
      <c r="A155" s="108"/>
      <c r="B155" s="109"/>
    </row>
    <row r="156" spans="1:2" ht="21">
      <c r="A156" s="108"/>
      <c r="B156" s="109"/>
    </row>
    <row r="157" spans="1:2" ht="21">
      <c r="A157" s="108"/>
      <c r="B157" s="109"/>
    </row>
    <row r="158" spans="1:2" ht="21">
      <c r="A158" s="108"/>
      <c r="B158" s="109"/>
    </row>
    <row r="159" spans="1:2" ht="21">
      <c r="A159" s="108"/>
      <c r="B159" s="109"/>
    </row>
    <row r="160" spans="1:2" ht="21">
      <c r="A160" s="108"/>
      <c r="B160" s="109"/>
    </row>
    <row r="161" spans="1:2" ht="21">
      <c r="A161" s="108"/>
      <c r="B161" s="109"/>
    </row>
    <row r="162" spans="1:2" ht="21">
      <c r="A162" s="108"/>
      <c r="B162" s="109"/>
    </row>
    <row r="163" spans="1:2" ht="21">
      <c r="A163" s="108"/>
      <c r="B163" s="109"/>
    </row>
    <row r="164" spans="1:2" ht="21">
      <c r="A164" s="108"/>
      <c r="B164" s="109"/>
    </row>
    <row r="165" spans="1:2" ht="21">
      <c r="A165" s="108"/>
      <c r="B165" s="109"/>
    </row>
    <row r="166" spans="1:2" ht="21">
      <c r="A166" s="108"/>
      <c r="B166" s="109"/>
    </row>
    <row r="167" spans="1:2" ht="21">
      <c r="A167" s="108"/>
      <c r="B167" s="109"/>
    </row>
    <row r="168" spans="1:2" ht="21">
      <c r="A168" s="108"/>
      <c r="B168" s="109"/>
    </row>
    <row r="169" spans="1:2" ht="21">
      <c r="A169" s="108"/>
      <c r="B169" s="109"/>
    </row>
    <row r="170" spans="1:2" ht="21">
      <c r="A170" s="108"/>
      <c r="B170" s="109"/>
    </row>
    <row r="171" spans="1:2" ht="21">
      <c r="A171" s="108"/>
      <c r="B171" s="109"/>
    </row>
    <row r="172" spans="1:2" ht="21">
      <c r="A172" s="108"/>
      <c r="B172" s="109"/>
    </row>
    <row r="173" spans="1:2" ht="21">
      <c r="A173" s="108"/>
      <c r="B173" s="109"/>
    </row>
    <row r="174" spans="1:2" ht="21">
      <c r="A174" s="108"/>
      <c r="B174" s="109"/>
    </row>
    <row r="175" spans="1:2" ht="21">
      <c r="A175" s="108"/>
      <c r="B175" s="109"/>
    </row>
    <row r="176" spans="1:2" ht="21">
      <c r="A176" s="108"/>
      <c r="B176" s="109"/>
    </row>
    <row r="177" spans="1:2" ht="21">
      <c r="A177" s="108"/>
      <c r="B177" s="109"/>
    </row>
    <row r="178" spans="1:2" ht="21">
      <c r="A178" s="108"/>
      <c r="B178" s="109"/>
    </row>
    <row r="179" spans="1:2" ht="21">
      <c r="A179" s="108"/>
      <c r="B179" s="109"/>
    </row>
    <row r="180" spans="1:2" ht="21">
      <c r="A180" s="108"/>
      <c r="B180" s="109"/>
    </row>
    <row r="181" spans="1:2" ht="21">
      <c r="A181" s="108"/>
      <c r="B181" s="109"/>
    </row>
    <row r="182" spans="1:2" ht="21">
      <c r="A182" s="108"/>
      <c r="B182" s="109"/>
    </row>
    <row r="183" spans="1:2" ht="21">
      <c r="A183" s="108"/>
      <c r="B183" s="109"/>
    </row>
    <row r="184" spans="1:2" ht="21">
      <c r="A184" s="108"/>
      <c r="B184" s="109"/>
    </row>
    <row r="185" spans="1:2" ht="21">
      <c r="A185" s="108"/>
      <c r="B185" s="109"/>
    </row>
    <row r="186" spans="1:2" ht="21">
      <c r="A186" s="108"/>
      <c r="B186" s="109"/>
    </row>
    <row r="187" spans="1:2" ht="21">
      <c r="A187" s="108"/>
      <c r="B187" s="109"/>
    </row>
    <row r="188" spans="1:2" ht="21">
      <c r="A188" s="108"/>
      <c r="B188" s="109"/>
    </row>
    <row r="189" spans="1:2" ht="21">
      <c r="A189" s="108"/>
      <c r="B189" s="109"/>
    </row>
    <row r="190" spans="1:2" ht="21">
      <c r="A190" s="108"/>
      <c r="B190" s="109"/>
    </row>
    <row r="191" spans="1:2" ht="21">
      <c r="A191" s="108"/>
      <c r="B191" s="109"/>
    </row>
    <row r="192" spans="1:2" ht="21">
      <c r="A192" s="108"/>
      <c r="B192" s="109"/>
    </row>
    <row r="193" spans="1:2" ht="21">
      <c r="A193" s="108"/>
      <c r="B193" s="109"/>
    </row>
    <row r="194" spans="1:2" ht="21">
      <c r="A194" s="108"/>
      <c r="B194" s="109"/>
    </row>
    <row r="195" spans="1:2" ht="21">
      <c r="A195" s="108"/>
      <c r="B195" s="109"/>
    </row>
    <row r="196" spans="1:2" ht="21">
      <c r="A196" s="108"/>
      <c r="B196" s="109"/>
    </row>
    <row r="197" spans="1:2" ht="21">
      <c r="A197" s="108"/>
      <c r="B197" s="109"/>
    </row>
    <row r="198" spans="1:2" ht="21">
      <c r="A198" s="108"/>
      <c r="B198" s="109"/>
    </row>
    <row r="199" spans="1:2" ht="21">
      <c r="A199" s="108"/>
      <c r="B199" s="109"/>
    </row>
    <row r="200" spans="1:2" ht="21">
      <c r="A200" s="108"/>
      <c r="B200" s="109"/>
    </row>
    <row r="201" spans="1:2" ht="21">
      <c r="A201" s="108"/>
      <c r="B201" s="109"/>
    </row>
    <row r="202" spans="1:2" ht="21">
      <c r="A202" s="108"/>
      <c r="B202" s="109"/>
    </row>
    <row r="203" spans="1:2" ht="21">
      <c r="A203" s="108"/>
      <c r="B203" s="109"/>
    </row>
    <row r="204" spans="1:2" ht="21">
      <c r="A204" s="108"/>
      <c r="B204" s="109"/>
    </row>
    <row r="205" spans="1:2" ht="21">
      <c r="A205" s="108"/>
      <c r="B205" s="109"/>
    </row>
    <row r="206" spans="1:2" ht="21">
      <c r="A206" s="108"/>
      <c r="B206" s="109"/>
    </row>
    <row r="207" spans="1:2" ht="21">
      <c r="A207" s="108"/>
      <c r="B207" s="109"/>
    </row>
    <row r="208" spans="1:2" ht="21">
      <c r="A208" s="108"/>
      <c r="B208" s="109"/>
    </row>
    <row r="209" spans="1:2" ht="21">
      <c r="A209" s="108"/>
      <c r="B209" s="109"/>
    </row>
    <row r="210" spans="1:2" ht="21">
      <c r="A210" s="108"/>
      <c r="B210" s="109"/>
    </row>
    <row r="211" spans="1:2" ht="21">
      <c r="A211" s="108"/>
      <c r="B211" s="109"/>
    </row>
    <row r="212" spans="1:2" ht="21">
      <c r="A212" s="108"/>
      <c r="B212" s="109"/>
    </row>
    <row r="213" spans="1:2" ht="21">
      <c r="A213" s="108"/>
      <c r="B213" s="109"/>
    </row>
    <row r="214" spans="1:2" ht="21">
      <c r="A214" s="108"/>
      <c r="B214" s="109"/>
    </row>
    <row r="215" spans="1:2" ht="21">
      <c r="A215" s="108"/>
      <c r="B215" s="109"/>
    </row>
    <row r="216" spans="1:2" ht="21">
      <c r="A216" s="108"/>
      <c r="B216" s="109"/>
    </row>
    <row r="217" spans="1:2" ht="21">
      <c r="A217" s="108"/>
      <c r="B217" s="109"/>
    </row>
    <row r="218" spans="1:2" ht="21">
      <c r="A218" s="108"/>
      <c r="B218" s="109"/>
    </row>
    <row r="219" spans="1:2" ht="21">
      <c r="A219" s="108"/>
      <c r="B219" s="109"/>
    </row>
    <row r="220" spans="1:2" ht="21">
      <c r="A220" s="108"/>
      <c r="B220" s="109"/>
    </row>
    <row r="221" spans="1:2" ht="21">
      <c r="A221" s="108"/>
      <c r="B221" s="109"/>
    </row>
    <row r="222" spans="1:2" ht="21">
      <c r="A222" s="108"/>
      <c r="B222" s="109"/>
    </row>
    <row r="223" spans="1:2" ht="21">
      <c r="A223" s="108"/>
      <c r="B223" s="109"/>
    </row>
    <row r="224" spans="1:2" ht="21">
      <c r="A224" s="108"/>
      <c r="B224" s="109"/>
    </row>
    <row r="225" spans="1:2" ht="21">
      <c r="A225" s="108"/>
      <c r="B225" s="109"/>
    </row>
    <row r="226" spans="1:2" ht="21">
      <c r="A226" s="108"/>
      <c r="B226" s="109"/>
    </row>
    <row r="227" spans="1:2" ht="21">
      <c r="A227" s="108"/>
      <c r="B227" s="109"/>
    </row>
    <row r="228" spans="1:2" ht="21">
      <c r="A228" s="108"/>
      <c r="B228" s="109"/>
    </row>
    <row r="229" spans="1:2" ht="21">
      <c r="A229" s="108"/>
      <c r="B229" s="109"/>
    </row>
    <row r="230" spans="1:2" ht="21">
      <c r="A230" s="108" t="s">
        <v>414</v>
      </c>
      <c r="B230" s="109" t="s">
        <v>415</v>
      </c>
    </row>
    <row r="231" spans="1:2" ht="21">
      <c r="A231" s="108"/>
      <c r="B231" s="109"/>
    </row>
    <row r="232" spans="1:2" ht="21">
      <c r="A232" s="108"/>
      <c r="B232" s="109"/>
    </row>
    <row r="233" spans="1:2" ht="21">
      <c r="A233" s="108"/>
      <c r="B233" s="109"/>
    </row>
    <row r="234" spans="1:2" ht="21">
      <c r="A234" s="108"/>
      <c r="B234" s="109"/>
    </row>
    <row r="235" spans="1:2" ht="21">
      <c r="A235" s="108"/>
      <c r="B235" s="109"/>
    </row>
    <row r="236" spans="1:2" ht="21">
      <c r="A236" s="108"/>
      <c r="B236" s="109"/>
    </row>
    <row r="237" spans="1:2" ht="21">
      <c r="A237" s="108"/>
      <c r="B237" s="109"/>
    </row>
    <row r="238" spans="1:2" ht="21">
      <c r="A238" s="108"/>
      <c r="B238" s="109"/>
    </row>
    <row r="239" spans="1:2" ht="21">
      <c r="A239" s="108"/>
      <c r="B239" s="109"/>
    </row>
    <row r="240" spans="1:2" ht="21">
      <c r="A240" s="108"/>
      <c r="B240" s="109"/>
    </row>
    <row r="241" spans="1:2" ht="21">
      <c r="A241" s="108"/>
      <c r="B241" s="109"/>
    </row>
    <row r="242" spans="1:2" ht="21">
      <c r="A242" s="108"/>
      <c r="B242" s="109"/>
    </row>
    <row r="243" spans="1:2" ht="21">
      <c r="A243" s="108"/>
      <c r="B243" s="109"/>
    </row>
    <row r="244" spans="1:2" ht="21">
      <c r="A244" s="108"/>
      <c r="B244" s="109"/>
    </row>
    <row r="245" spans="1:2" ht="21">
      <c r="A245" s="108"/>
      <c r="B245" s="109"/>
    </row>
    <row r="246" spans="1:2" ht="21">
      <c r="A246" s="108"/>
      <c r="B246" s="109"/>
    </row>
    <row r="247" spans="1:2" ht="21">
      <c r="A247" s="108"/>
      <c r="B247" s="109"/>
    </row>
    <row r="248" spans="1:2" ht="21">
      <c r="A248" s="108"/>
      <c r="B248" s="109"/>
    </row>
    <row r="249" spans="1:2" ht="21">
      <c r="A249" s="108"/>
      <c r="B249" s="109"/>
    </row>
    <row r="250" spans="1:2" ht="21">
      <c r="A250" s="108"/>
      <c r="B250" s="109"/>
    </row>
    <row r="251" spans="1:2" ht="21">
      <c r="A251" s="108"/>
      <c r="B251" s="109"/>
    </row>
    <row r="252" spans="1:2" ht="21">
      <c r="A252" s="108"/>
      <c r="B252" s="109"/>
    </row>
    <row r="253" spans="1:2" ht="21">
      <c r="A253" s="108"/>
      <c r="B253" s="109"/>
    </row>
    <row r="254" spans="1:2" ht="21">
      <c r="A254" s="108"/>
      <c r="B254" s="109"/>
    </row>
    <row r="255" spans="1:2" ht="21">
      <c r="A255" s="108"/>
      <c r="B255" s="109"/>
    </row>
    <row r="256" spans="1:2" ht="21">
      <c r="A256" s="108"/>
      <c r="B256" s="109"/>
    </row>
    <row r="257" spans="1:2" ht="21">
      <c r="A257" s="108"/>
      <c r="B257" s="109"/>
    </row>
    <row r="258" spans="1:2" ht="21">
      <c r="A258" s="108"/>
      <c r="B258" s="109"/>
    </row>
    <row r="259" spans="1:2" ht="21">
      <c r="A259" s="108"/>
      <c r="B259" s="109"/>
    </row>
    <row r="260" spans="1:2" ht="21">
      <c r="A260" s="108"/>
      <c r="B260" s="109"/>
    </row>
    <row r="261" spans="1:2" ht="21">
      <c r="A261" s="108"/>
      <c r="B261" s="109"/>
    </row>
    <row r="262" spans="1:2" ht="21">
      <c r="A262" s="108"/>
      <c r="B262" s="109"/>
    </row>
    <row r="263" spans="1:2" ht="21">
      <c r="A263" s="108"/>
      <c r="B263" s="109"/>
    </row>
    <row r="264" spans="1:2" ht="21">
      <c r="A264" s="108"/>
      <c r="B264" s="109"/>
    </row>
    <row r="265" spans="1:2" ht="21">
      <c r="A265" s="108"/>
      <c r="B265" s="109"/>
    </row>
    <row r="266" spans="1:2" ht="21">
      <c r="A266" s="108"/>
      <c r="B266" s="109"/>
    </row>
    <row r="267" spans="1:2" ht="21">
      <c r="A267" s="108"/>
      <c r="B267" s="109"/>
    </row>
    <row r="268" spans="1:2" ht="21">
      <c r="A268" s="108"/>
      <c r="B268" s="109"/>
    </row>
    <row r="269" spans="1:2" ht="21">
      <c r="A269" s="108"/>
      <c r="B269" s="109"/>
    </row>
    <row r="270" spans="1:2" ht="21">
      <c r="A270" s="108"/>
      <c r="B270" s="109"/>
    </row>
    <row r="271" spans="1:2" ht="21">
      <c r="A271" s="108"/>
      <c r="B271" s="109"/>
    </row>
    <row r="272" spans="1:2" ht="21">
      <c r="A272" s="108"/>
      <c r="B272" s="109"/>
    </row>
    <row r="273" spans="1:2" ht="21">
      <c r="A273" s="108"/>
      <c r="B273" s="109"/>
    </row>
    <row r="274" spans="1:2" ht="21">
      <c r="A274" s="108"/>
      <c r="B274" s="109"/>
    </row>
    <row r="275" spans="1:2" ht="21">
      <c r="A275" s="108"/>
      <c r="B275" s="109"/>
    </row>
    <row r="276" spans="1:2" ht="21">
      <c r="A276" s="108"/>
      <c r="B276" s="109"/>
    </row>
    <row r="277" spans="1:2" ht="21">
      <c r="A277" s="108"/>
      <c r="B277" s="109"/>
    </row>
    <row r="278" spans="1:2" ht="21">
      <c r="A278" s="108"/>
      <c r="B278" s="109"/>
    </row>
    <row r="279" spans="1:2" ht="21">
      <c r="A279" s="108"/>
      <c r="B279" s="109"/>
    </row>
    <row r="280" spans="1:2" ht="21">
      <c r="A280" s="108"/>
      <c r="B280" s="109"/>
    </row>
    <row r="281" spans="1:2" ht="21">
      <c r="A281" s="108"/>
      <c r="B281" s="109"/>
    </row>
    <row r="282" spans="1:2" ht="21">
      <c r="A282" s="108"/>
      <c r="B282" s="109"/>
    </row>
    <row r="283" spans="1:2" ht="21">
      <c r="A283" s="108"/>
      <c r="B283" s="109"/>
    </row>
    <row r="284" spans="1:2" ht="21">
      <c r="A284" s="108"/>
      <c r="B284" s="109"/>
    </row>
    <row r="285" spans="1:2" ht="21">
      <c r="A285" s="108"/>
      <c r="B285" s="109"/>
    </row>
    <row r="286" spans="1:2" ht="21">
      <c r="A286" s="108"/>
      <c r="B286" s="109"/>
    </row>
    <row r="287" spans="1:2" ht="21">
      <c r="A287" s="108"/>
      <c r="B287" s="109"/>
    </row>
    <row r="288" spans="1:2" ht="21">
      <c r="A288" s="108"/>
      <c r="B288" s="109"/>
    </row>
    <row r="289" spans="1:2" ht="21">
      <c r="A289" s="108"/>
      <c r="B289" s="109"/>
    </row>
    <row r="290" spans="1:2" ht="21">
      <c r="A290" s="108"/>
      <c r="B290" s="109"/>
    </row>
    <row r="291" spans="1:2" ht="21">
      <c r="A291" s="108"/>
      <c r="B291" s="109"/>
    </row>
    <row r="292" spans="1:2" ht="21">
      <c r="A292" s="108"/>
      <c r="B292" s="109"/>
    </row>
    <row r="293" spans="1:2" ht="21">
      <c r="A293" s="108"/>
      <c r="B293" s="109"/>
    </row>
    <row r="294" spans="1:2" ht="21">
      <c r="A294" s="108"/>
      <c r="B294" s="109"/>
    </row>
    <row r="295" spans="1:2" ht="21">
      <c r="A295" s="108"/>
      <c r="B295" s="109"/>
    </row>
    <row r="296" spans="1:2" ht="21">
      <c r="A296" s="108"/>
      <c r="B296" s="109"/>
    </row>
    <row r="297" spans="1:2" ht="21">
      <c r="A297" s="108"/>
      <c r="B297" s="109"/>
    </row>
    <row r="298" spans="1:2" ht="21">
      <c r="A298" s="108"/>
      <c r="B298" s="109"/>
    </row>
    <row r="299" spans="1:2" ht="21">
      <c r="A299" s="108"/>
      <c r="B299" s="109"/>
    </row>
    <row r="300" spans="1:2" ht="21">
      <c r="A300" s="108"/>
      <c r="B300" s="109"/>
    </row>
    <row r="301" spans="1:2" ht="21">
      <c r="A301" s="108"/>
      <c r="B301" s="109"/>
    </row>
    <row r="302" spans="1:2" ht="21">
      <c r="A302" s="108"/>
      <c r="B302" s="109"/>
    </row>
    <row r="303" spans="1:2" ht="21">
      <c r="A303" s="108"/>
      <c r="B303" s="109"/>
    </row>
    <row r="304" spans="1:2" ht="21">
      <c r="A304" s="108"/>
      <c r="B304" s="109"/>
    </row>
    <row r="305" spans="1:2" ht="21">
      <c r="A305" s="108"/>
      <c r="B305" s="109"/>
    </row>
    <row r="306" spans="1:2" ht="21">
      <c r="A306" s="108"/>
      <c r="B306" s="109"/>
    </row>
    <row r="307" spans="1:2" ht="21">
      <c r="A307" s="108"/>
      <c r="B307" s="109"/>
    </row>
    <row r="308" spans="1:2" ht="21">
      <c r="A308" s="108"/>
      <c r="B308" s="109"/>
    </row>
    <row r="309" spans="1:2" ht="21">
      <c r="A309" s="108"/>
      <c r="B309" s="109"/>
    </row>
    <row r="310" spans="1:2" ht="21">
      <c r="A310" s="108"/>
      <c r="B310" s="109"/>
    </row>
    <row r="311" spans="1:2" ht="21">
      <c r="A311" s="108"/>
      <c r="B311" s="109"/>
    </row>
    <row r="312" spans="1:2" ht="21">
      <c r="A312" s="108"/>
      <c r="B312" s="109"/>
    </row>
    <row r="313" spans="1:2" ht="21">
      <c r="A313" s="108"/>
      <c r="B313" s="109"/>
    </row>
    <row r="314" spans="1:2" ht="21">
      <c r="A314" s="108"/>
      <c r="B314" s="109"/>
    </row>
    <row r="315" spans="1:2" ht="21">
      <c r="A315" s="108"/>
      <c r="B315" s="109"/>
    </row>
    <row r="316" spans="1:2" ht="21">
      <c r="A316" s="108"/>
      <c r="B316" s="109"/>
    </row>
    <row r="317" spans="1:2" ht="21">
      <c r="A317" s="108"/>
      <c r="B317" s="109"/>
    </row>
    <row r="318" spans="1:2" ht="21">
      <c r="A318" s="108"/>
      <c r="B318" s="109"/>
    </row>
    <row r="319" spans="1:2" ht="21">
      <c r="A319" s="108"/>
      <c r="B319" s="109"/>
    </row>
    <row r="320" spans="1:2" ht="21">
      <c r="A320" s="108"/>
      <c r="B320" s="109"/>
    </row>
    <row r="321" spans="1:2" ht="21">
      <c r="A321" s="108"/>
      <c r="B321" s="109"/>
    </row>
    <row r="322" spans="1:2" ht="21">
      <c r="A322" s="108"/>
      <c r="B322" s="109"/>
    </row>
    <row r="323" spans="1:2" ht="21">
      <c r="A323" s="108"/>
      <c r="B323" s="109"/>
    </row>
    <row r="324" spans="1:2" ht="21">
      <c r="A324" s="108"/>
      <c r="B324" s="109"/>
    </row>
    <row r="325" spans="1:2" ht="21">
      <c r="A325" s="108"/>
      <c r="B325" s="109"/>
    </row>
    <row r="326" spans="1:2" ht="21">
      <c r="A326" s="108"/>
      <c r="B326" s="109"/>
    </row>
    <row r="327" spans="1:2" ht="21">
      <c r="A327" s="108"/>
      <c r="B327" s="109"/>
    </row>
    <row r="328" spans="1:2" ht="21">
      <c r="A328" s="108"/>
      <c r="B328" s="109"/>
    </row>
    <row r="329" spans="1:2" ht="21">
      <c r="A329" s="108"/>
      <c r="B329" s="109"/>
    </row>
    <row r="330" spans="1:2" ht="21">
      <c r="A330" s="108"/>
      <c r="B330" s="109"/>
    </row>
    <row r="331" spans="1:2" ht="21">
      <c r="A331" s="108"/>
      <c r="B331" s="109"/>
    </row>
    <row r="332" spans="1:2" ht="21">
      <c r="A332" s="108"/>
      <c r="B332" s="109"/>
    </row>
    <row r="333" spans="1:2" ht="21">
      <c r="A333" s="108"/>
      <c r="B333" s="109"/>
    </row>
    <row r="334" spans="1:2" ht="21">
      <c r="A334" s="108"/>
      <c r="B334" s="109"/>
    </row>
    <row r="335" spans="1:2" ht="21">
      <c r="A335" s="108"/>
      <c r="B335" s="109"/>
    </row>
    <row r="336" spans="1:2" ht="21">
      <c r="A336" s="108"/>
      <c r="B336" s="109"/>
    </row>
    <row r="337" spans="1:2" ht="21">
      <c r="A337" s="108"/>
      <c r="B337" s="109"/>
    </row>
    <row r="338" spans="1:2" ht="21">
      <c r="A338" s="108"/>
      <c r="B338" s="109"/>
    </row>
    <row r="339" spans="1:2" ht="21">
      <c r="A339" s="108"/>
      <c r="B339" s="109"/>
    </row>
    <row r="340" spans="1:2" ht="21">
      <c r="A340" s="108"/>
      <c r="B340" s="109"/>
    </row>
    <row r="341" spans="1:2" ht="21">
      <c r="A341" s="108"/>
      <c r="B341" s="109"/>
    </row>
    <row r="342" spans="1:2" ht="21">
      <c r="A342" s="108"/>
      <c r="B342" s="109"/>
    </row>
    <row r="343" spans="1:2" ht="21">
      <c r="A343" s="108"/>
      <c r="B343" s="109"/>
    </row>
    <row r="344" spans="1:2" ht="21">
      <c r="A344" s="108"/>
      <c r="B344" s="109"/>
    </row>
    <row r="345" spans="1:2" ht="21">
      <c r="A345" s="108"/>
      <c r="B345" s="109"/>
    </row>
    <row r="346" spans="1:2" ht="21">
      <c r="A346" s="108"/>
      <c r="B346" s="109"/>
    </row>
    <row r="347" spans="1:2" ht="21">
      <c r="A347" s="108"/>
      <c r="B347" s="109"/>
    </row>
    <row r="348" spans="1:2" ht="21">
      <c r="A348" s="108" t="s">
        <v>414</v>
      </c>
      <c r="B348" s="109" t="s">
        <v>415</v>
      </c>
    </row>
    <row r="349" spans="1:2" ht="21">
      <c r="A349" s="108"/>
      <c r="B349" s="109"/>
    </row>
    <row r="350" spans="1:2" ht="21">
      <c r="A350" s="108"/>
      <c r="B350" s="109"/>
    </row>
    <row r="351" spans="1:2" ht="21">
      <c r="A351" s="108"/>
      <c r="B351" s="109"/>
    </row>
    <row r="352" spans="1:2" ht="21">
      <c r="A352" s="108"/>
      <c r="B352" s="109"/>
    </row>
    <row r="353" spans="1:2" ht="21">
      <c r="A353" s="108"/>
      <c r="B353" s="109"/>
    </row>
    <row r="354" spans="1:2" ht="21">
      <c r="A354" s="108"/>
      <c r="B354" s="109"/>
    </row>
    <row r="355" spans="1:2" ht="21">
      <c r="A355" s="108"/>
      <c r="B355" s="109"/>
    </row>
    <row r="356" spans="1:2" ht="21">
      <c r="A356" s="108"/>
      <c r="B356" s="109"/>
    </row>
    <row r="357" spans="1:2" ht="21">
      <c r="A357" s="108"/>
      <c r="B357" s="109"/>
    </row>
    <row r="358" spans="1:2" ht="21">
      <c r="A358" s="108"/>
      <c r="B358" s="109"/>
    </row>
    <row r="359" spans="1:2" ht="21">
      <c r="A359" s="108"/>
      <c r="B359" s="109"/>
    </row>
    <row r="360" spans="1:2" ht="21">
      <c r="A360" s="108"/>
      <c r="B360" s="109"/>
    </row>
    <row r="361" spans="1:2" ht="21">
      <c r="A361" s="108"/>
      <c r="B361" s="109"/>
    </row>
    <row r="362" spans="1:2" ht="21">
      <c r="A362" s="108"/>
      <c r="B362" s="109"/>
    </row>
    <row r="363" spans="1:2" ht="21">
      <c r="A363" s="108"/>
      <c r="B363" s="109"/>
    </row>
    <row r="364" spans="1:2" ht="21">
      <c r="A364" s="108"/>
      <c r="B364" s="109"/>
    </row>
    <row r="365" spans="1:2" ht="21">
      <c r="A365" s="108"/>
      <c r="B365" s="109"/>
    </row>
    <row r="366" spans="1:2" ht="21">
      <c r="A366" s="108"/>
      <c r="B366" s="109"/>
    </row>
    <row r="367" spans="1:2" ht="21">
      <c r="A367" s="108"/>
      <c r="B367" s="109"/>
    </row>
    <row r="368" spans="1:2" ht="21">
      <c r="A368" s="108"/>
      <c r="B368" s="109"/>
    </row>
    <row r="369" spans="1:2" ht="21">
      <c r="A369" s="108"/>
      <c r="B369" s="109"/>
    </row>
    <row r="370" spans="1:2" ht="21">
      <c r="A370" s="108"/>
      <c r="B370" s="109"/>
    </row>
    <row r="371" spans="1:2" ht="21">
      <c r="A371" s="108"/>
      <c r="B371" s="109"/>
    </row>
    <row r="372" spans="1:2" ht="21">
      <c r="A372" s="108"/>
      <c r="B372" s="109"/>
    </row>
    <row r="373" spans="1:2" ht="21">
      <c r="A373" s="108"/>
      <c r="B373" s="109"/>
    </row>
    <row r="374" spans="1:2" ht="21">
      <c r="A374" s="108"/>
      <c r="B374" s="109"/>
    </row>
    <row r="375" spans="1:2" ht="21">
      <c r="A375" s="108"/>
      <c r="B375" s="109"/>
    </row>
    <row r="376" spans="1:2" ht="21">
      <c r="A376" s="108"/>
      <c r="B376" s="109"/>
    </row>
    <row r="377" spans="1:2" ht="21">
      <c r="A377" s="108"/>
      <c r="B377" s="109"/>
    </row>
    <row r="378" spans="1:2" ht="21">
      <c r="A378" s="108"/>
      <c r="B378" s="109"/>
    </row>
    <row r="379" spans="1:2" ht="21">
      <c r="A379" s="108"/>
      <c r="B379" s="109"/>
    </row>
    <row r="380" spans="1:2" ht="21">
      <c r="A380" s="108"/>
      <c r="B380" s="109"/>
    </row>
    <row r="381" spans="1:2" ht="21">
      <c r="A381" s="108"/>
      <c r="B381" s="109"/>
    </row>
    <row r="382" spans="1:2" ht="21">
      <c r="A382" s="108"/>
      <c r="B382" s="109"/>
    </row>
    <row r="383" spans="1:2" ht="21">
      <c r="A383" s="108"/>
      <c r="B383" s="109"/>
    </row>
    <row r="384" spans="1:2" ht="21">
      <c r="A384" s="108"/>
      <c r="B384" s="109"/>
    </row>
    <row r="385" spans="1:2" ht="21">
      <c r="A385" s="108"/>
      <c r="B385" s="109"/>
    </row>
    <row r="386" spans="1:2" ht="21">
      <c r="A386" s="108"/>
      <c r="B386" s="109"/>
    </row>
    <row r="387" spans="1:2" ht="21">
      <c r="A387" s="108"/>
      <c r="B387" s="109"/>
    </row>
    <row r="388" spans="1:2" ht="21">
      <c r="A388" s="108"/>
      <c r="B388" s="109"/>
    </row>
    <row r="389" spans="1:2" ht="21">
      <c r="A389" s="108"/>
      <c r="B389" s="109"/>
    </row>
    <row r="390" spans="1:2" ht="21">
      <c r="A390" s="108"/>
      <c r="B390" s="109"/>
    </row>
    <row r="391" spans="1:2" ht="21">
      <c r="A391" s="108"/>
      <c r="B391" s="109"/>
    </row>
    <row r="392" spans="1:2" ht="21">
      <c r="A392" s="108"/>
      <c r="B392" s="109"/>
    </row>
    <row r="393" spans="1:2" ht="21">
      <c r="A393" s="108"/>
      <c r="B393" s="109"/>
    </row>
    <row r="394" spans="1:2" ht="21">
      <c r="A394" s="108"/>
      <c r="B394" s="109"/>
    </row>
    <row r="395" spans="1:2" ht="21">
      <c r="A395" s="108"/>
      <c r="B395" s="109"/>
    </row>
    <row r="396" spans="1:2" ht="21">
      <c r="A396" s="108"/>
      <c r="B396" s="109"/>
    </row>
    <row r="397" spans="1:2" ht="21">
      <c r="A397" s="108"/>
      <c r="B397" s="109"/>
    </row>
    <row r="398" spans="1:2" ht="21">
      <c r="A398" s="108"/>
      <c r="B398" s="109"/>
    </row>
    <row r="399" spans="1:2" ht="21">
      <c r="A399" s="108"/>
      <c r="B399" s="109"/>
    </row>
    <row r="400" spans="1:2" ht="21">
      <c r="A400" s="108"/>
      <c r="B400" s="109"/>
    </row>
    <row r="401" spans="1:2" ht="21">
      <c r="A401" s="108"/>
      <c r="B401" s="109"/>
    </row>
    <row r="402" spans="1:2" ht="21">
      <c r="A402" s="108"/>
      <c r="B402" s="109"/>
    </row>
    <row r="403" spans="1:2" ht="21">
      <c r="A403" s="108"/>
      <c r="B403" s="109"/>
    </row>
    <row r="404" spans="1:2" ht="21">
      <c r="A404" s="108"/>
      <c r="B404" s="109"/>
    </row>
    <row r="405" spans="1:2" ht="21">
      <c r="A405" s="108"/>
      <c r="B405" s="109"/>
    </row>
    <row r="406" spans="1:2" ht="21">
      <c r="A406" s="108"/>
      <c r="B406" s="109"/>
    </row>
    <row r="407" spans="1:2" ht="21">
      <c r="A407" s="108"/>
      <c r="B407" s="109"/>
    </row>
    <row r="408" spans="1:2" ht="21">
      <c r="A408" s="108"/>
      <c r="B408" s="109"/>
    </row>
    <row r="409" spans="1:2" ht="21">
      <c r="A409" s="108"/>
      <c r="B409" s="109"/>
    </row>
    <row r="410" spans="1:2" ht="21">
      <c r="A410" s="108"/>
      <c r="B410" s="109"/>
    </row>
    <row r="411" spans="1:2" ht="21">
      <c r="A411" s="108"/>
      <c r="B411" s="109"/>
    </row>
    <row r="412" spans="1:2" ht="21">
      <c r="A412" s="108"/>
      <c r="B412" s="109"/>
    </row>
    <row r="413" spans="1:2" ht="21">
      <c r="A413" s="108"/>
      <c r="B413" s="109"/>
    </row>
    <row r="414" spans="1:2" ht="21">
      <c r="A414" s="108"/>
      <c r="B414" s="109"/>
    </row>
    <row r="415" spans="1:2" ht="21">
      <c r="A415" s="108"/>
      <c r="B415" s="109"/>
    </row>
    <row r="416" spans="1:2" ht="21">
      <c r="A416" s="108"/>
      <c r="B416" s="109"/>
    </row>
    <row r="417" spans="1:2" ht="21">
      <c r="A417" s="108"/>
      <c r="B417" s="109"/>
    </row>
    <row r="418" spans="1:2" ht="21">
      <c r="A418" s="108"/>
      <c r="B418" s="109"/>
    </row>
    <row r="419" spans="1:2" ht="21">
      <c r="A419" s="108"/>
      <c r="B419" s="109"/>
    </row>
    <row r="420" spans="1:2" ht="21">
      <c r="A420" s="108"/>
      <c r="B420" s="109"/>
    </row>
    <row r="421" spans="1:2" ht="21">
      <c r="A421" s="108"/>
      <c r="B421" s="109"/>
    </row>
    <row r="422" spans="1:2" ht="21">
      <c r="A422" s="108"/>
      <c r="B422" s="109"/>
    </row>
    <row r="423" spans="1:2" ht="21">
      <c r="A423" s="108"/>
      <c r="B423" s="109"/>
    </row>
    <row r="424" spans="1:2" ht="21">
      <c r="A424" s="108"/>
      <c r="B424" s="109"/>
    </row>
    <row r="425" spans="1:2" ht="21">
      <c r="A425" s="108"/>
      <c r="B425" s="109"/>
    </row>
    <row r="426" spans="1:2" ht="21">
      <c r="A426" s="108"/>
      <c r="B426" s="109"/>
    </row>
    <row r="427" spans="1:2" ht="21">
      <c r="A427" s="108"/>
      <c r="B427" s="109"/>
    </row>
    <row r="428" spans="1:2" ht="21">
      <c r="A428" s="108"/>
      <c r="B428" s="109"/>
    </row>
    <row r="429" spans="1:2" ht="21">
      <c r="A429" s="108"/>
      <c r="B429" s="109"/>
    </row>
    <row r="430" spans="1:2" ht="21">
      <c r="A430" s="108"/>
      <c r="B430" s="109"/>
    </row>
    <row r="431" spans="1:2" ht="21">
      <c r="A431" s="108"/>
      <c r="B431" s="109"/>
    </row>
    <row r="432" spans="1:2" ht="21">
      <c r="A432" s="108"/>
      <c r="B432" s="109"/>
    </row>
    <row r="433" spans="1:2" ht="21">
      <c r="A433" s="108"/>
      <c r="B433" s="109"/>
    </row>
    <row r="434" spans="1:2" ht="21">
      <c r="A434" s="108"/>
      <c r="B434" s="109"/>
    </row>
    <row r="435" spans="1:2" ht="21">
      <c r="A435" s="108"/>
      <c r="B435" s="109"/>
    </row>
    <row r="436" spans="1:2" ht="21">
      <c r="A436" s="108"/>
      <c r="B436" s="109"/>
    </row>
    <row r="437" spans="1:2" ht="21">
      <c r="A437" s="108"/>
      <c r="B437" s="109"/>
    </row>
    <row r="438" spans="1:2" ht="21">
      <c r="A438" s="108"/>
      <c r="B438" s="109"/>
    </row>
    <row r="439" spans="1:2" ht="21">
      <c r="A439" s="108"/>
      <c r="B439" s="109"/>
    </row>
    <row r="440" spans="1:2" ht="21">
      <c r="A440" s="108"/>
      <c r="B440" s="109"/>
    </row>
    <row r="441" spans="1:2" ht="21">
      <c r="A441" s="108"/>
      <c r="B441" s="109"/>
    </row>
    <row r="442" spans="1:2" ht="21">
      <c r="A442" s="108"/>
      <c r="B442" s="109"/>
    </row>
    <row r="443" spans="1:2" ht="21">
      <c r="A443" s="108"/>
      <c r="B443" s="109"/>
    </row>
    <row r="444" spans="1:2" ht="21">
      <c r="A444" s="108"/>
      <c r="B444" s="109"/>
    </row>
    <row r="445" spans="1:2" ht="21">
      <c r="A445" s="108"/>
      <c r="B445" s="109"/>
    </row>
    <row r="446" spans="1:2" ht="21">
      <c r="A446" s="108"/>
      <c r="B446" s="109"/>
    </row>
    <row r="447" spans="1:2" ht="21">
      <c r="A447" s="108"/>
      <c r="B447" s="109"/>
    </row>
    <row r="448" spans="1:2" ht="21">
      <c r="A448" s="108"/>
      <c r="B448" s="109"/>
    </row>
    <row r="449" spans="1:2" ht="21">
      <c r="A449" s="108"/>
      <c r="B449" s="109"/>
    </row>
    <row r="450" spans="1:2" ht="21">
      <c r="A450" s="108"/>
      <c r="B450" s="109"/>
    </row>
    <row r="451" spans="1:2" ht="21">
      <c r="A451" s="108"/>
      <c r="B451" s="109"/>
    </row>
    <row r="452" spans="1:2" ht="21">
      <c r="A452" s="108"/>
      <c r="B452" s="109"/>
    </row>
    <row r="453" spans="1:2" ht="21">
      <c r="A453" s="108"/>
      <c r="B453" s="109"/>
    </row>
    <row r="454" spans="1:2" ht="21">
      <c r="A454" s="108"/>
      <c r="B454" s="109"/>
    </row>
    <row r="455" spans="1:2" ht="21">
      <c r="A455" s="108"/>
      <c r="B455" s="109"/>
    </row>
    <row r="456" spans="1:2" ht="21">
      <c r="A456" s="108"/>
      <c r="B456" s="109"/>
    </row>
    <row r="457" spans="1:2" ht="21">
      <c r="A457" s="108"/>
      <c r="B457" s="109"/>
    </row>
    <row r="458" spans="1:2" ht="21">
      <c r="A458" s="108"/>
      <c r="B458" s="109"/>
    </row>
    <row r="459" spans="1:2" ht="21">
      <c r="A459" s="108"/>
      <c r="B459" s="109"/>
    </row>
    <row r="460" spans="1:2" ht="21">
      <c r="A460" s="108"/>
      <c r="B460" s="109"/>
    </row>
    <row r="461" spans="1:2" ht="21">
      <c r="A461" s="108"/>
      <c r="B461" s="109"/>
    </row>
    <row r="462" spans="1:2" ht="21">
      <c r="A462" s="108"/>
      <c r="B462" s="109"/>
    </row>
    <row r="463" spans="1:2" ht="21">
      <c r="A463" s="108"/>
      <c r="B463" s="109"/>
    </row>
    <row r="464" spans="1:2" ht="21">
      <c r="A464" s="108"/>
      <c r="B464" s="109"/>
    </row>
    <row r="465" spans="1:2" ht="21">
      <c r="A465" s="108"/>
      <c r="B465" s="109"/>
    </row>
    <row r="466" spans="1:2" ht="21">
      <c r="A466" s="108"/>
      <c r="B466" s="109"/>
    </row>
    <row r="467" spans="1:2" ht="21">
      <c r="A467" s="108"/>
      <c r="B467" s="109"/>
    </row>
    <row r="468" spans="1:2" ht="21">
      <c r="A468" s="108"/>
      <c r="B468" s="109"/>
    </row>
    <row r="469" spans="1:2" ht="21">
      <c r="A469" s="108"/>
      <c r="B469" s="109"/>
    </row>
    <row r="470" spans="1:2" ht="21">
      <c r="A470" s="108"/>
      <c r="B470" s="109"/>
    </row>
    <row r="471" spans="1:2" ht="21">
      <c r="A471" s="108"/>
      <c r="B471" s="109"/>
    </row>
    <row r="472" spans="1:2" ht="21">
      <c r="A472" s="108"/>
      <c r="B472" s="109"/>
    </row>
    <row r="473" spans="1:2" ht="21">
      <c r="A473" s="108"/>
      <c r="B473" s="109"/>
    </row>
    <row r="474" spans="1:2" ht="21">
      <c r="A474" s="108"/>
      <c r="B474" s="109"/>
    </row>
    <row r="475" spans="1:2" ht="21">
      <c r="A475" s="108"/>
      <c r="B475" s="109"/>
    </row>
    <row r="476" spans="1:2" ht="21">
      <c r="A476" s="108"/>
      <c r="B476" s="109"/>
    </row>
    <row r="477" spans="1:2" ht="21">
      <c r="A477" s="108"/>
      <c r="B477" s="109"/>
    </row>
    <row r="478" spans="1:2" ht="21">
      <c r="A478" s="108"/>
      <c r="B478" s="109"/>
    </row>
    <row r="479" spans="1:2" ht="21">
      <c r="A479" s="108"/>
      <c r="B479" s="109"/>
    </row>
    <row r="480" spans="1:2" ht="21">
      <c r="A480" s="108"/>
      <c r="B480" s="109"/>
    </row>
    <row r="481" spans="1:2" ht="21">
      <c r="A481" s="108"/>
      <c r="B481" s="109"/>
    </row>
    <row r="482" spans="1:2" ht="21">
      <c r="A482" s="108"/>
      <c r="B482" s="109"/>
    </row>
    <row r="483" spans="1:2" ht="21">
      <c r="A483" s="108"/>
      <c r="B483" s="109"/>
    </row>
    <row r="484" spans="1:2" ht="21">
      <c r="A484" s="108"/>
      <c r="B484" s="109"/>
    </row>
    <row r="485" spans="1:2" ht="21">
      <c r="A485" s="108"/>
      <c r="B485" s="109"/>
    </row>
    <row r="486" spans="1:2" ht="21">
      <c r="A486" s="108"/>
      <c r="B486" s="109"/>
    </row>
    <row r="487" spans="1:2" ht="21">
      <c r="A487" s="108"/>
      <c r="B487" s="109"/>
    </row>
    <row r="488" spans="1:2" ht="21">
      <c r="A488" s="108"/>
      <c r="B488" s="109"/>
    </row>
    <row r="489" spans="1:2" ht="21">
      <c r="A489" s="108"/>
      <c r="B489" s="109"/>
    </row>
    <row r="490" spans="1:2" ht="21">
      <c r="A490" s="108"/>
      <c r="B490" s="109"/>
    </row>
    <row r="491" spans="1:2" ht="21">
      <c r="A491" s="108"/>
      <c r="B491" s="109"/>
    </row>
    <row r="492" spans="1:2" ht="21">
      <c r="A492" s="108"/>
      <c r="B492" s="109"/>
    </row>
    <row r="493" spans="1:2" ht="21">
      <c r="A493" s="108"/>
      <c r="B493" s="109"/>
    </row>
    <row r="494" spans="1:2" ht="21">
      <c r="A494" s="108"/>
      <c r="B494" s="109"/>
    </row>
    <row r="495" spans="1:2" ht="21">
      <c r="A495" s="108"/>
      <c r="B495" s="109"/>
    </row>
    <row r="496" spans="1:2" ht="21">
      <c r="A496" s="108"/>
      <c r="B496" s="109"/>
    </row>
    <row r="497" spans="1:2" ht="21">
      <c r="A497" s="108"/>
      <c r="B497" s="109"/>
    </row>
    <row r="498" spans="1:2" ht="21">
      <c r="A498" s="108"/>
      <c r="B498" s="109"/>
    </row>
    <row r="499" spans="1:2" ht="21">
      <c r="A499" s="108"/>
      <c r="B499" s="109"/>
    </row>
    <row r="500" spans="1:2" ht="21">
      <c r="A500" s="108"/>
      <c r="B500" s="109"/>
    </row>
    <row r="501" spans="1:2" ht="21">
      <c r="A501" s="108"/>
      <c r="B501" s="109"/>
    </row>
    <row r="502" spans="1:2" ht="21">
      <c r="A502" s="108"/>
      <c r="B502" s="109"/>
    </row>
    <row r="503" spans="1:2" ht="21">
      <c r="A503" s="108"/>
      <c r="B503" s="109"/>
    </row>
    <row r="504" spans="1:2" ht="21">
      <c r="A504" s="108"/>
      <c r="B504" s="109"/>
    </row>
    <row r="505" spans="1:2" ht="21">
      <c r="A505" s="108"/>
      <c r="B505" s="109"/>
    </row>
    <row r="506" spans="1:2" ht="21">
      <c r="A506" s="108"/>
      <c r="B506" s="109"/>
    </row>
    <row r="507" spans="1:2" ht="21">
      <c r="A507" s="108"/>
      <c r="B507" s="109"/>
    </row>
    <row r="508" spans="1:2" ht="21">
      <c r="A508" s="108"/>
      <c r="B508" s="109"/>
    </row>
    <row r="509" spans="1:2" ht="21">
      <c r="A509" s="108"/>
      <c r="B509" s="109"/>
    </row>
    <row r="510" spans="1:2" ht="21">
      <c r="A510" s="108"/>
      <c r="B510" s="109"/>
    </row>
    <row r="511" spans="1:2" ht="21">
      <c r="A511" s="108"/>
      <c r="B511" s="109"/>
    </row>
    <row r="512" spans="1:2" ht="21">
      <c r="A512" s="108"/>
      <c r="B512" s="109"/>
    </row>
    <row r="513" spans="1:2" ht="21">
      <c r="A513" s="108"/>
      <c r="B513" s="109"/>
    </row>
    <row r="514" spans="1:2" ht="21">
      <c r="A514" s="108"/>
      <c r="B514" s="109"/>
    </row>
    <row r="515" spans="1:2" ht="21">
      <c r="A515" s="108"/>
      <c r="B515" s="109"/>
    </row>
    <row r="516" spans="1:2" ht="21">
      <c r="A516" s="108"/>
      <c r="B516" s="109"/>
    </row>
    <row r="517" spans="1:2" ht="21">
      <c r="A517" s="108"/>
      <c r="B517" s="109"/>
    </row>
    <row r="518" spans="1:2" ht="21">
      <c r="A518" s="108"/>
      <c r="B518" s="109"/>
    </row>
    <row r="519" spans="1:2" ht="21">
      <c r="A519" s="108"/>
      <c r="B519" s="109"/>
    </row>
    <row r="520" spans="1:2" ht="21">
      <c r="A520" s="108"/>
      <c r="B520" s="109"/>
    </row>
    <row r="521" spans="1:2" ht="21">
      <c r="A521" s="108"/>
      <c r="B521" s="109"/>
    </row>
    <row r="522" spans="1:2" ht="21">
      <c r="A522" s="108"/>
      <c r="B522" s="109"/>
    </row>
    <row r="523" spans="1:2" ht="21">
      <c r="A523" s="108"/>
      <c r="B523" s="109"/>
    </row>
    <row r="524" spans="1:2" ht="21">
      <c r="A524" s="108"/>
      <c r="B524" s="109"/>
    </row>
    <row r="525" spans="1:2" ht="21">
      <c r="A525" s="108"/>
      <c r="B525" s="109"/>
    </row>
    <row r="526" spans="1:2" ht="21">
      <c r="A526" s="108"/>
      <c r="B526" s="109"/>
    </row>
    <row r="527" spans="1:2" ht="21">
      <c r="A527" s="108"/>
      <c r="B527" s="109"/>
    </row>
    <row r="528" spans="1:2" ht="21">
      <c r="A528" s="108"/>
      <c r="B528" s="109"/>
    </row>
    <row r="529" spans="1:2" ht="21">
      <c r="A529" s="108"/>
      <c r="B529" s="109"/>
    </row>
    <row r="530" spans="1:2" ht="21">
      <c r="A530" s="108"/>
      <c r="B530" s="109"/>
    </row>
    <row r="531" spans="1:2" ht="21">
      <c r="A531" s="108"/>
      <c r="B531" s="109"/>
    </row>
    <row r="532" spans="1:2" ht="21">
      <c r="A532" s="108"/>
      <c r="B532" s="109"/>
    </row>
    <row r="533" spans="1:2" ht="21">
      <c r="A533" s="108"/>
      <c r="B533" s="109"/>
    </row>
    <row r="534" spans="1:2" ht="21">
      <c r="A534" s="108"/>
      <c r="B534" s="109"/>
    </row>
    <row r="535" spans="1:2" ht="21">
      <c r="A535" s="108"/>
      <c r="B535" s="109"/>
    </row>
    <row r="536" spans="1:2" ht="21">
      <c r="A536" s="108"/>
      <c r="B536" s="109"/>
    </row>
    <row r="537" spans="1:2" ht="21">
      <c r="A537" s="108"/>
      <c r="B537" s="109"/>
    </row>
    <row r="538" spans="1:2" ht="21">
      <c r="A538" s="108"/>
      <c r="B538" s="109"/>
    </row>
    <row r="539" spans="1:2" ht="21">
      <c r="A539" s="108"/>
      <c r="B539" s="109"/>
    </row>
    <row r="540" spans="1:2" ht="21">
      <c r="A540" s="108"/>
      <c r="B540" s="109"/>
    </row>
    <row r="541" spans="1:2" ht="21">
      <c r="A541" s="108"/>
      <c r="B541" s="109"/>
    </row>
    <row r="542" spans="1:2" ht="21">
      <c r="A542" s="108"/>
      <c r="B542" s="109"/>
    </row>
    <row r="543" spans="1:2" ht="21">
      <c r="A543" s="108"/>
      <c r="B543" s="109"/>
    </row>
    <row r="544" spans="1:2" ht="21">
      <c r="A544" s="108"/>
      <c r="B544" s="109"/>
    </row>
    <row r="545" spans="1:2" ht="21">
      <c r="A545" s="108"/>
      <c r="B545" s="109"/>
    </row>
    <row r="546" spans="1:2" ht="21">
      <c r="A546" s="108"/>
      <c r="B546" s="109"/>
    </row>
    <row r="547" spans="1:2" ht="21">
      <c r="A547" s="108"/>
      <c r="B547" s="109"/>
    </row>
    <row r="548" spans="1:2" ht="21">
      <c r="A548" s="108"/>
      <c r="B548" s="109"/>
    </row>
    <row r="549" spans="1:2" ht="21">
      <c r="A549" s="108"/>
      <c r="B549" s="109"/>
    </row>
    <row r="550" spans="1:2" ht="21">
      <c r="A550" s="108"/>
      <c r="B550" s="109"/>
    </row>
    <row r="551" spans="1:2" ht="21">
      <c r="A551" s="108"/>
      <c r="B551" s="109"/>
    </row>
    <row r="552" spans="1:2" ht="21">
      <c r="A552" s="108"/>
      <c r="B552" s="109"/>
    </row>
    <row r="553" spans="1:2" ht="21">
      <c r="A553" s="108"/>
      <c r="B553" s="109"/>
    </row>
    <row r="554" spans="1:2" ht="21">
      <c r="A554" s="108"/>
      <c r="B554" s="109"/>
    </row>
    <row r="555" spans="1:2" ht="21">
      <c r="A555" s="108"/>
      <c r="B555" s="109"/>
    </row>
    <row r="556" spans="1:2" ht="21">
      <c r="A556" s="108"/>
      <c r="B556" s="109"/>
    </row>
    <row r="557" spans="1:2" ht="21">
      <c r="A557" s="108"/>
      <c r="B557" s="109"/>
    </row>
    <row r="558" spans="1:2" ht="21">
      <c r="A558" s="108"/>
      <c r="B558" s="109"/>
    </row>
    <row r="559" spans="1:2" ht="21">
      <c r="A559" s="108"/>
      <c r="B559" s="109"/>
    </row>
    <row r="560" spans="1:2" ht="21">
      <c r="A560" s="108"/>
      <c r="B560" s="109"/>
    </row>
    <row r="561" spans="1:2" ht="21">
      <c r="A561" s="108"/>
      <c r="B561" s="109"/>
    </row>
    <row r="562" spans="1:2" ht="21">
      <c r="A562" s="108"/>
      <c r="B562" s="109"/>
    </row>
    <row r="563" spans="1:2" ht="21">
      <c r="A563" s="108"/>
      <c r="B563" s="109"/>
    </row>
    <row r="564" spans="1:2" ht="21">
      <c r="A564" s="108"/>
      <c r="B564" s="109"/>
    </row>
    <row r="565" spans="1:2" ht="21">
      <c r="A565" s="108"/>
      <c r="B565" s="109"/>
    </row>
    <row r="566" spans="1:2" ht="21">
      <c r="A566" s="108"/>
      <c r="B566" s="109"/>
    </row>
    <row r="567" spans="1:2" ht="21">
      <c r="A567" s="108"/>
      <c r="B567" s="109"/>
    </row>
    <row r="568" spans="1:2" ht="21">
      <c r="A568" s="108"/>
      <c r="B568" s="109"/>
    </row>
    <row r="569" spans="1:2" ht="21">
      <c r="A569" s="108"/>
      <c r="B569" s="109"/>
    </row>
    <row r="570" spans="1:2" ht="21">
      <c r="A570" s="108"/>
      <c r="B570" s="109"/>
    </row>
    <row r="571" spans="1:2" ht="21">
      <c r="A571" s="108"/>
      <c r="B571" s="109"/>
    </row>
    <row r="572" spans="1:2" ht="21">
      <c r="A572" s="108"/>
      <c r="B572" s="109"/>
    </row>
    <row r="573" spans="1:2" ht="21">
      <c r="A573" s="108"/>
      <c r="B573" s="109"/>
    </row>
    <row r="574" spans="1:2" ht="21">
      <c r="A574" s="108"/>
      <c r="B574" s="109"/>
    </row>
    <row r="575" spans="1:2" ht="21">
      <c r="A575" s="108"/>
      <c r="B575" s="109"/>
    </row>
    <row r="576" spans="1:2" ht="21">
      <c r="A576" s="108"/>
      <c r="B576" s="109"/>
    </row>
    <row r="577" spans="1:2" ht="21">
      <c r="A577" s="108"/>
      <c r="B577" s="109"/>
    </row>
    <row r="578" spans="1:2" ht="21">
      <c r="A578" s="108"/>
      <c r="B578" s="109"/>
    </row>
    <row r="579" spans="1:2" ht="21">
      <c r="A579" s="108"/>
      <c r="B579" s="109"/>
    </row>
    <row r="580" spans="1:2" ht="21">
      <c r="A580" s="108"/>
      <c r="B580" s="109"/>
    </row>
    <row r="581" spans="1:2" ht="21">
      <c r="A581" s="108"/>
      <c r="B581" s="109"/>
    </row>
    <row r="582" spans="1:2" ht="21">
      <c r="A582" s="108"/>
      <c r="B582" s="109"/>
    </row>
    <row r="583" spans="1:2" ht="21">
      <c r="A583" s="108"/>
      <c r="B583" s="109"/>
    </row>
    <row r="584" spans="1:2" ht="21">
      <c r="A584" s="108"/>
      <c r="B584" s="109"/>
    </row>
    <row r="585" spans="1:2" ht="21">
      <c r="A585" s="108"/>
      <c r="B585" s="109"/>
    </row>
    <row r="586" spans="1:2" ht="21">
      <c r="A586" s="108"/>
      <c r="B586" s="109"/>
    </row>
    <row r="587" spans="1:2" ht="21">
      <c r="A587" s="108"/>
      <c r="B587" s="109"/>
    </row>
    <row r="588" spans="1:2" ht="21">
      <c r="A588" s="108"/>
      <c r="B588" s="109"/>
    </row>
    <row r="589" spans="1:2" ht="21">
      <c r="A589" s="108"/>
      <c r="B589" s="109"/>
    </row>
    <row r="590" spans="1:2" ht="21">
      <c r="A590" s="108"/>
      <c r="B590" s="109"/>
    </row>
    <row r="591" spans="1:2" ht="21">
      <c r="A591" s="108"/>
      <c r="B591" s="109"/>
    </row>
    <row r="592" spans="1:2" ht="21">
      <c r="A592" s="108"/>
      <c r="B592" s="109"/>
    </row>
    <row r="593" spans="1:2" ht="21">
      <c r="A593" s="108"/>
      <c r="B593" s="109"/>
    </row>
    <row r="594" spans="1:2" ht="21">
      <c r="A594" s="108"/>
      <c r="B594" s="109"/>
    </row>
    <row r="595" spans="1:2" ht="21">
      <c r="A595" s="108"/>
      <c r="B595" s="109"/>
    </row>
    <row r="596" spans="1:2" ht="21">
      <c r="A596" s="108"/>
      <c r="B596" s="109"/>
    </row>
    <row r="597" spans="1:2" ht="21">
      <c r="A597" s="108"/>
      <c r="B597" s="109"/>
    </row>
    <row r="598" spans="1:2" ht="21">
      <c r="A598" s="108"/>
      <c r="B598" s="109"/>
    </row>
    <row r="599" spans="1:2" ht="21">
      <c r="A599" s="108"/>
      <c r="B599" s="109"/>
    </row>
    <row r="600" spans="1:2" ht="21">
      <c r="A600" s="108"/>
      <c r="B600" s="109"/>
    </row>
    <row r="601" spans="1:2" ht="21">
      <c r="A601" s="108"/>
      <c r="B601" s="109"/>
    </row>
    <row r="602" spans="1:2" ht="21">
      <c r="A602" s="108"/>
      <c r="B602" s="109"/>
    </row>
    <row r="603" spans="1:2" ht="21">
      <c r="A603" s="108"/>
      <c r="B603" s="109"/>
    </row>
    <row r="604" spans="1:2" ht="21">
      <c r="A604" s="108"/>
      <c r="B604" s="109"/>
    </row>
    <row r="605" spans="1:2" ht="21">
      <c r="A605" s="108"/>
      <c r="B605" s="109"/>
    </row>
    <row r="606" spans="1:2" ht="21">
      <c r="A606" s="108"/>
      <c r="B606" s="109"/>
    </row>
    <row r="607" spans="1:2" ht="21">
      <c r="A607" s="108"/>
      <c r="B607" s="109"/>
    </row>
    <row r="608" spans="1:2" ht="21">
      <c r="A608" s="108"/>
      <c r="B608" s="109"/>
    </row>
    <row r="609" spans="1:2" ht="21">
      <c r="A609" s="108"/>
      <c r="B609" s="109"/>
    </row>
    <row r="610" spans="1:2" ht="21">
      <c r="A610" s="108"/>
      <c r="B610" s="109"/>
    </row>
    <row r="611" spans="1:2" ht="21">
      <c r="A611" s="108"/>
      <c r="B611" s="109"/>
    </row>
    <row r="612" spans="1:2" ht="21">
      <c r="A612" s="108"/>
      <c r="B612" s="109"/>
    </row>
    <row r="613" spans="1:2" ht="21">
      <c r="A613" s="108"/>
      <c r="B613" s="109"/>
    </row>
    <row r="614" spans="1:2" ht="21">
      <c r="A614" s="108"/>
      <c r="B614" s="109"/>
    </row>
    <row r="615" spans="1:2" ht="21">
      <c r="A615" s="108"/>
      <c r="B615" s="109"/>
    </row>
    <row r="616" spans="1:2" ht="21">
      <c r="A616" s="108"/>
      <c r="B616" s="109"/>
    </row>
    <row r="617" spans="1:2" ht="21">
      <c r="A617" s="108"/>
      <c r="B617" s="109"/>
    </row>
    <row r="618" spans="1:2" ht="21">
      <c r="A618" s="108"/>
      <c r="B618" s="109"/>
    </row>
    <row r="619" spans="1:2" ht="21">
      <c r="A619" s="108"/>
      <c r="B619" s="109"/>
    </row>
    <row r="620" spans="1:2" ht="21">
      <c r="A620" s="108"/>
      <c r="B620" s="109"/>
    </row>
    <row r="621" spans="1:2" ht="21">
      <c r="A621" s="108"/>
      <c r="B621" s="109"/>
    </row>
    <row r="622" spans="1:2" ht="21">
      <c r="A622" s="108"/>
      <c r="B622" s="109"/>
    </row>
    <row r="623" spans="1:2" ht="21">
      <c r="A623" s="108"/>
      <c r="B623" s="109"/>
    </row>
    <row r="624" spans="1:2" ht="21">
      <c r="A624" s="108"/>
      <c r="B624" s="109"/>
    </row>
    <row r="625" spans="1:2" ht="21">
      <c r="A625" s="108"/>
      <c r="B625" s="109"/>
    </row>
    <row r="626" spans="1:2" ht="21">
      <c r="A626" s="108"/>
      <c r="B626" s="109"/>
    </row>
    <row r="627" spans="1:2" ht="21">
      <c r="A627" s="108"/>
      <c r="B627" s="109"/>
    </row>
    <row r="628" spans="1:2" ht="21">
      <c r="A628" s="108"/>
      <c r="B628" s="109"/>
    </row>
    <row r="629" spans="1:2" ht="21">
      <c r="A629" s="108"/>
      <c r="B629" s="109"/>
    </row>
    <row r="630" spans="1:2" ht="21">
      <c r="A630" s="108"/>
      <c r="B630" s="109"/>
    </row>
    <row r="631" spans="1:2" ht="21">
      <c r="A631" s="108"/>
      <c r="B631" s="109"/>
    </row>
    <row r="632" spans="1:2" ht="21">
      <c r="A632" s="108"/>
      <c r="B632" s="109"/>
    </row>
    <row r="633" spans="1:2" ht="21">
      <c r="A633" s="108"/>
      <c r="B633" s="109"/>
    </row>
    <row r="634" spans="1:2" ht="21">
      <c r="A634" s="108"/>
      <c r="B634" s="109"/>
    </row>
    <row r="635" spans="1:2" ht="21">
      <c r="A635" s="108"/>
      <c r="B635" s="109"/>
    </row>
    <row r="636" spans="1:2" ht="21">
      <c r="A636" s="108"/>
      <c r="B636" s="109"/>
    </row>
    <row r="637" spans="1:2" ht="21">
      <c r="A637" s="108"/>
      <c r="B637" s="109"/>
    </row>
    <row r="638" spans="1:2" ht="21">
      <c r="A638" s="108"/>
      <c r="B638" s="109"/>
    </row>
    <row r="639" spans="1:2" ht="21">
      <c r="A639" s="108"/>
      <c r="B639" s="109"/>
    </row>
    <row r="640" spans="1:2" ht="21">
      <c r="A640" s="108"/>
      <c r="B640" s="109"/>
    </row>
    <row r="641" spans="1:2" ht="21">
      <c r="A641" s="108"/>
      <c r="B641" s="109"/>
    </row>
    <row r="642" spans="1:2" ht="21">
      <c r="A642" s="108"/>
      <c r="B642" s="109"/>
    </row>
    <row r="643" spans="1:2" ht="21">
      <c r="A643" s="108"/>
      <c r="B643" s="109"/>
    </row>
    <row r="644" spans="1:2" ht="21">
      <c r="A644" s="108"/>
      <c r="B644" s="109"/>
    </row>
    <row r="645" spans="1:2" ht="21">
      <c r="A645" s="108"/>
      <c r="B645" s="109"/>
    </row>
    <row r="646" spans="1:2" ht="21">
      <c r="A646" s="108"/>
      <c r="B646" s="109"/>
    </row>
    <row r="647" spans="1:2" ht="21">
      <c r="A647" s="108"/>
      <c r="B647" s="109"/>
    </row>
    <row r="648" spans="1:2" ht="21">
      <c r="A648" s="108"/>
      <c r="B648" s="109"/>
    </row>
    <row r="649" spans="1:2" ht="21">
      <c r="A649" s="108"/>
      <c r="B649" s="109"/>
    </row>
    <row r="650" spans="1:2" ht="21">
      <c r="A650" s="108"/>
      <c r="B650" s="109"/>
    </row>
    <row r="651" spans="1:2" ht="21">
      <c r="A651" s="108"/>
      <c r="B651" s="109"/>
    </row>
    <row r="652" spans="1:2" ht="21">
      <c r="A652" s="108"/>
      <c r="B652" s="109"/>
    </row>
    <row r="653" spans="1:2" ht="21">
      <c r="A653" s="108"/>
      <c r="B653" s="109"/>
    </row>
    <row r="654" spans="1:2" ht="21">
      <c r="A654" s="108"/>
      <c r="B654" s="109"/>
    </row>
    <row r="655" spans="1:2" ht="21">
      <c r="A655" s="108"/>
      <c r="B655" s="109"/>
    </row>
    <row r="656" spans="1:2" ht="21">
      <c r="A656" s="108"/>
      <c r="B656" s="109"/>
    </row>
    <row r="657" spans="1:2" ht="21">
      <c r="A657" s="108"/>
      <c r="B657" s="109"/>
    </row>
    <row r="658" spans="1:2" ht="21">
      <c r="A658" s="108"/>
      <c r="B658" s="109"/>
    </row>
    <row r="659" spans="1:2" ht="21">
      <c r="A659" s="108"/>
      <c r="B659" s="109"/>
    </row>
    <row r="660" spans="1:2" ht="21">
      <c r="A660" s="108"/>
      <c r="B660" s="109"/>
    </row>
    <row r="661" spans="1:2" ht="21">
      <c r="A661" s="108"/>
      <c r="B661" s="109"/>
    </row>
    <row r="662" spans="1:2" ht="21">
      <c r="A662" s="108"/>
      <c r="B662" s="109"/>
    </row>
    <row r="663" spans="1:2" ht="21">
      <c r="A663" s="108"/>
      <c r="B663" s="109"/>
    </row>
    <row r="664" spans="1:2" ht="21">
      <c r="A664" s="108"/>
      <c r="B664" s="109"/>
    </row>
    <row r="665" spans="1:2" ht="21">
      <c r="A665" s="108"/>
      <c r="B665" s="109"/>
    </row>
    <row r="666" spans="1:2" ht="21">
      <c r="A666" s="108"/>
      <c r="B666" s="109"/>
    </row>
    <row r="667" spans="1:2" ht="21">
      <c r="A667" s="108"/>
      <c r="B667" s="109"/>
    </row>
    <row r="668" spans="1:2" ht="21">
      <c r="A668" s="108"/>
      <c r="B668" s="109"/>
    </row>
    <row r="669" spans="1:2" ht="21">
      <c r="A669" s="108"/>
      <c r="B669" s="109"/>
    </row>
    <row r="670" spans="1:2" ht="21">
      <c r="A670" s="108"/>
      <c r="B670" s="109"/>
    </row>
    <row r="671" spans="1:2" ht="21">
      <c r="A671" s="108"/>
      <c r="B671" s="109"/>
    </row>
    <row r="672" spans="1:2" ht="21">
      <c r="A672" s="108"/>
      <c r="B672" s="109"/>
    </row>
    <row r="673" spans="1:2" ht="21">
      <c r="A673" s="108"/>
      <c r="B673" s="109"/>
    </row>
    <row r="674" spans="1:2" ht="21">
      <c r="A674" s="108"/>
      <c r="B674" s="109"/>
    </row>
    <row r="675" spans="1:2" ht="21">
      <c r="A675" s="108"/>
      <c r="B675" s="109"/>
    </row>
    <row r="676" spans="1:2" ht="21">
      <c r="A676" s="108"/>
      <c r="B676" s="109"/>
    </row>
    <row r="677" spans="1:2" ht="21">
      <c r="A677" s="108"/>
      <c r="B677" s="109"/>
    </row>
    <row r="678" spans="1:2" ht="21">
      <c r="A678" s="108"/>
      <c r="B678" s="109"/>
    </row>
    <row r="679" spans="1:2" ht="21">
      <c r="A679" s="108"/>
      <c r="B679" s="109"/>
    </row>
    <row r="680" spans="1:2" ht="21">
      <c r="A680" s="108"/>
      <c r="B680" s="109"/>
    </row>
    <row r="681" spans="1:2" ht="21">
      <c r="A681" s="108"/>
      <c r="B681" s="109"/>
    </row>
    <row r="682" spans="1:2" ht="21">
      <c r="A682" s="108"/>
      <c r="B682" s="109"/>
    </row>
    <row r="683" spans="1:2" ht="21">
      <c r="A683" s="108"/>
      <c r="B683" s="109"/>
    </row>
    <row r="684" spans="1:2" ht="21">
      <c r="A684" s="108"/>
      <c r="B684" s="109"/>
    </row>
    <row r="685" spans="1:2" ht="21">
      <c r="A685" s="108"/>
      <c r="B685" s="109"/>
    </row>
    <row r="686" spans="1:2" ht="21">
      <c r="A686" s="108"/>
      <c r="B686" s="109"/>
    </row>
    <row r="687" spans="1:2" ht="21">
      <c r="A687" s="108"/>
      <c r="B687" s="109"/>
    </row>
    <row r="688" spans="1:2" ht="21">
      <c r="A688" s="108"/>
      <c r="B688" s="109"/>
    </row>
    <row r="689" spans="1:2" ht="21">
      <c r="A689" s="108"/>
      <c r="B689" s="109"/>
    </row>
    <row r="690" spans="1:2" ht="21">
      <c r="A690" s="108"/>
      <c r="B690" s="109"/>
    </row>
    <row r="691" spans="1:2" ht="21">
      <c r="A691" s="108"/>
      <c r="B691" s="109"/>
    </row>
    <row r="692" spans="1:2" ht="21">
      <c r="A692" s="108"/>
      <c r="B692" s="109"/>
    </row>
    <row r="693" spans="1:2" ht="21">
      <c r="A693" s="108"/>
      <c r="B693" s="109"/>
    </row>
    <row r="694" spans="1:2" ht="21">
      <c r="A694" s="108"/>
      <c r="B694" s="109"/>
    </row>
    <row r="695" spans="1:2" ht="21">
      <c r="A695" s="108"/>
      <c r="B695" s="109"/>
    </row>
    <row r="696" spans="1:2" ht="21">
      <c r="A696" s="108"/>
      <c r="B696" s="109"/>
    </row>
    <row r="697" spans="1:2" ht="21">
      <c r="A697" s="108"/>
      <c r="B697" s="109"/>
    </row>
    <row r="698" spans="1:2" ht="21">
      <c r="A698" s="108"/>
      <c r="B698" s="109"/>
    </row>
    <row r="699" spans="1:2" ht="21">
      <c r="A699" s="108"/>
      <c r="B699" s="109"/>
    </row>
    <row r="700" spans="1:2" ht="21">
      <c r="A700" s="108"/>
      <c r="B700" s="109"/>
    </row>
    <row r="701" spans="1:2" ht="21">
      <c r="A701" s="108"/>
      <c r="B701" s="109"/>
    </row>
    <row r="702" spans="1:2" ht="21">
      <c r="A702" s="108"/>
      <c r="B702" s="109"/>
    </row>
    <row r="703" spans="1:2" ht="21">
      <c r="A703" s="108"/>
      <c r="B703" s="109"/>
    </row>
    <row r="704" spans="1:2" ht="21">
      <c r="A704" s="108"/>
      <c r="B704" s="109"/>
    </row>
    <row r="705" spans="1:2" ht="21">
      <c r="A705" s="108"/>
      <c r="B705" s="109"/>
    </row>
    <row r="706" spans="1:2" ht="21">
      <c r="A706" s="108"/>
      <c r="B706" s="109"/>
    </row>
    <row r="707" spans="1:2" ht="21">
      <c r="A707" s="108"/>
      <c r="B707" s="109"/>
    </row>
    <row r="708" spans="1:2" ht="21">
      <c r="A708" s="108"/>
      <c r="B708" s="109"/>
    </row>
    <row r="709" spans="1:2" ht="21">
      <c r="A709" s="108"/>
      <c r="B709" s="109"/>
    </row>
    <row r="710" spans="1:2" ht="21">
      <c r="A710" s="108"/>
      <c r="B710" s="109"/>
    </row>
    <row r="711" spans="1:2" ht="21">
      <c r="A711" s="108"/>
      <c r="B711" s="109"/>
    </row>
    <row r="712" spans="1:2" ht="21">
      <c r="A712" s="108"/>
      <c r="B712" s="109"/>
    </row>
    <row r="713" spans="1:2" ht="21">
      <c r="A713" s="108"/>
      <c r="B713" s="109"/>
    </row>
    <row r="714" spans="1:2" ht="21">
      <c r="A714" s="108"/>
      <c r="B714" s="109"/>
    </row>
    <row r="715" spans="1:2" ht="21">
      <c r="A715" s="108"/>
      <c r="B715" s="109"/>
    </row>
    <row r="716" spans="1:2" ht="21">
      <c r="A716" s="108"/>
      <c r="B716" s="109"/>
    </row>
    <row r="717" spans="1:2" ht="21">
      <c r="A717" s="108"/>
      <c r="B717" s="109"/>
    </row>
    <row r="718" spans="1:2" ht="21">
      <c r="A718" s="108"/>
      <c r="B718" s="109"/>
    </row>
    <row r="719" spans="1:2" ht="21">
      <c r="A719" s="108"/>
      <c r="B719" s="109"/>
    </row>
    <row r="720" spans="1:2" ht="21">
      <c r="A720" s="108"/>
      <c r="B720" s="109"/>
    </row>
    <row r="721" spans="1:2" ht="21">
      <c r="A721" s="108"/>
      <c r="B721" s="109"/>
    </row>
    <row r="722" spans="1:2" ht="21">
      <c r="A722" s="108"/>
      <c r="B722" s="109"/>
    </row>
    <row r="723" spans="1:2" ht="21">
      <c r="A723" s="108"/>
      <c r="B723" s="109"/>
    </row>
    <row r="724" spans="1:2" ht="21">
      <c r="A724" s="108"/>
      <c r="B724" s="109"/>
    </row>
    <row r="725" spans="1:2" ht="21">
      <c r="A725" s="108"/>
      <c r="B725" s="109"/>
    </row>
    <row r="726" spans="1:2" ht="21">
      <c r="A726" s="108"/>
      <c r="B726" s="109"/>
    </row>
    <row r="727" spans="1:2" ht="21">
      <c r="A727" s="108"/>
      <c r="B727" s="109"/>
    </row>
    <row r="728" spans="1:2" ht="21">
      <c r="A728" s="108"/>
      <c r="B728" s="109"/>
    </row>
    <row r="729" spans="1:2" ht="21">
      <c r="A729" s="108"/>
      <c r="B729" s="109"/>
    </row>
    <row r="730" spans="1:2" ht="21">
      <c r="A730" s="108"/>
      <c r="B730" s="109"/>
    </row>
    <row r="731" spans="1:2" ht="21">
      <c r="A731" s="108"/>
      <c r="B731" s="109"/>
    </row>
    <row r="732" spans="1:2" ht="21">
      <c r="A732" s="108"/>
      <c r="B732" s="109"/>
    </row>
    <row r="733" spans="1:2" ht="21">
      <c r="A733" s="108"/>
      <c r="B733" s="109"/>
    </row>
    <row r="734" spans="1:2" ht="21">
      <c r="A734" s="108"/>
      <c r="B734" s="109"/>
    </row>
    <row r="735" spans="1:2" ht="21">
      <c r="A735" s="108"/>
      <c r="B735" s="109"/>
    </row>
    <row r="736" spans="1:2" ht="21">
      <c r="A736" s="108"/>
      <c r="B736" s="109"/>
    </row>
    <row r="737" spans="1:2" ht="21">
      <c r="A737" s="108"/>
      <c r="B737" s="109"/>
    </row>
    <row r="738" spans="1:2" ht="21">
      <c r="A738" s="108"/>
      <c r="B738" s="109"/>
    </row>
    <row r="739" spans="1:2" ht="21">
      <c r="A739" s="108"/>
      <c r="B739" s="109"/>
    </row>
    <row r="740" spans="1:2" ht="21">
      <c r="A740" s="108"/>
      <c r="B740" s="109"/>
    </row>
    <row r="741" spans="1:2" ht="21">
      <c r="A741" s="108"/>
      <c r="B741" s="109"/>
    </row>
    <row r="742" spans="1:2" ht="21">
      <c r="A742" s="108"/>
      <c r="B742" s="109"/>
    </row>
    <row r="743" spans="1:2" ht="21">
      <c r="A743" s="108"/>
      <c r="B743" s="109"/>
    </row>
    <row r="744" spans="1:2" ht="21">
      <c r="A744" s="108"/>
      <c r="B744" s="109"/>
    </row>
    <row r="745" spans="1:2" ht="21">
      <c r="A745" s="108"/>
      <c r="B745" s="109"/>
    </row>
    <row r="746" spans="1:2" ht="21">
      <c r="A746" s="108"/>
      <c r="B746" s="109"/>
    </row>
    <row r="747" spans="1:2" ht="21">
      <c r="A747" s="108"/>
      <c r="B747" s="109"/>
    </row>
    <row r="748" spans="1:2" ht="21">
      <c r="A748" s="108"/>
      <c r="B748" s="109"/>
    </row>
    <row r="749" spans="1:2" ht="21">
      <c r="A749" s="108"/>
      <c r="B749" s="109"/>
    </row>
    <row r="750" spans="1:2" ht="21">
      <c r="A750" s="108"/>
      <c r="B750" s="109"/>
    </row>
    <row r="751" spans="1:2" ht="21">
      <c r="A751" s="108"/>
      <c r="B751" s="109"/>
    </row>
    <row r="752" spans="1:2" ht="21">
      <c r="A752" s="108"/>
      <c r="B752" s="109"/>
    </row>
    <row r="753" spans="1:2" ht="21">
      <c r="A753" s="108"/>
      <c r="B753" s="109"/>
    </row>
    <row r="754" spans="1:2" ht="21">
      <c r="A754" s="108"/>
      <c r="B754" s="109"/>
    </row>
    <row r="755" spans="1:2" ht="21">
      <c r="A755" s="108"/>
      <c r="B755" s="109"/>
    </row>
    <row r="756" spans="1:2" ht="21">
      <c r="A756" s="108"/>
      <c r="B756" s="109"/>
    </row>
    <row r="757" spans="1:2" ht="21">
      <c r="A757" s="108"/>
      <c r="B757" s="109"/>
    </row>
    <row r="758" spans="1:2" ht="21">
      <c r="A758" s="108"/>
      <c r="B758" s="109"/>
    </row>
    <row r="759" spans="1:2" ht="21">
      <c r="A759" s="108"/>
      <c r="B759" s="109"/>
    </row>
    <row r="760" spans="1:2" ht="21">
      <c r="A760" s="108"/>
      <c r="B760" s="109"/>
    </row>
    <row r="761" spans="1:2" ht="21">
      <c r="A761" s="108"/>
      <c r="B761" s="109"/>
    </row>
    <row r="762" spans="1:2" ht="21">
      <c r="A762" s="108"/>
      <c r="B762" s="109"/>
    </row>
    <row r="763" spans="1:2" ht="21">
      <c r="A763" s="108"/>
      <c r="B763" s="109"/>
    </row>
    <row r="764" spans="1:2" ht="21">
      <c r="A764" s="108"/>
      <c r="B764" s="109"/>
    </row>
    <row r="765" spans="1:2" ht="21">
      <c r="A765" s="108"/>
      <c r="B765" s="109"/>
    </row>
    <row r="766" spans="1:2" ht="21">
      <c r="A766" s="108"/>
      <c r="B766" s="109"/>
    </row>
    <row r="767" spans="1:2" ht="21">
      <c r="A767" s="108"/>
      <c r="B767" s="109"/>
    </row>
    <row r="768" spans="1:2" ht="21">
      <c r="A768" s="108"/>
      <c r="B768" s="109"/>
    </row>
    <row r="769" spans="1:2" ht="21">
      <c r="A769" s="108"/>
      <c r="B769" s="109"/>
    </row>
    <row r="770" spans="1:2" ht="21">
      <c r="A770" s="108"/>
      <c r="B770" s="109"/>
    </row>
    <row r="771" spans="1:2" ht="21">
      <c r="A771" s="108"/>
      <c r="B771" s="109"/>
    </row>
    <row r="772" spans="1:2" ht="21">
      <c r="A772" s="108"/>
      <c r="B772" s="109"/>
    </row>
    <row r="773" spans="1:2" ht="21">
      <c r="A773" s="108"/>
      <c r="B773" s="109"/>
    </row>
    <row r="774" spans="1:2" ht="21">
      <c r="A774" s="108"/>
      <c r="B774" s="109"/>
    </row>
    <row r="775" spans="1:2" ht="21">
      <c r="A775" s="108"/>
      <c r="B775" s="109"/>
    </row>
    <row r="776" spans="1:2" ht="21">
      <c r="A776" s="108"/>
      <c r="B776" s="109"/>
    </row>
    <row r="777" spans="1:2" ht="21">
      <c r="A777" s="108"/>
      <c r="B777" s="109"/>
    </row>
    <row r="778" spans="1:2" ht="21">
      <c r="A778" s="108"/>
      <c r="B778" s="109"/>
    </row>
    <row r="779" spans="1:2" ht="21">
      <c r="A779" s="108"/>
      <c r="B779" s="109"/>
    </row>
    <row r="780" spans="1:2" ht="21">
      <c r="A780" s="108"/>
      <c r="B780" s="109"/>
    </row>
    <row r="781" spans="1:2" ht="21">
      <c r="A781" s="108"/>
      <c r="B781" s="109"/>
    </row>
    <row r="782" spans="1:2" ht="21">
      <c r="A782" s="108"/>
      <c r="B782" s="109"/>
    </row>
    <row r="783" spans="1:2" ht="21">
      <c r="A783" s="108"/>
      <c r="B783" s="109"/>
    </row>
    <row r="784" spans="1:2" ht="21">
      <c r="A784" s="108"/>
      <c r="B784" s="109"/>
    </row>
    <row r="785" spans="1:2" ht="21">
      <c r="A785" s="108"/>
      <c r="B785" s="109"/>
    </row>
    <row r="786" spans="1:2" ht="21">
      <c r="A786" s="108"/>
      <c r="B786" s="109"/>
    </row>
    <row r="787" spans="1:2" ht="21">
      <c r="A787" s="108"/>
      <c r="B787" s="109"/>
    </row>
    <row r="788" spans="1:2" ht="21">
      <c r="A788" s="108"/>
      <c r="B788" s="109"/>
    </row>
    <row r="789" spans="1:2" ht="21">
      <c r="A789" s="108"/>
      <c r="B789" s="109"/>
    </row>
    <row r="790" spans="1:2" ht="21">
      <c r="A790" s="108"/>
      <c r="B790" s="109"/>
    </row>
    <row r="791" spans="1:2" ht="21">
      <c r="A791" s="108"/>
      <c r="B791" s="109"/>
    </row>
    <row r="792" spans="1:2" ht="21">
      <c r="A792" s="108"/>
      <c r="B792" s="109"/>
    </row>
    <row r="793" spans="1:2" ht="21">
      <c r="A793" s="108"/>
      <c r="B793" s="109"/>
    </row>
    <row r="794" spans="1:2" ht="21">
      <c r="A794" s="108"/>
      <c r="B794" s="109"/>
    </row>
    <row r="795" spans="1:2" ht="21">
      <c r="A795" s="108"/>
      <c r="B795" s="109"/>
    </row>
    <row r="796" spans="1:2" ht="21">
      <c r="A796" s="108"/>
      <c r="B796" s="109"/>
    </row>
    <row r="797" spans="1:2" ht="21">
      <c r="A797" s="108"/>
      <c r="B797" s="109"/>
    </row>
    <row r="798" spans="1:2" ht="21">
      <c r="A798" s="108"/>
      <c r="B798" s="109"/>
    </row>
    <row r="799" spans="1:2" ht="21">
      <c r="A799" s="108"/>
      <c r="B799" s="109"/>
    </row>
    <row r="800" spans="1:2" ht="21">
      <c r="A800" s="108"/>
      <c r="B800" s="109"/>
    </row>
    <row r="801" spans="1:2" ht="21">
      <c r="A801" s="108"/>
      <c r="B801" s="109"/>
    </row>
    <row r="802" spans="1:2" ht="21">
      <c r="A802" s="108"/>
      <c r="B802" s="109"/>
    </row>
    <row r="803" spans="1:2" ht="21">
      <c r="A803" s="108"/>
      <c r="B803" s="109"/>
    </row>
    <row r="804" spans="1:2" ht="21">
      <c r="A804" s="108"/>
      <c r="B804" s="109"/>
    </row>
    <row r="805" spans="1:2" ht="21">
      <c r="A805" s="108"/>
      <c r="B805" s="109"/>
    </row>
    <row r="806" spans="1:2" ht="21">
      <c r="A806" s="108"/>
      <c r="B806" s="109"/>
    </row>
    <row r="807" spans="1:2" ht="21">
      <c r="A807" s="108"/>
      <c r="B807" s="109"/>
    </row>
    <row r="808" spans="1:2" ht="21">
      <c r="A808" s="108"/>
      <c r="B808" s="109"/>
    </row>
    <row r="809" spans="1:2" ht="21">
      <c r="A809" s="108"/>
      <c r="B809" s="109"/>
    </row>
    <row r="810" spans="1:2" ht="21">
      <c r="A810" s="108"/>
      <c r="B810" s="109"/>
    </row>
    <row r="811" spans="1:2" ht="21">
      <c r="A811" s="108"/>
      <c r="B811" s="109"/>
    </row>
    <row r="812" spans="1:2" ht="21">
      <c r="A812" s="108"/>
      <c r="B812" s="109"/>
    </row>
    <row r="813" spans="1:2" ht="21">
      <c r="A813" s="108"/>
      <c r="B813" s="109"/>
    </row>
    <row r="814" spans="1:2" ht="21">
      <c r="A814" s="108"/>
      <c r="B814" s="109"/>
    </row>
    <row r="815" spans="1:2" ht="21">
      <c r="A815" s="108"/>
      <c r="B815" s="109"/>
    </row>
    <row r="816" spans="1:2" ht="21">
      <c r="A816" s="108"/>
      <c r="B816" s="109"/>
    </row>
    <row r="817" spans="1:2" ht="21">
      <c r="A817" s="108"/>
      <c r="B817" s="109"/>
    </row>
    <row r="818" spans="1:2" ht="21">
      <c r="A818" s="108"/>
      <c r="B818" s="109"/>
    </row>
    <row r="819" spans="1:2" ht="21">
      <c r="A819" s="108"/>
      <c r="B819" s="109"/>
    </row>
    <row r="820" spans="1:2" ht="21">
      <c r="A820" s="108"/>
      <c r="B820" s="109"/>
    </row>
    <row r="821" spans="1:2" ht="21">
      <c r="A821" s="108"/>
      <c r="B821" s="109"/>
    </row>
    <row r="822" spans="1:2" ht="21">
      <c r="A822" s="108"/>
      <c r="B822" s="109"/>
    </row>
    <row r="823" spans="1:2" ht="21">
      <c r="A823" s="108"/>
      <c r="B823" s="109"/>
    </row>
    <row r="824" spans="1:2" ht="21">
      <c r="A824" s="108"/>
      <c r="B824" s="109"/>
    </row>
    <row r="825" spans="1:2" ht="21">
      <c r="A825" s="108"/>
      <c r="B825" s="109"/>
    </row>
    <row r="826" spans="1:2" ht="21">
      <c r="A826" s="108"/>
      <c r="B826" s="109"/>
    </row>
    <row r="827" spans="1:2" ht="21">
      <c r="A827" s="108"/>
      <c r="B827" s="109"/>
    </row>
    <row r="828" spans="1:2" ht="21">
      <c r="A828" s="108"/>
      <c r="B828" s="109"/>
    </row>
    <row r="829" spans="1:2" ht="21">
      <c r="A829" s="108"/>
      <c r="B829" s="109"/>
    </row>
    <row r="830" spans="1:2" ht="21">
      <c r="A830" s="108"/>
      <c r="B830" s="109"/>
    </row>
    <row r="831" spans="1:2" ht="21">
      <c r="A831" s="108"/>
      <c r="B831" s="109"/>
    </row>
    <row r="832" spans="1:2" ht="21">
      <c r="A832" s="108"/>
      <c r="B832" s="109"/>
    </row>
    <row r="833" spans="1:2" ht="21">
      <c r="A833" s="108"/>
      <c r="B833" s="109"/>
    </row>
    <row r="834" spans="1:2" ht="21">
      <c r="A834" s="108"/>
      <c r="B834" s="109"/>
    </row>
    <row r="835" spans="1:2" ht="21">
      <c r="A835" s="108"/>
      <c r="B835" s="109"/>
    </row>
    <row r="836" spans="1:2" ht="21">
      <c r="A836" s="108"/>
      <c r="B836" s="109"/>
    </row>
    <row r="837" spans="1:2" ht="21">
      <c r="A837" s="108"/>
      <c r="B837" s="109"/>
    </row>
    <row r="838" spans="1:2" ht="21">
      <c r="A838" s="108"/>
      <c r="B838" s="109"/>
    </row>
    <row r="839" spans="1:2" ht="21">
      <c r="A839" s="108"/>
      <c r="B839" s="109"/>
    </row>
    <row r="840" spans="1:2" ht="21">
      <c r="A840" s="108"/>
      <c r="B840" s="109"/>
    </row>
    <row r="841" spans="1:2" ht="21">
      <c r="A841" s="108"/>
      <c r="B841" s="109"/>
    </row>
    <row r="842" spans="1:2" ht="21">
      <c r="A842" s="108"/>
      <c r="B842" s="109"/>
    </row>
    <row r="843" spans="1:2" ht="21">
      <c r="A843" s="108"/>
      <c r="B843" s="109"/>
    </row>
    <row r="844" spans="1:2" ht="21">
      <c r="A844" s="108"/>
      <c r="B844" s="109"/>
    </row>
    <row r="845" spans="1:2" ht="21">
      <c r="A845" s="108"/>
      <c r="B845" s="109"/>
    </row>
    <row r="846" spans="1:2" ht="21">
      <c r="A846" s="108"/>
      <c r="B846" s="109"/>
    </row>
    <row r="847" spans="1:2" ht="21">
      <c r="A847" s="108"/>
      <c r="B847" s="109"/>
    </row>
    <row r="848" spans="1:2" ht="21">
      <c r="A848" s="108"/>
      <c r="B848" s="109"/>
    </row>
    <row r="849" spans="1:2" ht="21">
      <c r="A849" s="108"/>
      <c r="B849" s="109"/>
    </row>
    <row r="850" spans="1:2" ht="21">
      <c r="A850" s="108"/>
      <c r="B850" s="109"/>
    </row>
    <row r="851" spans="1:2" ht="21">
      <c r="A851" s="108"/>
      <c r="B851" s="109"/>
    </row>
    <row r="852" spans="1:2" ht="21">
      <c r="A852" s="108"/>
      <c r="B852" s="109"/>
    </row>
    <row r="853" spans="1:2" ht="21">
      <c r="A853" s="108"/>
      <c r="B853" s="109"/>
    </row>
    <row r="854" spans="1:2" ht="21">
      <c r="A854" s="108"/>
      <c r="B854" s="109"/>
    </row>
    <row r="855" spans="1:2" ht="21">
      <c r="A855" s="108"/>
      <c r="B855" s="109"/>
    </row>
    <row r="856" spans="1:2" ht="21">
      <c r="A856" s="108"/>
      <c r="B856" s="109"/>
    </row>
    <row r="857" spans="1:2" ht="21">
      <c r="A857" s="108"/>
      <c r="B857" s="109"/>
    </row>
    <row r="858" spans="1:2" ht="21">
      <c r="A858" s="108"/>
      <c r="B858" s="109"/>
    </row>
    <row r="859" spans="1:2" ht="21">
      <c r="A859" s="108"/>
      <c r="B859" s="109"/>
    </row>
    <row r="860" spans="1:2" ht="21">
      <c r="A860" s="108"/>
      <c r="B860" s="109"/>
    </row>
    <row r="861" spans="1:2" ht="21">
      <c r="A861" s="108"/>
      <c r="B861" s="109"/>
    </row>
    <row r="862" spans="1:2" ht="21">
      <c r="A862" s="108"/>
      <c r="B862" s="109"/>
    </row>
    <row r="863" spans="1:2" ht="21">
      <c r="A863" s="108"/>
      <c r="B863" s="109"/>
    </row>
    <row r="864" spans="1:2" ht="21">
      <c r="A864" s="108"/>
      <c r="B864" s="109"/>
    </row>
    <row r="865" spans="1:2" ht="21">
      <c r="A865" s="108"/>
      <c r="B865" s="109"/>
    </row>
    <row r="866" spans="1:2" ht="21">
      <c r="A866" s="108"/>
      <c r="B866" s="109"/>
    </row>
    <row r="867" spans="1:2" ht="21">
      <c r="A867" s="108"/>
      <c r="B867" s="109"/>
    </row>
    <row r="868" spans="1:2" ht="21">
      <c r="A868" s="108"/>
      <c r="B868" s="109"/>
    </row>
    <row r="869" spans="1:2" ht="21">
      <c r="A869" s="108"/>
      <c r="B869" s="109"/>
    </row>
    <row r="870" spans="1:2" ht="21">
      <c r="A870" s="108"/>
      <c r="B870" s="109"/>
    </row>
    <row r="871" spans="1:2" ht="21">
      <c r="A871" s="108"/>
      <c r="B871" s="109"/>
    </row>
    <row r="872" spans="1:2" ht="21">
      <c r="A872" s="108"/>
      <c r="B872" s="109"/>
    </row>
    <row r="873" spans="1:2" ht="21">
      <c r="A873" s="108"/>
      <c r="B873" s="109"/>
    </row>
    <row r="874" spans="1:2" ht="21">
      <c r="A874" s="108"/>
      <c r="B874" s="109"/>
    </row>
    <row r="875" spans="1:2" ht="21">
      <c r="A875" s="108"/>
      <c r="B875" s="109"/>
    </row>
    <row r="876" spans="1:2" ht="21">
      <c r="A876" s="108"/>
      <c r="B876" s="109"/>
    </row>
    <row r="877" spans="1:2" ht="21">
      <c r="A877" s="108"/>
      <c r="B877" s="109"/>
    </row>
    <row r="878" spans="1:2" ht="21">
      <c r="A878" s="108"/>
      <c r="B878" s="109"/>
    </row>
    <row r="879" spans="1:2" ht="21">
      <c r="A879" s="108"/>
      <c r="B879" s="109"/>
    </row>
    <row r="880" spans="1:2" ht="21">
      <c r="A880" s="108"/>
      <c r="B880" s="109"/>
    </row>
    <row r="881" spans="1:2" ht="21">
      <c r="A881" s="108"/>
      <c r="B881" s="109"/>
    </row>
    <row r="882" spans="1:2" ht="21">
      <c r="A882" s="108"/>
      <c r="B882" s="109"/>
    </row>
    <row r="883" spans="1:2" ht="21">
      <c r="A883" s="108"/>
      <c r="B883" s="109"/>
    </row>
    <row r="884" spans="1:2" ht="21">
      <c r="A884" s="108"/>
      <c r="B884" s="109"/>
    </row>
    <row r="885" spans="1:2" ht="21">
      <c r="A885" s="108"/>
      <c r="B885" s="109"/>
    </row>
    <row r="886" spans="1:2" ht="21">
      <c r="A886" s="108"/>
      <c r="B886" s="109"/>
    </row>
    <row r="887" spans="1:2" ht="21">
      <c r="A887" s="108"/>
      <c r="B887" s="109"/>
    </row>
    <row r="888" spans="1:2" ht="21">
      <c r="A888" s="108"/>
      <c r="B888" s="109"/>
    </row>
    <row r="889" spans="1:2" ht="21">
      <c r="A889" s="108"/>
      <c r="B889" s="109"/>
    </row>
    <row r="890" spans="1:2" ht="21">
      <c r="A890" s="108"/>
      <c r="B890" s="109"/>
    </row>
    <row r="891" spans="1:2" ht="21">
      <c r="A891" s="108"/>
      <c r="B891" s="109"/>
    </row>
    <row r="892" spans="1:2" ht="21">
      <c r="A892" s="108"/>
      <c r="B892" s="109"/>
    </row>
    <row r="893" spans="1:2" ht="21">
      <c r="A893" s="108"/>
      <c r="B893" s="109"/>
    </row>
    <row r="894" spans="1:2" ht="21">
      <c r="A894" s="108"/>
      <c r="B894" s="109"/>
    </row>
    <row r="895" spans="1:2" ht="21">
      <c r="A895" s="108"/>
      <c r="B895" s="109"/>
    </row>
    <row r="896" spans="1:2" ht="21">
      <c r="A896" s="108"/>
      <c r="B896" s="109"/>
    </row>
    <row r="897" spans="1:2" ht="21">
      <c r="A897" s="108"/>
      <c r="B897" s="109"/>
    </row>
    <row r="898" spans="1:2" ht="21">
      <c r="A898" s="108"/>
      <c r="B898" s="109"/>
    </row>
    <row r="899" spans="1:2" ht="21">
      <c r="A899" s="108"/>
      <c r="B899" s="109"/>
    </row>
    <row r="900" spans="1:2" ht="21">
      <c r="A900" s="108"/>
      <c r="B900" s="109"/>
    </row>
    <row r="901" spans="1:2" ht="21">
      <c r="A901" s="108"/>
      <c r="B901" s="109"/>
    </row>
    <row r="902" spans="1:2" ht="21">
      <c r="A902" s="108"/>
      <c r="B902" s="109"/>
    </row>
    <row r="903" spans="1:2" ht="21">
      <c r="A903" s="108"/>
      <c r="B903" s="109"/>
    </row>
    <row r="904" spans="1:2" ht="21">
      <c r="A904" s="108"/>
      <c r="B904" s="109"/>
    </row>
    <row r="905" spans="1:2" ht="21">
      <c r="A905" s="108"/>
      <c r="B905" s="109"/>
    </row>
    <row r="906" spans="1:2" ht="21">
      <c r="A906" s="108"/>
      <c r="B906" s="109"/>
    </row>
    <row r="907" spans="1:2" ht="21">
      <c r="A907" s="108"/>
      <c r="B907" s="109"/>
    </row>
    <row r="908" spans="1:2" ht="21">
      <c r="A908" s="108"/>
      <c r="B908" s="109"/>
    </row>
    <row r="909" spans="1:2" ht="21">
      <c r="A909" s="108"/>
      <c r="B909" s="109"/>
    </row>
    <row r="910" spans="1:2" ht="21">
      <c r="A910" s="108"/>
      <c r="B910" s="109"/>
    </row>
    <row r="911" spans="1:2" ht="21">
      <c r="A911" s="108"/>
      <c r="B911" s="109"/>
    </row>
    <row r="912" spans="1:2" ht="21">
      <c r="A912" s="108"/>
      <c r="B912" s="109"/>
    </row>
    <row r="913" spans="1:2" ht="21">
      <c r="A913" s="108"/>
      <c r="B913" s="109"/>
    </row>
    <row r="914" spans="1:2" ht="21">
      <c r="A914" s="108"/>
      <c r="B914" s="109"/>
    </row>
    <row r="915" spans="1:2" ht="21">
      <c r="A915" s="108"/>
      <c r="B915" s="109"/>
    </row>
    <row r="916" spans="1:2" ht="21">
      <c r="A916" s="108"/>
      <c r="B916" s="109"/>
    </row>
    <row r="917" spans="1:2" ht="21">
      <c r="A917" s="108"/>
      <c r="B917" s="109"/>
    </row>
    <row r="918" spans="1:2" ht="21">
      <c r="A918" s="108"/>
      <c r="B918" s="109"/>
    </row>
    <row r="919" spans="1:2" ht="21">
      <c r="A919" s="108"/>
      <c r="B919" s="109"/>
    </row>
    <row r="920" spans="1:2" ht="21">
      <c r="A920" s="108"/>
      <c r="B920" s="109"/>
    </row>
    <row r="921" spans="1:2" ht="21">
      <c r="A921" s="108"/>
      <c r="B921" s="109"/>
    </row>
    <row r="922" spans="1:2" ht="21">
      <c r="A922" s="108"/>
      <c r="B922" s="109"/>
    </row>
    <row r="923" spans="1:2" ht="21">
      <c r="A923" s="108"/>
      <c r="B923" s="109"/>
    </row>
    <row r="924" spans="1:2" ht="21">
      <c r="A924" s="108"/>
      <c r="B924" s="109"/>
    </row>
    <row r="925" spans="1:2" ht="21">
      <c r="A925" s="108"/>
      <c r="B925" s="109"/>
    </row>
    <row r="926" spans="1:2" ht="21">
      <c r="A926" s="108"/>
      <c r="B926" s="109"/>
    </row>
    <row r="927" spans="1:2" ht="21">
      <c r="A927" s="108"/>
      <c r="B927" s="109"/>
    </row>
    <row r="928" spans="1:2" ht="21">
      <c r="A928" s="108"/>
      <c r="B928" s="109"/>
    </row>
    <row r="929" spans="1:2" ht="21">
      <c r="A929" s="108"/>
      <c r="B929" s="109"/>
    </row>
    <row r="930" spans="1:2" ht="21">
      <c r="A930" s="108"/>
      <c r="B930" s="109"/>
    </row>
    <row r="931" spans="1:2" ht="21">
      <c r="A931" s="108"/>
      <c r="B931" s="109"/>
    </row>
    <row r="932" spans="1:2" ht="21">
      <c r="A932" s="108"/>
      <c r="B932" s="109"/>
    </row>
    <row r="933" spans="1:2" ht="21">
      <c r="A933" s="108"/>
      <c r="B933" s="109"/>
    </row>
    <row r="934" spans="1:2" ht="21">
      <c r="A934" s="108"/>
      <c r="B934" s="109"/>
    </row>
    <row r="935" spans="1:2" ht="21">
      <c r="A935" s="108"/>
      <c r="B935" s="109"/>
    </row>
    <row r="936" spans="1:2" ht="21">
      <c r="A936" s="108"/>
      <c r="B936" s="109"/>
    </row>
    <row r="937" spans="1:2" ht="21">
      <c r="A937" s="108"/>
      <c r="B937" s="109"/>
    </row>
    <row r="938" spans="1:2" ht="21">
      <c r="A938" s="108"/>
      <c r="B938" s="109"/>
    </row>
    <row r="939" spans="1:2" ht="21">
      <c r="A939" s="108"/>
      <c r="B939" s="109"/>
    </row>
    <row r="940" spans="1:2" ht="21">
      <c r="A940" s="108"/>
      <c r="B940" s="109"/>
    </row>
    <row r="941" spans="1:2" ht="21">
      <c r="A941" s="108"/>
      <c r="B941" s="109"/>
    </row>
    <row r="942" spans="1:2" ht="21">
      <c r="A942" s="108"/>
      <c r="B942" s="109"/>
    </row>
    <row r="943" spans="1:2" ht="21">
      <c r="A943" s="108"/>
      <c r="B943" s="109"/>
    </row>
    <row r="944" spans="1:2" ht="21">
      <c r="A944" s="108"/>
      <c r="B944" s="109"/>
    </row>
    <row r="945" spans="1:2" ht="21">
      <c r="A945" s="108"/>
      <c r="B945" s="109"/>
    </row>
    <row r="946" spans="1:2" ht="21">
      <c r="A946" s="108"/>
      <c r="B946" s="109"/>
    </row>
    <row r="947" spans="1:2" ht="21">
      <c r="A947" s="108"/>
      <c r="B947" s="109"/>
    </row>
    <row r="948" spans="1:2" ht="21">
      <c r="A948" s="108"/>
      <c r="B948" s="109"/>
    </row>
    <row r="949" spans="1:2" ht="21">
      <c r="A949" s="108"/>
      <c r="B949" s="109"/>
    </row>
    <row r="950" spans="1:2" ht="21">
      <c r="A950" s="108"/>
      <c r="B950" s="109"/>
    </row>
    <row r="951" spans="1:2" ht="21">
      <c r="A951" s="108"/>
      <c r="B951" s="109"/>
    </row>
    <row r="952" spans="1:2" ht="21">
      <c r="A952" s="108"/>
      <c r="B952" s="109"/>
    </row>
    <row r="953" spans="1:2" ht="21">
      <c r="A953" s="108"/>
      <c r="B953" s="109"/>
    </row>
    <row r="954" spans="1:2" ht="21">
      <c r="A954" s="108"/>
      <c r="B954" s="109"/>
    </row>
    <row r="955" spans="1:2" ht="21">
      <c r="A955" s="108"/>
      <c r="B955" s="109"/>
    </row>
    <row r="956" spans="1:2" ht="21">
      <c r="A956" s="108"/>
      <c r="B956" s="109"/>
    </row>
    <row r="957" spans="1:2" ht="21">
      <c r="A957" s="108"/>
      <c r="B957" s="109"/>
    </row>
    <row r="958" spans="1:2" ht="21">
      <c r="A958" s="108"/>
      <c r="B958" s="109"/>
    </row>
    <row r="959" spans="1:2" ht="21">
      <c r="A959" s="108"/>
      <c r="B959" s="109"/>
    </row>
    <row r="960" spans="1:2" ht="21">
      <c r="A960" s="108"/>
      <c r="B960" s="109"/>
    </row>
    <row r="961" spans="1:2" ht="21">
      <c r="A961" s="108"/>
      <c r="B961" s="109"/>
    </row>
    <row r="962" spans="1:2" ht="21">
      <c r="A962" s="108"/>
      <c r="B962" s="109"/>
    </row>
    <row r="963" spans="1:2" ht="21">
      <c r="A963" s="108"/>
      <c r="B963" s="109"/>
    </row>
    <row r="964" spans="1:2" ht="21">
      <c r="A964" s="108"/>
      <c r="B964" s="109"/>
    </row>
    <row r="965" spans="1:2" ht="21">
      <c r="A965" s="108"/>
      <c r="B965" s="109"/>
    </row>
    <row r="966" spans="1:2" ht="21">
      <c r="A966" s="108"/>
      <c r="B966" s="109"/>
    </row>
    <row r="967" spans="1:2" ht="21">
      <c r="A967" s="108"/>
      <c r="B967" s="109"/>
    </row>
    <row r="968" spans="1:2" ht="21">
      <c r="A968" s="108"/>
      <c r="B968" s="109"/>
    </row>
    <row r="969" spans="1:2" ht="21">
      <c r="A969" s="108"/>
      <c r="B969" s="109"/>
    </row>
    <row r="970" spans="1:2" ht="21">
      <c r="A970" s="108"/>
      <c r="B970" s="109"/>
    </row>
    <row r="971" spans="1:2" ht="21">
      <c r="A971" s="108"/>
      <c r="B971" s="109"/>
    </row>
    <row r="972" spans="1:2" ht="21">
      <c r="A972" s="108"/>
      <c r="B972" s="109"/>
    </row>
    <row r="973" spans="1:2" ht="21">
      <c r="A973" s="108"/>
      <c r="B973" s="109"/>
    </row>
    <row r="974" spans="1:2" ht="21">
      <c r="A974" s="108"/>
      <c r="B974" s="109"/>
    </row>
    <row r="975" spans="1:2" ht="21">
      <c r="A975" s="108"/>
      <c r="B975" s="109"/>
    </row>
    <row r="976" spans="1:2" ht="21">
      <c r="A976" s="108"/>
      <c r="B976" s="109"/>
    </row>
    <row r="977" spans="1:2" ht="21">
      <c r="A977" s="108"/>
      <c r="B977" s="109"/>
    </row>
    <row r="978" spans="1:2" ht="21">
      <c r="A978" s="108"/>
      <c r="B978" s="109"/>
    </row>
    <row r="979" spans="1:2" ht="21">
      <c r="A979" s="108"/>
      <c r="B979" s="109"/>
    </row>
    <row r="980" spans="1:2" ht="21">
      <c r="A980" s="108"/>
      <c r="B980" s="109"/>
    </row>
    <row r="981" spans="1:2" ht="21">
      <c r="A981" s="108"/>
      <c r="B981" s="109"/>
    </row>
    <row r="982" spans="1:2" ht="21">
      <c r="A982" s="108"/>
      <c r="B982" s="109"/>
    </row>
    <row r="983" spans="1:2" ht="21">
      <c r="A983" s="108"/>
      <c r="B983" s="109"/>
    </row>
    <row r="984" spans="1:2" ht="21">
      <c r="A984" s="108"/>
      <c r="B984" s="109"/>
    </row>
    <row r="985" spans="1:2" ht="21">
      <c r="A985" s="108"/>
      <c r="B985" s="109"/>
    </row>
    <row r="986" spans="1:2" ht="21">
      <c r="A986" s="108"/>
      <c r="B986" s="109"/>
    </row>
    <row r="987" spans="1:2" ht="21">
      <c r="A987" s="108"/>
      <c r="B987" s="109"/>
    </row>
    <row r="988" spans="1:2" ht="21">
      <c r="A988" s="108"/>
      <c r="B988" s="109"/>
    </row>
    <row r="989" spans="1:2" ht="21">
      <c r="A989" s="108"/>
      <c r="B989" s="109"/>
    </row>
    <row r="990" spans="1:2" ht="21">
      <c r="A990" s="108"/>
      <c r="B990" s="109"/>
    </row>
    <row r="991" spans="1:2" ht="21">
      <c r="A991" s="108"/>
      <c r="B991" s="109"/>
    </row>
    <row r="992" spans="1:2" ht="21">
      <c r="A992" s="108"/>
      <c r="B992" s="109"/>
    </row>
    <row r="993" spans="1:2" ht="21">
      <c r="A993" s="108"/>
      <c r="B993" s="109"/>
    </row>
    <row r="994" spans="1:2" ht="21">
      <c r="A994" s="108"/>
      <c r="B994" s="109"/>
    </row>
    <row r="995" spans="1:2" ht="21">
      <c r="A995" s="108"/>
      <c r="B995" s="109"/>
    </row>
    <row r="996" spans="1:2" ht="21">
      <c r="A996" s="108"/>
      <c r="B996" s="109"/>
    </row>
    <row r="997" spans="1:2" ht="21">
      <c r="A997" s="108"/>
      <c r="B997" s="109"/>
    </row>
    <row r="998" spans="1:2" ht="21">
      <c r="A998" s="108"/>
      <c r="B998" s="109"/>
    </row>
    <row r="999" spans="1:2" ht="21">
      <c r="A999" s="108"/>
      <c r="B999" s="109"/>
    </row>
    <row r="1000" spans="1:2" ht="21">
      <c r="A1000" s="108"/>
      <c r="B1000" s="109"/>
    </row>
    <row r="1001" spans="1:2" ht="21">
      <c r="A1001" s="108"/>
      <c r="B1001" s="109"/>
    </row>
    <row r="1002" spans="1:2" ht="21">
      <c r="A1002" s="108"/>
      <c r="B1002" s="109"/>
    </row>
    <row r="1003" spans="1:2" ht="21">
      <c r="A1003" s="108"/>
      <c r="B1003" s="109"/>
    </row>
    <row r="1004" spans="1:2" ht="21">
      <c r="A1004" s="108"/>
      <c r="B1004" s="109"/>
    </row>
    <row r="1005" spans="1:2" ht="21">
      <c r="A1005" s="108"/>
      <c r="B1005" s="109"/>
    </row>
    <row r="1006" spans="1:2" ht="21">
      <c r="A1006" s="108"/>
      <c r="B1006" s="109"/>
    </row>
    <row r="1007" spans="1:2" ht="21">
      <c r="A1007" s="108"/>
      <c r="B1007" s="109"/>
    </row>
    <row r="1008" spans="1:2" ht="21">
      <c r="A1008" s="108"/>
      <c r="B1008" s="109"/>
    </row>
    <row r="1009" spans="1:2" ht="21">
      <c r="A1009" s="108"/>
      <c r="B1009" s="109"/>
    </row>
    <row r="1010" spans="1:2" ht="21">
      <c r="A1010" s="108"/>
      <c r="B1010" s="109"/>
    </row>
    <row r="1011" spans="1:2" ht="21">
      <c r="A1011" s="108"/>
      <c r="B1011" s="109"/>
    </row>
    <row r="1012" spans="1:2" ht="21">
      <c r="A1012" s="108"/>
      <c r="B1012" s="109"/>
    </row>
    <row r="1013" spans="1:2" ht="21">
      <c r="A1013" s="108"/>
      <c r="B1013" s="109"/>
    </row>
    <row r="1014" spans="1:2" ht="21">
      <c r="A1014" s="108"/>
      <c r="B1014" s="109"/>
    </row>
    <row r="1015" spans="1:2" ht="21">
      <c r="A1015" s="108"/>
      <c r="B1015" s="109"/>
    </row>
    <row r="1016" spans="1:2" ht="21">
      <c r="A1016" s="108"/>
      <c r="B1016" s="109"/>
    </row>
    <row r="1017" spans="1:2" ht="21">
      <c r="A1017" s="108"/>
      <c r="B1017" s="109"/>
    </row>
    <row r="1018" spans="1:2" ht="21">
      <c r="A1018" s="108"/>
      <c r="B1018" s="109"/>
    </row>
    <row r="1019" spans="1:2" ht="21">
      <c r="A1019" s="108"/>
      <c r="B1019" s="109"/>
    </row>
    <row r="1020" spans="1:2" ht="21">
      <c r="A1020" s="108"/>
      <c r="B1020" s="109"/>
    </row>
    <row r="1021" spans="1:2" ht="21">
      <c r="A1021" s="108"/>
      <c r="B1021" s="109"/>
    </row>
    <row r="1022" spans="1:2" ht="21">
      <c r="A1022" s="108"/>
      <c r="B1022" s="109"/>
    </row>
    <row r="1023" spans="1:2" ht="21">
      <c r="A1023" s="108"/>
      <c r="B1023" s="109"/>
    </row>
    <row r="1024" spans="1:2" ht="21">
      <c r="A1024" s="108"/>
      <c r="B1024" s="109"/>
    </row>
    <row r="1025" spans="1:2" ht="21">
      <c r="A1025" s="108"/>
      <c r="B1025" s="109"/>
    </row>
    <row r="1026" spans="1:2" ht="21">
      <c r="A1026" s="108"/>
      <c r="B1026" s="109"/>
    </row>
    <row r="1027" spans="1:2" ht="21">
      <c r="A1027" s="108"/>
      <c r="B1027" s="109"/>
    </row>
    <row r="1028" spans="1:2" ht="21">
      <c r="A1028" s="108"/>
      <c r="B1028" s="109"/>
    </row>
    <row r="1029" spans="1:2" ht="21">
      <c r="A1029" s="108"/>
      <c r="B1029" s="109"/>
    </row>
    <row r="1030" spans="1:2" ht="21">
      <c r="A1030" s="108"/>
      <c r="B1030" s="109"/>
    </row>
    <row r="1031" spans="1:2" ht="21">
      <c r="A1031" s="108"/>
      <c r="B1031" s="109"/>
    </row>
    <row r="1032" spans="1:2" ht="21">
      <c r="A1032" s="108"/>
      <c r="B1032" s="109"/>
    </row>
    <row r="1033" spans="1:2" ht="21">
      <c r="A1033" s="108"/>
      <c r="B1033" s="109"/>
    </row>
    <row r="1034" spans="1:2" ht="21">
      <c r="A1034" s="108"/>
      <c r="B1034" s="109"/>
    </row>
    <row r="1035" spans="1:2" ht="21">
      <c r="A1035" s="108"/>
      <c r="B1035" s="109"/>
    </row>
    <row r="1036" spans="1:2" ht="21">
      <c r="A1036" s="108"/>
      <c r="B1036" s="109"/>
    </row>
    <row r="1037" spans="1:2" ht="21">
      <c r="A1037" s="108"/>
      <c r="B1037" s="109"/>
    </row>
    <row r="1038" spans="1:2" ht="21">
      <c r="A1038" s="108"/>
      <c r="B1038" s="109"/>
    </row>
    <row r="1039" spans="1:2" ht="21">
      <c r="A1039" s="108"/>
      <c r="B1039" s="109"/>
    </row>
    <row r="1040" spans="1:2" ht="21">
      <c r="A1040" s="108"/>
      <c r="B1040" s="109"/>
    </row>
    <row r="1041" spans="1:2" ht="21">
      <c r="A1041" s="108"/>
      <c r="B1041" s="109"/>
    </row>
    <row r="1042" spans="1:2" ht="21">
      <c r="A1042" s="108"/>
      <c r="B1042" s="109"/>
    </row>
    <row r="1043" spans="1:2" ht="21">
      <c r="A1043" s="108"/>
      <c r="B1043" s="109"/>
    </row>
    <row r="1044" spans="1:2" ht="21">
      <c r="A1044" s="108"/>
      <c r="B1044" s="109"/>
    </row>
    <row r="1045" spans="1:2" ht="21">
      <c r="A1045" s="108"/>
      <c r="B1045" s="109"/>
    </row>
    <row r="1046" spans="1:2" ht="21">
      <c r="A1046" s="108"/>
      <c r="B1046" s="109"/>
    </row>
    <row r="1047" spans="1:2" ht="21">
      <c r="A1047" s="108"/>
      <c r="B1047" s="109"/>
    </row>
    <row r="1048" spans="1:2" ht="21">
      <c r="A1048" s="108"/>
      <c r="B1048" s="109"/>
    </row>
    <row r="1049" spans="1:2" ht="21">
      <c r="A1049" s="108"/>
      <c r="B1049" s="109"/>
    </row>
    <row r="1050" spans="1:2" ht="21">
      <c r="A1050" s="108"/>
      <c r="B1050" s="109"/>
    </row>
    <row r="1051" spans="1:2" ht="21">
      <c r="A1051" s="108"/>
      <c r="B1051" s="109"/>
    </row>
    <row r="1052" spans="1:2" ht="21">
      <c r="A1052" s="108"/>
      <c r="B1052" s="109"/>
    </row>
    <row r="1053" spans="1:2" ht="21">
      <c r="A1053" s="108"/>
      <c r="B1053" s="109"/>
    </row>
    <row r="1054" spans="1:2" ht="21">
      <c r="A1054" s="108"/>
      <c r="B1054" s="109"/>
    </row>
    <row r="1055" spans="1:2" ht="21">
      <c r="A1055" s="108"/>
      <c r="B1055" s="109"/>
    </row>
    <row r="1056" spans="1:2" ht="21">
      <c r="A1056" s="108"/>
      <c r="B1056" s="109"/>
    </row>
    <row r="1057" spans="1:2" ht="21">
      <c r="A1057" s="108"/>
      <c r="B1057" s="109"/>
    </row>
    <row r="1058" spans="1:2" ht="21">
      <c r="A1058" s="108"/>
      <c r="B1058" s="109"/>
    </row>
    <row r="1059" spans="1:2" ht="21">
      <c r="A1059" s="108"/>
      <c r="B1059" s="109"/>
    </row>
    <row r="1060" spans="1:2" ht="21">
      <c r="A1060" s="108"/>
      <c r="B1060" s="109"/>
    </row>
    <row r="1061" spans="1:2" ht="21">
      <c r="A1061" s="108"/>
      <c r="B1061" s="109"/>
    </row>
    <row r="1062" spans="1:2" ht="21">
      <c r="A1062" s="108"/>
      <c r="B1062" s="109"/>
    </row>
    <row r="1063" spans="1:2" ht="21">
      <c r="A1063" s="108"/>
      <c r="B1063" s="109"/>
    </row>
    <row r="1064" spans="1:2" ht="21">
      <c r="A1064" s="108"/>
      <c r="B1064" s="109"/>
    </row>
    <row r="1065" spans="1:2" ht="21">
      <c r="A1065" s="108"/>
      <c r="B1065" s="109"/>
    </row>
    <row r="1066" spans="1:2" ht="21">
      <c r="A1066" s="108"/>
      <c r="B1066" s="109"/>
    </row>
    <row r="1067" spans="1:2" ht="21">
      <c r="A1067" s="108"/>
      <c r="B1067" s="109"/>
    </row>
    <row r="1068" spans="1:2" ht="21">
      <c r="A1068" s="108"/>
      <c r="B1068" s="109"/>
    </row>
    <row r="1069" spans="1:2" ht="21">
      <c r="A1069" s="108"/>
      <c r="B1069" s="109"/>
    </row>
    <row r="1070" spans="1:2" ht="21">
      <c r="A1070" s="108"/>
      <c r="B1070" s="109"/>
    </row>
    <row r="1071" spans="1:2" ht="21">
      <c r="A1071" s="108"/>
      <c r="B1071" s="109"/>
    </row>
    <row r="1072" spans="1:2" ht="21">
      <c r="A1072" s="108"/>
      <c r="B1072" s="109"/>
    </row>
    <row r="1073" spans="1:2" ht="21">
      <c r="A1073" s="108"/>
      <c r="B1073" s="109"/>
    </row>
    <row r="1074" spans="1:2" ht="21">
      <c r="A1074" s="108"/>
      <c r="B1074" s="109"/>
    </row>
    <row r="1075" spans="1:2" ht="21">
      <c r="A1075" s="108"/>
      <c r="B1075" s="109"/>
    </row>
    <row r="1076" spans="1:2" ht="21">
      <c r="A1076" s="108"/>
      <c r="B1076" s="109"/>
    </row>
    <row r="1077" spans="1:2" ht="21">
      <c r="A1077" s="108"/>
      <c r="B1077" s="109"/>
    </row>
    <row r="1078" spans="1:2" ht="21">
      <c r="A1078" s="108"/>
      <c r="B1078" s="109"/>
    </row>
    <row r="1079" spans="1:2" ht="21">
      <c r="A1079" s="108"/>
      <c r="B1079" s="109"/>
    </row>
    <row r="1080" spans="1:2" ht="21">
      <c r="A1080" s="108"/>
      <c r="B1080" s="109"/>
    </row>
    <row r="1081" spans="1:2" ht="21">
      <c r="A1081" s="108"/>
      <c r="B1081" s="109"/>
    </row>
    <row r="1082" spans="1:2" ht="21">
      <c r="A1082" s="108"/>
      <c r="B1082" s="109"/>
    </row>
    <row r="1083" spans="1:2" ht="21">
      <c r="A1083" s="108"/>
      <c r="B1083" s="109"/>
    </row>
    <row r="1084" spans="1:2" ht="21">
      <c r="A1084" s="108"/>
      <c r="B1084" s="109"/>
    </row>
    <row r="1085" spans="1:2" ht="21">
      <c r="A1085" s="108"/>
      <c r="B1085" s="109"/>
    </row>
    <row r="1086" spans="1:2" ht="21">
      <c r="A1086" s="108"/>
      <c r="B1086" s="109"/>
    </row>
    <row r="1087" spans="1:2" ht="21">
      <c r="A1087" s="108"/>
      <c r="B1087" s="109"/>
    </row>
    <row r="1088" spans="1:2" ht="21">
      <c r="A1088" s="108"/>
      <c r="B1088" s="109"/>
    </row>
    <row r="1089" spans="1:2" ht="21">
      <c r="A1089" s="108"/>
      <c r="B1089" s="109"/>
    </row>
    <row r="1090" spans="1:2" ht="21">
      <c r="A1090" s="108"/>
      <c r="B1090" s="109"/>
    </row>
    <row r="1091" spans="1:2" ht="21">
      <c r="A1091" s="108"/>
      <c r="B1091" s="109"/>
    </row>
    <row r="1092" spans="1:2" ht="21">
      <c r="A1092" s="108"/>
      <c r="B1092" s="109"/>
    </row>
    <row r="1093" spans="1:2" ht="21">
      <c r="A1093" s="108"/>
      <c r="B1093" s="109"/>
    </row>
    <row r="1094" spans="1:2" ht="21">
      <c r="A1094" s="108"/>
      <c r="B1094" s="109"/>
    </row>
    <row r="1095" spans="1:2" ht="21">
      <c r="A1095" s="108"/>
      <c r="B1095" s="109"/>
    </row>
    <row r="1096" spans="1:2" ht="21">
      <c r="A1096" s="108"/>
      <c r="B1096" s="109"/>
    </row>
    <row r="1097" spans="1:2" ht="21">
      <c r="A1097" s="108"/>
      <c r="B1097" s="109"/>
    </row>
    <row r="1098" spans="1:2" ht="21">
      <c r="A1098" s="108"/>
      <c r="B1098" s="109"/>
    </row>
    <row r="1099" spans="1:2" ht="21">
      <c r="A1099" s="108"/>
      <c r="B1099" s="109"/>
    </row>
    <row r="1100" spans="1:2" ht="21">
      <c r="A1100" s="108"/>
      <c r="B1100" s="109"/>
    </row>
    <row r="1101" spans="1:2" ht="21">
      <c r="A1101" s="108"/>
      <c r="B1101" s="109"/>
    </row>
    <row r="1102" spans="1:2" ht="21">
      <c r="A1102" s="108"/>
      <c r="B1102" s="109"/>
    </row>
    <row r="1103" spans="1:2" ht="21">
      <c r="A1103" s="108"/>
      <c r="B1103" s="109"/>
    </row>
    <row r="1104" spans="1:2" ht="21">
      <c r="A1104" s="108"/>
      <c r="B1104" s="109"/>
    </row>
    <row r="1105" spans="1:2" ht="21">
      <c r="A1105" s="108"/>
      <c r="B1105" s="109"/>
    </row>
    <row r="1106" spans="1:2" ht="21">
      <c r="A1106" s="108"/>
      <c r="B1106" s="109"/>
    </row>
    <row r="1107" spans="1:2" ht="21">
      <c r="A1107" s="108"/>
      <c r="B1107" s="109"/>
    </row>
    <row r="1108" spans="1:2" ht="21">
      <c r="A1108" s="108"/>
      <c r="B1108" s="109"/>
    </row>
    <row r="1109" spans="1:2" ht="21">
      <c r="A1109" s="108"/>
      <c r="B1109" s="109"/>
    </row>
    <row r="1110" spans="1:2" ht="21">
      <c r="A1110" s="108"/>
      <c r="B1110" s="109"/>
    </row>
    <row r="1111" spans="1:2" ht="21">
      <c r="A1111" s="108"/>
      <c r="B1111" s="109"/>
    </row>
    <row r="1112" spans="1:2" ht="21">
      <c r="A1112" s="108"/>
      <c r="B1112" s="109"/>
    </row>
    <row r="1113" spans="1:2" ht="21">
      <c r="A1113" s="108"/>
      <c r="B1113" s="109"/>
    </row>
    <row r="1114" spans="1:2" ht="21">
      <c r="A1114" s="108"/>
      <c r="B1114" s="109"/>
    </row>
    <row r="1115" spans="1:2" ht="21">
      <c r="A1115" s="108"/>
      <c r="B1115" s="109"/>
    </row>
    <row r="1116" spans="1:2" ht="21">
      <c r="A1116" s="108"/>
      <c r="B1116" s="109"/>
    </row>
    <row r="1117" spans="1:2" ht="21">
      <c r="A1117" s="108"/>
      <c r="B1117" s="109"/>
    </row>
    <row r="1118" spans="1:2" ht="21">
      <c r="A1118" s="108"/>
      <c r="B1118" s="109"/>
    </row>
    <row r="1119" spans="1:2" ht="21">
      <c r="A1119" s="108"/>
      <c r="B1119" s="109"/>
    </row>
    <row r="1120" spans="1:2" ht="21">
      <c r="A1120" s="108"/>
      <c r="B1120" s="109"/>
    </row>
    <row r="1121" spans="1:2" ht="21">
      <c r="A1121" s="108"/>
      <c r="B1121" s="109"/>
    </row>
    <row r="1122" spans="1:2" ht="21">
      <c r="A1122" s="108"/>
      <c r="B1122" s="109"/>
    </row>
    <row r="1123" spans="1:2" ht="21">
      <c r="A1123" s="108"/>
      <c r="B1123" s="109"/>
    </row>
    <row r="1124" spans="1:2" ht="21">
      <c r="A1124" s="108"/>
      <c r="B1124" s="109"/>
    </row>
    <row r="1125" spans="1:2" ht="21">
      <c r="A1125" s="108"/>
      <c r="B1125" s="109"/>
    </row>
    <row r="1126" spans="1:2" ht="21">
      <c r="A1126" s="108"/>
      <c r="B1126" s="109"/>
    </row>
    <row r="1127" spans="1:2" ht="21">
      <c r="A1127" s="108"/>
      <c r="B1127" s="109"/>
    </row>
    <row r="1128" spans="1:2" ht="21">
      <c r="A1128" s="108"/>
      <c r="B1128" s="109"/>
    </row>
    <row r="1129" spans="1:2" ht="21">
      <c r="A1129" s="108"/>
      <c r="B1129" s="109"/>
    </row>
    <row r="1130" spans="1:2" ht="21">
      <c r="A1130" s="108"/>
      <c r="B1130" s="109"/>
    </row>
    <row r="1131" spans="1:2" ht="21">
      <c r="A1131" s="108"/>
      <c r="B1131" s="109"/>
    </row>
    <row r="1132" spans="1:2" ht="21">
      <c r="A1132" s="108"/>
      <c r="B1132" s="109"/>
    </row>
    <row r="1133" spans="1:2" ht="21">
      <c r="A1133" s="108"/>
      <c r="B1133" s="109"/>
    </row>
    <row r="1134" spans="1:2" ht="21">
      <c r="A1134" s="108"/>
      <c r="B1134" s="109"/>
    </row>
    <row r="1135" spans="1:2" ht="21">
      <c r="A1135" s="108"/>
      <c r="B1135" s="109"/>
    </row>
    <row r="1136" spans="1:2" ht="21">
      <c r="A1136" s="108"/>
      <c r="B1136" s="109"/>
    </row>
    <row r="1137" spans="1:2" ht="21">
      <c r="A1137" s="108"/>
      <c r="B1137" s="109"/>
    </row>
    <row r="1138" spans="1:2" ht="21">
      <c r="A1138" s="108"/>
      <c r="B1138" s="109"/>
    </row>
    <row r="1139" spans="1:2" ht="21">
      <c r="A1139" s="108"/>
      <c r="B1139" s="109"/>
    </row>
    <row r="1140" spans="1:2" ht="21">
      <c r="A1140" s="108"/>
      <c r="B1140" s="109"/>
    </row>
    <row r="1141" spans="1:2" ht="21">
      <c r="A1141" s="108"/>
      <c r="B1141" s="109"/>
    </row>
    <row r="1142" spans="1:2" ht="21">
      <c r="A1142" s="108"/>
      <c r="B1142" s="109"/>
    </row>
    <row r="1143" spans="1:2" ht="21">
      <c r="A1143" s="108"/>
      <c r="B1143" s="109"/>
    </row>
    <row r="1144" spans="1:2" ht="21">
      <c r="A1144" s="108"/>
      <c r="B1144" s="109"/>
    </row>
    <row r="1145" spans="1:2" ht="21">
      <c r="A1145" s="108"/>
      <c r="B1145" s="109"/>
    </row>
    <row r="1146" spans="1:2" ht="21">
      <c r="A1146" s="108"/>
      <c r="B1146" s="109"/>
    </row>
    <row r="1147" spans="1:2" ht="21">
      <c r="A1147" s="108"/>
      <c r="B1147" s="109"/>
    </row>
    <row r="1148" spans="1:2" ht="21">
      <c r="A1148" s="108"/>
      <c r="B1148" s="109"/>
    </row>
    <row r="1149" spans="1:2" ht="21">
      <c r="A1149" s="108"/>
      <c r="B1149" s="109"/>
    </row>
    <row r="1150" spans="1:2" ht="21">
      <c r="A1150" s="108"/>
      <c r="B1150" s="109"/>
    </row>
    <row r="1151" spans="1:2" ht="21">
      <c r="A1151" s="108"/>
      <c r="B1151" s="109"/>
    </row>
    <row r="1152" spans="1:2" ht="21">
      <c r="A1152" s="108"/>
      <c r="B1152" s="109"/>
    </row>
    <row r="1153" spans="1:2" ht="21">
      <c r="A1153" s="108" t="s">
        <v>414</v>
      </c>
      <c r="B1153" s="109" t="s">
        <v>415</v>
      </c>
    </row>
    <row r="1154" spans="1:2" ht="21">
      <c r="A1154" s="108"/>
      <c r="B1154" s="109"/>
    </row>
    <row r="1155" spans="1:2" ht="21">
      <c r="A1155" s="108"/>
      <c r="B1155" s="109"/>
    </row>
    <row r="1156" spans="1:2" ht="21">
      <c r="A1156" s="108"/>
      <c r="B1156" s="109"/>
    </row>
    <row r="1157" spans="1:2" ht="21">
      <c r="A1157" s="108"/>
      <c r="B1157" s="109"/>
    </row>
    <row r="1158" spans="1:2" ht="21">
      <c r="A1158" s="108"/>
      <c r="B1158" s="109"/>
    </row>
    <row r="1159" spans="1:2" ht="21">
      <c r="A1159" s="108"/>
      <c r="B1159" s="109"/>
    </row>
    <row r="1160" spans="1:2" ht="21">
      <c r="A1160" s="108"/>
      <c r="B1160" s="109"/>
    </row>
    <row r="1161" spans="1:2" ht="21">
      <c r="A1161" s="108"/>
      <c r="B1161" s="109"/>
    </row>
    <row r="1162" spans="1:2" ht="21">
      <c r="A1162" s="108"/>
      <c r="B1162" s="109"/>
    </row>
    <row r="1163" spans="1:2" ht="21">
      <c r="A1163" s="108"/>
      <c r="B1163" s="109"/>
    </row>
    <row r="1164" spans="1:2" ht="21">
      <c r="A1164" s="108"/>
      <c r="B1164" s="109"/>
    </row>
    <row r="1165" spans="1:2" ht="21">
      <c r="A1165" s="108"/>
      <c r="B1165" s="109"/>
    </row>
    <row r="1166" spans="1:2" ht="21">
      <c r="A1166" s="108"/>
      <c r="B1166" s="109"/>
    </row>
    <row r="1167" spans="1:2" ht="21">
      <c r="A1167" s="108"/>
      <c r="B1167" s="109"/>
    </row>
    <row r="1168" spans="1:2" ht="21">
      <c r="A1168" s="108"/>
      <c r="B1168" s="109"/>
    </row>
    <row r="1169" spans="1:2" ht="21">
      <c r="A1169" s="108"/>
      <c r="B1169" s="109"/>
    </row>
    <row r="1170" spans="1:2" ht="21">
      <c r="A1170" s="108"/>
      <c r="B1170" s="109"/>
    </row>
    <row r="1171" spans="1:2" ht="21">
      <c r="A1171" s="108"/>
      <c r="B1171" s="109"/>
    </row>
    <row r="1172" spans="1:2" ht="21">
      <c r="A1172" s="108"/>
      <c r="B1172" s="109"/>
    </row>
    <row r="1173" spans="1:2" ht="21">
      <c r="A1173" s="108"/>
      <c r="B1173" s="109"/>
    </row>
    <row r="1174" spans="1:2" ht="21">
      <c r="A1174" s="108"/>
      <c r="B1174" s="109"/>
    </row>
    <row r="1175" spans="1:2" ht="21">
      <c r="A1175" s="108"/>
      <c r="B1175" s="109"/>
    </row>
    <row r="1176" spans="1:2" ht="21">
      <c r="A1176" s="108"/>
      <c r="B1176" s="109"/>
    </row>
    <row r="1177" spans="1:2" ht="21">
      <c r="A1177" s="108"/>
      <c r="B1177" s="109"/>
    </row>
    <row r="1178" spans="1:2" ht="21">
      <c r="A1178" s="108"/>
      <c r="B1178" s="109"/>
    </row>
    <row r="1179" spans="1:2" ht="21">
      <c r="A1179" s="108"/>
      <c r="B1179" s="109"/>
    </row>
    <row r="1180" spans="1:2" ht="21">
      <c r="A1180" s="108"/>
      <c r="B1180" s="109"/>
    </row>
    <row r="1181" spans="1:2" ht="21">
      <c r="A1181" s="108"/>
      <c r="B1181" s="109"/>
    </row>
    <row r="1182" spans="1:2" ht="21">
      <c r="A1182" s="108"/>
      <c r="B1182" s="109"/>
    </row>
    <row r="1183" spans="1:2" ht="21">
      <c r="A1183" s="108"/>
      <c r="B1183" s="109"/>
    </row>
    <row r="1184" spans="1:2" ht="21">
      <c r="A1184" s="108"/>
      <c r="B1184" s="109"/>
    </row>
    <row r="1185" spans="1:2" ht="21">
      <c r="A1185" s="108"/>
      <c r="B1185" s="109"/>
    </row>
    <row r="1186" spans="1:2" ht="21">
      <c r="A1186" s="108"/>
      <c r="B1186" s="109"/>
    </row>
    <row r="1187" spans="1:2" ht="21">
      <c r="A1187" s="108"/>
      <c r="B1187" s="109"/>
    </row>
    <row r="1188" spans="1:2" ht="21">
      <c r="A1188" s="108"/>
      <c r="B1188" s="109"/>
    </row>
    <row r="1189" spans="1:2" ht="21">
      <c r="A1189" s="108"/>
      <c r="B1189" s="109"/>
    </row>
    <row r="1190" spans="1:2" ht="21">
      <c r="A1190" s="108"/>
      <c r="B1190" s="109"/>
    </row>
    <row r="1191" spans="1:2" ht="21">
      <c r="A1191" s="108"/>
      <c r="B1191" s="109"/>
    </row>
    <row r="1192" spans="1:2" ht="21">
      <c r="A1192" s="108"/>
      <c r="B1192" s="109"/>
    </row>
    <row r="1193" spans="1:2" ht="21">
      <c r="A1193" s="108"/>
      <c r="B1193" s="109"/>
    </row>
    <row r="1194" spans="1:2" ht="21">
      <c r="A1194" s="108"/>
      <c r="B1194" s="109"/>
    </row>
    <row r="1195" spans="1:2" ht="21">
      <c r="A1195" s="108"/>
      <c r="B1195" s="109"/>
    </row>
    <row r="1196" spans="1:2" ht="21">
      <c r="A1196" s="108"/>
      <c r="B1196" s="109"/>
    </row>
    <row r="1197" spans="1:2" ht="21">
      <c r="A1197" s="108"/>
      <c r="B1197" s="109"/>
    </row>
    <row r="1198" spans="1:2" ht="21">
      <c r="A1198" s="108"/>
      <c r="B1198" s="109"/>
    </row>
    <row r="1199" spans="1:2" ht="21">
      <c r="A1199" s="108"/>
      <c r="B1199" s="109"/>
    </row>
    <row r="1200" spans="1:2" ht="21">
      <c r="A1200" s="108"/>
      <c r="B1200" s="109"/>
    </row>
    <row r="1201" spans="1:2" ht="21">
      <c r="A1201" s="108"/>
      <c r="B1201" s="109"/>
    </row>
    <row r="1202" spans="1:2" ht="21">
      <c r="A1202" s="108"/>
      <c r="B1202" s="109"/>
    </row>
    <row r="1203" spans="1:2" ht="21">
      <c r="A1203" s="108"/>
      <c r="B1203" s="109"/>
    </row>
    <row r="1204" spans="1:2" ht="21">
      <c r="A1204" s="108"/>
      <c r="B1204" s="109"/>
    </row>
    <row r="1205" spans="1:2" ht="21">
      <c r="A1205" s="108"/>
      <c r="B1205" s="109"/>
    </row>
    <row r="1206" spans="1:2" ht="21">
      <c r="A1206" s="108"/>
      <c r="B1206" s="109"/>
    </row>
    <row r="1207" spans="1:2" ht="21">
      <c r="A1207" s="108"/>
      <c r="B1207" s="109"/>
    </row>
    <row r="1208" spans="1:2" ht="21">
      <c r="A1208" s="108"/>
      <c r="B1208" s="109"/>
    </row>
    <row r="1209" spans="1:2" ht="21">
      <c r="A1209" s="108"/>
      <c r="B1209" s="109"/>
    </row>
    <row r="1210" spans="1:2" ht="21">
      <c r="A1210" s="108"/>
      <c r="B1210" s="109"/>
    </row>
    <row r="1211" spans="1:2" ht="21">
      <c r="A1211" s="108"/>
      <c r="B1211" s="109"/>
    </row>
    <row r="1212" spans="1:2" ht="21">
      <c r="A1212" s="108"/>
      <c r="B1212" s="109"/>
    </row>
    <row r="1213" spans="1:2" ht="21">
      <c r="A1213" s="108"/>
      <c r="B1213" s="109"/>
    </row>
    <row r="1214" spans="1:2" ht="21">
      <c r="A1214" s="108"/>
      <c r="B1214" s="109"/>
    </row>
    <row r="1215" spans="1:2" ht="21">
      <c r="A1215" s="108"/>
      <c r="B1215" s="109"/>
    </row>
    <row r="1216" spans="1:2" ht="21">
      <c r="A1216" s="108"/>
      <c r="B1216" s="109"/>
    </row>
    <row r="1217" spans="1:2" ht="21">
      <c r="A1217" s="108"/>
      <c r="B1217" s="109"/>
    </row>
    <row r="1218" spans="1:2" ht="21">
      <c r="A1218" s="108"/>
      <c r="B1218" s="109"/>
    </row>
    <row r="1219" spans="1:2" ht="21">
      <c r="A1219" s="108"/>
      <c r="B1219" s="109"/>
    </row>
    <row r="1220" spans="1:2" ht="21">
      <c r="A1220" s="108"/>
      <c r="B1220" s="109"/>
    </row>
    <row r="1221" spans="1:2" ht="21">
      <c r="A1221" s="108"/>
      <c r="B1221" s="109"/>
    </row>
    <row r="1222" spans="1:2" ht="21">
      <c r="A1222" s="108"/>
      <c r="B1222" s="109"/>
    </row>
    <row r="1223" spans="1:2" ht="21">
      <c r="A1223" s="108"/>
      <c r="B1223" s="109"/>
    </row>
    <row r="1224" spans="1:2" ht="21">
      <c r="A1224" s="108"/>
      <c r="B1224" s="109"/>
    </row>
    <row r="1225" spans="1:2" ht="21">
      <c r="A1225" s="108"/>
      <c r="B1225" s="109"/>
    </row>
    <row r="1226" spans="1:2" ht="21">
      <c r="A1226" s="108"/>
      <c r="B1226" s="109"/>
    </row>
    <row r="1227" spans="1:2" ht="21">
      <c r="A1227" s="108"/>
      <c r="B1227" s="109"/>
    </row>
    <row r="1228" spans="1:2" ht="21">
      <c r="A1228" s="108"/>
      <c r="B1228" s="109"/>
    </row>
    <row r="1229" spans="1:2" ht="21">
      <c r="A1229" s="108"/>
      <c r="B1229" s="109"/>
    </row>
    <row r="1230" spans="1:2" ht="21">
      <c r="A1230" s="108"/>
      <c r="B1230" s="109"/>
    </row>
    <row r="1231" spans="1:2" ht="21">
      <c r="A1231" s="108"/>
      <c r="B1231" s="109"/>
    </row>
    <row r="1232" spans="1:2" ht="21">
      <c r="A1232" s="108"/>
      <c r="B1232" s="109"/>
    </row>
    <row r="1233" spans="1:2" ht="21">
      <c r="A1233" s="108"/>
      <c r="B1233" s="109"/>
    </row>
    <row r="1234" spans="1:2" ht="21">
      <c r="A1234" s="108"/>
      <c r="B1234" s="109"/>
    </row>
    <row r="1235" spans="1:2" ht="21">
      <c r="A1235" s="108"/>
      <c r="B1235" s="109"/>
    </row>
    <row r="1236" spans="1:2" ht="21">
      <c r="A1236" s="108"/>
      <c r="B1236" s="109"/>
    </row>
    <row r="1237" spans="1:2" ht="21">
      <c r="A1237" s="108"/>
      <c r="B1237" s="109"/>
    </row>
    <row r="1238" spans="1:2" ht="21">
      <c r="A1238" s="108"/>
      <c r="B1238" s="109"/>
    </row>
    <row r="1239" spans="1:2" ht="21">
      <c r="A1239" s="108"/>
      <c r="B1239" s="109"/>
    </row>
    <row r="1240" spans="1:2" ht="21">
      <c r="A1240" s="108"/>
      <c r="B1240" s="109"/>
    </row>
    <row r="1241" spans="1:2" ht="21">
      <c r="A1241" s="108"/>
      <c r="B1241" s="109"/>
    </row>
    <row r="1242" spans="1:2" ht="21">
      <c r="A1242" s="108"/>
      <c r="B1242" s="109"/>
    </row>
    <row r="1243" spans="1:2" ht="21">
      <c r="A1243" s="108"/>
      <c r="B1243" s="109"/>
    </row>
    <row r="1244" spans="1:2" ht="21">
      <c r="A1244" s="108"/>
      <c r="B1244" s="109"/>
    </row>
    <row r="1245" spans="1:2" ht="21">
      <c r="A1245" s="108"/>
      <c r="B1245" s="109"/>
    </row>
    <row r="1246" spans="1:2" ht="21">
      <c r="A1246" s="108"/>
      <c r="B1246" s="109"/>
    </row>
    <row r="1247" spans="1:2" ht="21">
      <c r="A1247" s="108"/>
      <c r="B1247" s="109"/>
    </row>
    <row r="1248" spans="1:2" ht="21">
      <c r="A1248" s="108"/>
      <c r="B1248" s="109"/>
    </row>
    <row r="1249" spans="1:2" ht="21">
      <c r="A1249" s="108"/>
      <c r="B1249" s="109"/>
    </row>
    <row r="1250" spans="1:2" ht="21">
      <c r="A1250" s="108"/>
      <c r="B1250" s="109"/>
    </row>
    <row r="1251" spans="1:2" ht="21">
      <c r="A1251" s="108"/>
      <c r="B1251" s="109"/>
    </row>
    <row r="1252" spans="1:2" ht="21">
      <c r="A1252" s="108"/>
      <c r="B1252" s="109"/>
    </row>
    <row r="1253" spans="1:2" ht="21">
      <c r="A1253" s="108"/>
      <c r="B1253" s="109"/>
    </row>
    <row r="1254" spans="1:2" ht="21">
      <c r="A1254" s="108"/>
      <c r="B1254" s="109"/>
    </row>
    <row r="1255" spans="1:2" ht="21">
      <c r="A1255" s="108"/>
      <c r="B1255" s="109"/>
    </row>
    <row r="1256" spans="1:2" ht="21">
      <c r="A1256" s="108"/>
      <c r="B1256" s="109"/>
    </row>
    <row r="1257" spans="1:2" ht="21">
      <c r="A1257" s="108"/>
      <c r="B1257" s="109"/>
    </row>
    <row r="1258" spans="1:2" ht="21">
      <c r="A1258" s="108"/>
      <c r="B1258" s="109"/>
    </row>
    <row r="1259" spans="1:2" ht="21">
      <c r="A1259" s="108"/>
      <c r="B1259" s="109"/>
    </row>
    <row r="1260" spans="1:2" ht="21">
      <c r="A1260" s="108"/>
      <c r="B1260" s="109"/>
    </row>
    <row r="1261" spans="1:2" ht="21">
      <c r="A1261" s="108"/>
      <c r="B1261" s="109"/>
    </row>
    <row r="1262" spans="1:2" ht="21">
      <c r="A1262" s="108"/>
      <c r="B1262" s="109"/>
    </row>
    <row r="1263" spans="1:2" ht="21">
      <c r="A1263" s="108"/>
      <c r="B1263" s="109"/>
    </row>
    <row r="1264" spans="1:2" ht="21">
      <c r="A1264" s="108"/>
      <c r="B1264" s="109"/>
    </row>
    <row r="1265" spans="1:2" ht="21">
      <c r="A1265" s="108"/>
      <c r="B1265" s="109"/>
    </row>
    <row r="1266" spans="1:2" ht="21">
      <c r="A1266" s="108"/>
      <c r="B1266" s="109"/>
    </row>
    <row r="1267" spans="1:2" ht="21">
      <c r="A1267" s="108"/>
      <c r="B1267" s="109"/>
    </row>
    <row r="1268" spans="1:2" ht="21">
      <c r="A1268" s="108"/>
      <c r="B1268" s="109"/>
    </row>
    <row r="1269" spans="1:2" ht="21">
      <c r="A1269" s="108"/>
      <c r="B1269" s="109"/>
    </row>
    <row r="1270" spans="1:2" ht="21">
      <c r="A1270" s="108"/>
      <c r="B1270" s="109"/>
    </row>
    <row r="1271" spans="1:2" ht="21">
      <c r="A1271" s="108"/>
      <c r="B1271" s="109"/>
    </row>
    <row r="1272" spans="1:2" ht="21">
      <c r="A1272" s="108"/>
      <c r="B1272" s="109"/>
    </row>
    <row r="1273" spans="1:2" ht="21">
      <c r="A1273" s="108"/>
      <c r="B1273" s="109"/>
    </row>
    <row r="1274" spans="1:2" ht="21">
      <c r="A1274" s="108"/>
      <c r="B1274" s="109"/>
    </row>
    <row r="1275" spans="1:2" ht="21">
      <c r="A1275" s="108"/>
      <c r="B1275" s="109"/>
    </row>
    <row r="1276" spans="1:2" ht="21">
      <c r="A1276" s="108"/>
      <c r="B1276" s="109"/>
    </row>
    <row r="1277" spans="1:2" ht="21">
      <c r="A1277" s="108"/>
      <c r="B1277" s="109"/>
    </row>
    <row r="1278" spans="1:2" ht="21">
      <c r="A1278" s="108"/>
      <c r="B1278" s="109"/>
    </row>
    <row r="1279" spans="1:2" ht="21">
      <c r="A1279" s="108"/>
      <c r="B1279" s="109"/>
    </row>
    <row r="1280" spans="1:2" ht="21">
      <c r="A1280" s="108"/>
      <c r="B1280" s="109"/>
    </row>
    <row r="1281" spans="1:2" ht="21">
      <c r="A1281" s="108"/>
      <c r="B1281" s="109"/>
    </row>
    <row r="1282" spans="1:2" ht="21">
      <c r="A1282" s="108"/>
      <c r="B1282" s="109"/>
    </row>
    <row r="1283" spans="1:2" ht="21">
      <c r="A1283" s="108"/>
      <c r="B1283" s="109"/>
    </row>
    <row r="1284" spans="1:2" ht="21">
      <c r="A1284" s="108"/>
      <c r="B1284" s="109"/>
    </row>
    <row r="1285" spans="1:2" ht="21">
      <c r="A1285" s="108"/>
      <c r="B1285" s="109"/>
    </row>
    <row r="1286" spans="1:2" ht="21">
      <c r="A1286" s="108"/>
      <c r="B1286" s="109"/>
    </row>
    <row r="1287" spans="1:2" ht="21">
      <c r="A1287" s="108"/>
      <c r="B1287" s="109"/>
    </row>
    <row r="1288" spans="1:2" ht="21">
      <c r="A1288" s="108"/>
      <c r="B1288" s="109"/>
    </row>
    <row r="1289" spans="1:2" ht="21">
      <c r="A1289" s="108"/>
      <c r="B1289" s="109"/>
    </row>
    <row r="1290" spans="1:2" ht="21">
      <c r="A1290" s="108"/>
      <c r="B1290" s="109"/>
    </row>
    <row r="1291" spans="1:2" ht="21">
      <c r="A1291" s="108"/>
      <c r="B1291" s="109"/>
    </row>
    <row r="1292" spans="1:2" ht="21">
      <c r="A1292" s="108"/>
      <c r="B1292" s="109"/>
    </row>
    <row r="1293" spans="1:2" ht="21">
      <c r="A1293" s="108"/>
      <c r="B1293" s="109"/>
    </row>
    <row r="1294" spans="1:2" ht="21">
      <c r="A1294" s="108"/>
      <c r="B1294" s="109"/>
    </row>
    <row r="1295" spans="1:2" ht="21">
      <c r="A1295" s="108"/>
      <c r="B1295" s="109"/>
    </row>
    <row r="1296" spans="1:2" ht="21">
      <c r="A1296" s="108"/>
      <c r="B1296" s="109"/>
    </row>
    <row r="1297" spans="1:2" ht="21">
      <c r="A1297" s="108"/>
      <c r="B1297" s="109"/>
    </row>
    <row r="1298" spans="1:2" ht="21">
      <c r="A1298" s="108"/>
      <c r="B1298" s="109"/>
    </row>
    <row r="1299" spans="1:2" ht="21">
      <c r="A1299" s="108"/>
      <c r="B1299" s="109"/>
    </row>
    <row r="1300" spans="1:2" ht="21">
      <c r="A1300" s="108"/>
      <c r="B1300" s="109"/>
    </row>
    <row r="1301" spans="1:2" ht="21">
      <c r="A1301" s="108"/>
      <c r="B1301" s="109"/>
    </row>
    <row r="1302" spans="1:2" ht="21">
      <c r="A1302" s="108"/>
      <c r="B1302" s="109"/>
    </row>
    <row r="1303" spans="1:2" ht="21">
      <c r="A1303" s="108"/>
      <c r="B1303" s="109"/>
    </row>
    <row r="1304" spans="1:2" ht="21">
      <c r="A1304" s="108"/>
      <c r="B1304" s="109"/>
    </row>
    <row r="1305" spans="1:2" ht="21">
      <c r="A1305" s="108"/>
      <c r="B1305" s="109"/>
    </row>
    <row r="1306" spans="1:2" ht="21">
      <c r="A1306" s="108"/>
      <c r="B1306" s="109"/>
    </row>
    <row r="1307" spans="1:2" ht="21">
      <c r="A1307" s="108"/>
      <c r="B1307" s="109"/>
    </row>
    <row r="1308" spans="1:2" ht="21">
      <c r="A1308" s="108"/>
      <c r="B1308" s="109"/>
    </row>
    <row r="1309" spans="1:2" ht="21">
      <c r="A1309" s="108"/>
      <c r="B1309" s="109"/>
    </row>
    <row r="1310" spans="1:2" ht="21">
      <c r="A1310" s="108"/>
      <c r="B1310" s="109"/>
    </row>
    <row r="1311" spans="1:2" ht="21">
      <c r="A1311" s="108"/>
      <c r="B1311" s="109"/>
    </row>
    <row r="1312" spans="1:2" ht="21">
      <c r="A1312" s="108"/>
      <c r="B1312" s="109"/>
    </row>
    <row r="1313" spans="1:2" ht="21">
      <c r="A1313" s="108"/>
      <c r="B1313" s="109"/>
    </row>
    <row r="1314" spans="1:2" ht="21">
      <c r="A1314" s="108"/>
      <c r="B1314" s="109"/>
    </row>
    <row r="1315" spans="1:2" ht="21">
      <c r="A1315" s="108"/>
      <c r="B1315" s="109"/>
    </row>
    <row r="1316" spans="1:2" ht="21">
      <c r="A1316" s="108"/>
      <c r="B1316" s="109"/>
    </row>
    <row r="1317" spans="1:2" ht="21">
      <c r="A1317" s="108"/>
      <c r="B1317" s="109"/>
    </row>
    <row r="1318" spans="1:2" ht="21">
      <c r="A1318" s="108"/>
      <c r="B1318" s="109"/>
    </row>
    <row r="1319" spans="1:2" ht="21">
      <c r="A1319" s="108"/>
      <c r="B1319" s="109"/>
    </row>
    <row r="1320" spans="1:2" ht="21">
      <c r="A1320" s="108"/>
      <c r="B1320" s="109"/>
    </row>
    <row r="1321" spans="1:2" ht="21">
      <c r="A1321" s="108"/>
      <c r="B1321" s="109"/>
    </row>
    <row r="1322" spans="1:2" ht="21">
      <c r="A1322" s="108"/>
      <c r="B1322" s="109"/>
    </row>
    <row r="1323" spans="1:2" ht="21">
      <c r="A1323" s="108" t="s">
        <v>414</v>
      </c>
      <c r="B1323" s="109" t="s">
        <v>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30010-3836-0944-9BF9-1B9616074A18}">
  <dimension ref="A1:T96"/>
  <sheetViews>
    <sheetView zoomScale="94" workbookViewId="0">
      <selection activeCell="G18" sqref="G18"/>
    </sheetView>
  </sheetViews>
  <sheetFormatPr baseColWidth="10" defaultRowHeight="16"/>
  <cols>
    <col min="1" max="1" width="27" customWidth="1"/>
    <col min="2" max="2" width="20.83203125" customWidth="1"/>
    <col min="3" max="3" width="11.6640625" customWidth="1"/>
    <col min="4" max="4" width="22.6640625" customWidth="1"/>
  </cols>
  <sheetData>
    <row r="1" spans="1:20" ht="21">
      <c r="A1" s="7" t="s">
        <v>15</v>
      </c>
      <c r="B1" s="12">
        <f>(B2+B3)/B4*(B5)</f>
        <v>9.8587789970586634E-2</v>
      </c>
      <c r="C1" s="1"/>
      <c r="D1" s="1"/>
      <c r="E1" s="1"/>
      <c r="F1" s="183"/>
      <c r="G1" s="184"/>
      <c r="H1" s="18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1">
      <c r="A2" s="1" t="s">
        <v>16</v>
      </c>
      <c r="B2" s="68">
        <f>adjustments!B20</f>
        <v>13177500</v>
      </c>
      <c r="C2" s="1"/>
      <c r="D2" s="1"/>
      <c r="E2" s="1"/>
      <c r="F2" s="1"/>
      <c r="G2" s="1"/>
      <c r="H2" s="9"/>
      <c r="I2" s="9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23">
      <c r="A3" s="75" t="s">
        <v>410</v>
      </c>
      <c r="B3" s="81">
        <f>adjustments!B33</f>
        <v>-4464000</v>
      </c>
      <c r="C3" s="1"/>
      <c r="D3" s="1"/>
      <c r="E3" s="1"/>
      <c r="F3" s="1"/>
      <c r="G3" s="1"/>
      <c r="H3" s="1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23">
      <c r="A4" s="1" t="s">
        <v>18</v>
      </c>
      <c r="B4" s="11">
        <f>adjustments!B13</f>
        <v>74712089.070877612</v>
      </c>
      <c r="C4" s="1"/>
      <c r="D4" s="1"/>
      <c r="E4" s="1"/>
      <c r="F4" s="1"/>
      <c r="G4" s="1"/>
      <c r="H4" s="1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23">
      <c r="A5" s="1" t="s">
        <v>19</v>
      </c>
      <c r="B5" s="10">
        <f>1-B12</f>
        <v>0.84532045051740901</v>
      </c>
      <c r="C5" s="1"/>
      <c r="D5" s="1"/>
      <c r="E5" s="1"/>
      <c r="F5" s="1"/>
      <c r="G5" s="1"/>
      <c r="H5" s="66"/>
      <c r="I5" s="67"/>
      <c r="J5" s="67"/>
      <c r="K5" s="67"/>
      <c r="L5" s="1"/>
      <c r="M5" s="1"/>
      <c r="N5" s="1"/>
      <c r="O5" s="1"/>
      <c r="P5" s="1"/>
      <c r="Q5" s="1"/>
      <c r="R5" s="1"/>
      <c r="S5" s="1"/>
      <c r="T5" s="1"/>
    </row>
    <row r="6" spans="1:20" ht="23">
      <c r="A6" s="1"/>
      <c r="B6" s="8"/>
      <c r="C6" s="1"/>
      <c r="D6" s="1"/>
      <c r="E6" s="1"/>
      <c r="F6" s="1"/>
      <c r="G6" s="1"/>
      <c r="H6" s="1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9">
      <c r="A7" s="7" t="s">
        <v>17</v>
      </c>
      <c r="B7" s="12">
        <f>B8*(B9)/(B10+B11)</f>
        <v>0.31283076098400342</v>
      </c>
      <c r="C7" s="1"/>
      <c r="D7" s="1"/>
      <c r="E7" s="1"/>
      <c r="F7" s="1"/>
      <c r="G7" s="1"/>
      <c r="I7" s="1"/>
      <c r="J7" s="1"/>
      <c r="K7" s="1"/>
      <c r="L7" s="1"/>
      <c r="M7" s="1"/>
      <c r="N7" s="1"/>
      <c r="O7" s="1"/>
      <c r="P7" s="1"/>
      <c r="Q7" s="1"/>
      <c r="R7" s="1"/>
      <c r="S7" s="107"/>
      <c r="T7" s="1"/>
    </row>
    <row r="8" spans="1:20" ht="20" customHeight="1">
      <c r="A8" s="1" t="s">
        <v>18</v>
      </c>
      <c r="B8" s="11">
        <f>B4</f>
        <v>74712089.070877612</v>
      </c>
      <c r="C8" s="1"/>
      <c r="D8" s="1"/>
      <c r="E8" s="1"/>
      <c r="F8" s="1"/>
      <c r="G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9">
      <c r="A9" s="1" t="s">
        <v>19</v>
      </c>
      <c r="B9" s="10">
        <f>1-B12</f>
        <v>0.84532045051740901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9">
      <c r="A10" s="1" t="s">
        <v>20</v>
      </c>
      <c r="B10" s="11">
        <f>adjustments!B48</f>
        <v>117081420.16966648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9">
      <c r="A11" s="1" t="s">
        <v>21</v>
      </c>
      <c r="B11" s="144">
        <f>adjustments!B17</f>
        <v>84803000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9">
      <c r="A12" s="1" t="s">
        <v>127</v>
      </c>
      <c r="B12" s="72">
        <f>adjustments!B21/adjustments!B12</f>
        <v>0.15467954948259105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0" thickBot="1">
      <c r="A13" s="40" t="s">
        <v>135</v>
      </c>
      <c r="B13" s="41">
        <f>B7*B1</f>
        <v>3.0841293360229716E-2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9">
      <c r="A15" s="7" t="s">
        <v>435</v>
      </c>
      <c r="B15" s="52">
        <f>(B2+B3)*(1-B16)/adjustments!B15</f>
        <v>5.9342691996900135E-2</v>
      </c>
      <c r="C15" s="1"/>
      <c r="D15" s="1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9">
      <c r="A16" s="1" t="s">
        <v>398</v>
      </c>
      <c r="B16" s="74">
        <f>B10/(B10+B11)</f>
        <v>0.5799428211016463</v>
      </c>
      <c r="C16" s="1"/>
      <c r="D16" s="3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9">
      <c r="A17" s="7" t="s">
        <v>399</v>
      </c>
      <c r="B17" s="69">
        <f>B7+beta!L10*(B7-B18*(B5))</f>
        <v>0.71756085568176364</v>
      </c>
      <c r="C17" s="1"/>
      <c r="D17" s="3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9">
      <c r="A18" s="1" t="s">
        <v>400</v>
      </c>
      <c r="B18" s="1">
        <f>B19/B10</f>
        <v>2.3282942725239113E-2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9">
      <c r="A19" s="1" t="s">
        <v>42</v>
      </c>
      <c r="B19" s="73">
        <f>'wacc calc'!B7</f>
        <v>2726000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0" thickBot="1">
      <c r="A20" s="40" t="s">
        <v>401</v>
      </c>
      <c r="B20" s="70">
        <f>B15*B17</f>
        <v>4.2581992847755011E-2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9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9">
      <c r="A22" s="7" t="s">
        <v>402</v>
      </c>
      <c r="B22" s="145">
        <f>B23/adjustments!B15</f>
        <v>0.24264533022041718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9">
      <c r="A23" s="75" t="s">
        <v>403</v>
      </c>
      <c r="B23" s="137">
        <f>14966000</f>
        <v>14966000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0" thickBot="1">
      <c r="A24" s="40" t="s">
        <v>404</v>
      </c>
      <c r="B24" s="41">
        <f>B22*B17</f>
        <v>0.17411279078014666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9">
      <c r="A26" s="1"/>
      <c r="B26" s="17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9">
      <c r="A27" s="1"/>
      <c r="B27" s="7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688A7-D849-A74C-9F59-649EE3A92E93}">
  <dimension ref="A1:S324"/>
  <sheetViews>
    <sheetView zoomScale="89" workbookViewId="0">
      <selection activeCell="B2" sqref="B2"/>
    </sheetView>
  </sheetViews>
  <sheetFormatPr baseColWidth="10" defaultRowHeight="16"/>
  <cols>
    <col min="1" max="1" width="34.1640625" customWidth="1"/>
    <col min="2" max="2" width="28" customWidth="1"/>
    <col min="3" max="4" width="14" customWidth="1"/>
    <col min="5" max="5" width="15.33203125" customWidth="1"/>
    <col min="6" max="6" width="13.6640625" customWidth="1"/>
    <col min="7" max="7" width="14" customWidth="1"/>
    <col min="8" max="8" width="30" customWidth="1"/>
    <col min="9" max="9" width="14.6640625" customWidth="1"/>
    <col min="10" max="10" width="19.5" customWidth="1"/>
    <col min="11" max="11" width="32.83203125" customWidth="1"/>
    <col min="13" max="13" width="16.5" customWidth="1"/>
  </cols>
  <sheetData>
    <row r="1" spans="1:19" ht="20" customHeight="1">
      <c r="A1" s="1"/>
      <c r="B1" s="179"/>
      <c r="C1" s="1"/>
      <c r="D1" s="1"/>
      <c r="E1" s="1"/>
      <c r="F1" s="11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">
      <c r="A2" s="6" t="s">
        <v>14</v>
      </c>
      <c r="B2" s="180"/>
      <c r="C2" s="180"/>
      <c r="D2" s="181">
        <v>4.3978927665406703E-2</v>
      </c>
      <c r="E2" s="182">
        <f>D2+R23</f>
        <v>5.7392597600088587E-2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9">
      <c r="A3" s="1"/>
      <c r="B3" s="1"/>
      <c r="C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1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9">
      <c r="A5" s="43" t="s">
        <v>141</v>
      </c>
      <c r="B5" s="44" t="s">
        <v>377</v>
      </c>
      <c r="C5" s="43" t="s">
        <v>144</v>
      </c>
      <c r="E5" s="44" t="s">
        <v>143</v>
      </c>
      <c r="H5" s="43" t="s">
        <v>145</v>
      </c>
      <c r="I5" s="43" t="s">
        <v>146</v>
      </c>
      <c r="L5" s="1"/>
      <c r="M5" s="1"/>
      <c r="N5" s="1"/>
      <c r="O5" s="1"/>
      <c r="P5" s="1"/>
      <c r="Q5" s="1"/>
      <c r="R5" s="1"/>
      <c r="S5" s="1"/>
    </row>
    <row r="6" spans="1:19" ht="19">
      <c r="A6" s="45" t="s">
        <v>147</v>
      </c>
      <c r="B6" s="50" t="s">
        <v>148</v>
      </c>
      <c r="C6" s="53">
        <v>4.4000000000000003E-3</v>
      </c>
      <c r="E6" s="45" t="s">
        <v>149</v>
      </c>
      <c r="F6" s="58" t="s">
        <v>150</v>
      </c>
      <c r="G6" s="58" t="s">
        <v>151</v>
      </c>
      <c r="H6" s="1" t="str">
        <f t="shared" ref="H6:H37" si="0">SUBSTITUTE(F6:F162,".",",")</f>
        <v>5,20%</v>
      </c>
      <c r="I6" s="1" t="str">
        <f t="shared" ref="I6:I37" si="1">SUBSTITUTE(G6:G162,".",",")</f>
        <v>0,48%</v>
      </c>
      <c r="L6" s="1"/>
      <c r="M6" s="1" t="s">
        <v>385</v>
      </c>
      <c r="N6" s="1"/>
      <c r="O6" s="1"/>
      <c r="P6" s="1"/>
      <c r="Q6" s="1"/>
      <c r="R6" s="1"/>
      <c r="S6" s="1"/>
    </row>
    <row r="7" spans="1:19" ht="19">
      <c r="A7" s="45" t="s">
        <v>152</v>
      </c>
      <c r="B7" s="50" t="s">
        <v>153</v>
      </c>
      <c r="C7" s="53">
        <v>3.9800000000000002E-2</v>
      </c>
      <c r="E7" s="45" t="s">
        <v>154</v>
      </c>
      <c r="F7" s="58" t="s">
        <v>155</v>
      </c>
      <c r="G7" s="58" t="s">
        <v>156</v>
      </c>
      <c r="H7" s="1" t="str">
        <f t="shared" si="0"/>
        <v>9,08%</v>
      </c>
      <c r="I7" s="1" t="str">
        <f t="shared" si="1"/>
        <v>4,36%</v>
      </c>
      <c r="K7" s="48" t="s">
        <v>376</v>
      </c>
      <c r="L7" s="54"/>
      <c r="M7" s="52">
        <f>AVERAGEIF(B6:B162,"Africa",C6:C162)</f>
        <v>5.1555172413793114E-2</v>
      </c>
      <c r="N7" s="1"/>
      <c r="O7" s="1"/>
      <c r="P7" s="1"/>
      <c r="Q7" s="1"/>
      <c r="R7" s="1"/>
      <c r="S7" s="1"/>
    </row>
    <row r="8" spans="1:19" ht="19">
      <c r="A8" s="45" t="s">
        <v>157</v>
      </c>
      <c r="B8" s="50" t="s">
        <v>158</v>
      </c>
      <c r="C8" s="53">
        <v>6.6299999999999998E-2</v>
      </c>
      <c r="E8" s="45" t="s">
        <v>159</v>
      </c>
      <c r="F8" s="58" t="s">
        <v>160</v>
      </c>
      <c r="G8" s="58" t="s">
        <v>161</v>
      </c>
      <c r="H8" s="1" t="str">
        <f t="shared" si="0"/>
        <v>11,98%</v>
      </c>
      <c r="I8" s="1" t="str">
        <f t="shared" si="1"/>
        <v>7,26%</v>
      </c>
      <c r="K8" s="49" t="s">
        <v>378</v>
      </c>
      <c r="L8" s="54"/>
      <c r="M8" s="52">
        <f>AVERAGEIF(B7:B163,"Middle East",C7:C163)</f>
        <v>3.3883333333333328E-2</v>
      </c>
      <c r="N8" s="1"/>
      <c r="O8" s="1"/>
      <c r="P8" s="1"/>
      <c r="Q8" s="1"/>
      <c r="R8" s="1"/>
      <c r="S8" s="1"/>
    </row>
    <row r="9" spans="1:19" ht="19">
      <c r="A9" s="45" t="s">
        <v>162</v>
      </c>
      <c r="B9" s="50" t="s">
        <v>142</v>
      </c>
      <c r="C9" s="53">
        <v>6.6299999999999998E-2</v>
      </c>
      <c r="E9" s="45" t="s">
        <v>159</v>
      </c>
      <c r="F9" s="58" t="s">
        <v>160</v>
      </c>
      <c r="G9" s="58" t="s">
        <v>161</v>
      </c>
      <c r="H9" s="1" t="str">
        <f t="shared" si="0"/>
        <v>11,98%</v>
      </c>
      <c r="I9" s="1" t="str">
        <f t="shared" si="1"/>
        <v>7,26%</v>
      </c>
      <c r="K9" s="49" t="s">
        <v>379</v>
      </c>
      <c r="L9" s="54"/>
      <c r="M9" s="52">
        <f>AVERAGEIF(B8:B164,"Western Europe",C8:C164)</f>
        <v>1.061923076923077E-2</v>
      </c>
      <c r="N9" s="1"/>
      <c r="O9" s="1"/>
      <c r="P9" s="1"/>
      <c r="Q9" s="1"/>
      <c r="R9" s="1"/>
      <c r="S9" s="1"/>
    </row>
    <row r="10" spans="1:19" ht="19">
      <c r="A10" s="45" t="s">
        <v>163</v>
      </c>
      <c r="B10" s="50" t="s">
        <v>164</v>
      </c>
      <c r="C10" s="53">
        <v>0.106</v>
      </c>
      <c r="E10" s="45" t="s">
        <v>165</v>
      </c>
      <c r="F10" s="58" t="s">
        <v>166</v>
      </c>
      <c r="G10" s="58" t="s">
        <v>167</v>
      </c>
      <c r="H10" s="1" t="str">
        <f t="shared" si="0"/>
        <v>16,34%</v>
      </c>
      <c r="I10" s="1" t="str">
        <f t="shared" si="1"/>
        <v>11,62%</v>
      </c>
      <c r="K10" s="48" t="s">
        <v>380</v>
      </c>
      <c r="L10" s="54"/>
      <c r="M10" s="52">
        <f>AVERAGEIF(B9:B165,"Eastern Europe &amp; Russia",C9:C165)</f>
        <v>2.8330769230769229E-2</v>
      </c>
      <c r="N10" s="1"/>
      <c r="O10" s="1"/>
      <c r="P10" s="1"/>
      <c r="Q10" s="1"/>
      <c r="R10" s="1"/>
      <c r="S10" s="1"/>
    </row>
    <row r="11" spans="1:19" ht="19">
      <c r="A11" s="45" t="s">
        <v>168</v>
      </c>
      <c r="B11" s="50" t="s">
        <v>153</v>
      </c>
      <c r="C11" s="53">
        <v>3.1800000000000002E-2</v>
      </c>
      <c r="E11" s="45" t="s">
        <v>169</v>
      </c>
      <c r="F11" s="58" t="s">
        <v>170</v>
      </c>
      <c r="G11" s="58" t="s">
        <v>171</v>
      </c>
      <c r="H11" s="1" t="str">
        <f t="shared" si="0"/>
        <v>8,21%</v>
      </c>
      <c r="I11" s="1" t="str">
        <f t="shared" si="1"/>
        <v>3,49%</v>
      </c>
      <c r="K11" s="48" t="s">
        <v>381</v>
      </c>
      <c r="L11" s="54"/>
      <c r="M11" s="52">
        <f>AVERAGEIF(B10:B166,"Central and South America",C10:C166)</f>
        <v>4.963684210526316E-2</v>
      </c>
      <c r="N11" s="1"/>
      <c r="O11" s="1"/>
      <c r="P11" s="1"/>
      <c r="Q11" s="1"/>
      <c r="R11" s="1"/>
      <c r="S11" s="1"/>
    </row>
    <row r="12" spans="1:19" ht="19">
      <c r="A12" s="45" t="s">
        <v>172</v>
      </c>
      <c r="B12" s="50" t="s">
        <v>173</v>
      </c>
      <c r="C12" s="53">
        <v>1.41E-2</v>
      </c>
      <c r="E12" s="45" t="s">
        <v>174</v>
      </c>
      <c r="F12" s="58" t="s">
        <v>175</v>
      </c>
      <c r="G12" s="58" t="s">
        <v>176</v>
      </c>
      <c r="H12" s="1" t="str">
        <f t="shared" si="0"/>
        <v>6,27%</v>
      </c>
      <c r="I12" s="1" t="str">
        <f t="shared" si="1"/>
        <v>1,55%</v>
      </c>
      <c r="K12" s="48" t="s">
        <v>382</v>
      </c>
      <c r="L12" s="54"/>
      <c r="M12" s="52">
        <f>AVERAGEIF(B11:B167,"Australia &amp; New Zealand",C11:C167)</f>
        <v>1.3266666666666668E-2</v>
      </c>
      <c r="N12" s="1"/>
      <c r="O12" s="1"/>
      <c r="P12" s="1"/>
      <c r="Q12" s="1"/>
      <c r="R12" s="1"/>
      <c r="S12" s="1"/>
    </row>
    <row r="13" spans="1:19" ht="19">
      <c r="A13" s="45" t="s">
        <v>177</v>
      </c>
      <c r="B13" s="50" t="s">
        <v>178</v>
      </c>
      <c r="C13" s="53">
        <v>0</v>
      </c>
      <c r="E13" s="45" t="s">
        <v>179</v>
      </c>
      <c r="F13" s="58" t="s">
        <v>181</v>
      </c>
      <c r="G13" s="58" t="s">
        <v>180</v>
      </c>
      <c r="H13" s="1" t="str">
        <f t="shared" si="0"/>
        <v>4,72%</v>
      </c>
      <c r="I13" s="1" t="str">
        <f t="shared" si="1"/>
        <v>0,00%</v>
      </c>
      <c r="K13" s="48" t="s">
        <v>383</v>
      </c>
      <c r="L13" s="54"/>
      <c r="M13" s="52">
        <f>AVERAGEIF(B12:B168,"Asia",C12:C168)</f>
        <v>2.8879166666666668E-2</v>
      </c>
      <c r="N13" s="1"/>
      <c r="O13" s="1"/>
      <c r="P13" s="1"/>
      <c r="Q13" s="1"/>
      <c r="R13" s="1"/>
      <c r="S13" s="1"/>
    </row>
    <row r="14" spans="1:19" ht="19">
      <c r="A14" s="45" t="s">
        <v>182</v>
      </c>
      <c r="B14" s="50" t="s">
        <v>158</v>
      </c>
      <c r="C14" s="53">
        <v>3.5000000000000001E-3</v>
      </c>
      <c r="E14" s="45" t="s">
        <v>183</v>
      </c>
      <c r="F14" s="58" t="s">
        <v>184</v>
      </c>
      <c r="G14" s="58" t="s">
        <v>185</v>
      </c>
      <c r="H14" s="1" t="str">
        <f t="shared" si="0"/>
        <v>5,10%</v>
      </c>
      <c r="I14" s="1" t="str">
        <f t="shared" si="1"/>
        <v>0,38%</v>
      </c>
      <c r="K14" s="48" t="s">
        <v>384</v>
      </c>
      <c r="L14" s="54"/>
      <c r="M14" s="52">
        <f>AVERAGEIF(B14:B170,"Caribbean",C14:C170)</f>
        <v>3.1453846153846159E-2</v>
      </c>
      <c r="N14" s="1"/>
      <c r="O14" s="1"/>
      <c r="P14" s="1"/>
      <c r="Q14" s="1"/>
      <c r="R14" s="1"/>
      <c r="S14" s="1"/>
    </row>
    <row r="15" spans="1:19" ht="19">
      <c r="A15" s="45" t="s">
        <v>186</v>
      </c>
      <c r="B15" s="50" t="s">
        <v>153</v>
      </c>
      <c r="C15" s="53">
        <v>2.6499999999999999E-2</v>
      </c>
      <c r="E15" s="45" t="s">
        <v>187</v>
      </c>
      <c r="F15" s="58" t="s">
        <v>188</v>
      </c>
      <c r="G15" s="58" t="s">
        <v>189</v>
      </c>
      <c r="H15" s="1" t="str">
        <f t="shared" si="0"/>
        <v>7,63%</v>
      </c>
      <c r="I15" s="1" t="str">
        <f t="shared" si="1"/>
        <v>2,91%</v>
      </c>
      <c r="K15" s="48" t="s">
        <v>386</v>
      </c>
      <c r="L15" s="48"/>
      <c r="M15" s="52">
        <f>AVERAGEIF(B13:B169,"North America",C13:C169)</f>
        <v>0</v>
      </c>
      <c r="N15" s="1"/>
      <c r="O15" s="1"/>
      <c r="P15" s="1"/>
      <c r="Q15" s="1"/>
      <c r="R15" s="1"/>
      <c r="S15" s="1"/>
    </row>
    <row r="16" spans="1:19" ht="19">
      <c r="A16" s="45" t="s">
        <v>190</v>
      </c>
      <c r="B16" s="50" t="s">
        <v>173</v>
      </c>
      <c r="C16" s="53">
        <v>2.6499999999999999E-2</v>
      </c>
      <c r="E16" s="45" t="s">
        <v>187</v>
      </c>
      <c r="F16" s="58" t="s">
        <v>188</v>
      </c>
      <c r="G16" s="58" t="s">
        <v>189</v>
      </c>
      <c r="H16" s="1" t="str">
        <f t="shared" si="0"/>
        <v>7,63%</v>
      </c>
      <c r="I16" s="1" t="str">
        <f t="shared" si="1"/>
        <v>2,91%</v>
      </c>
      <c r="K16" s="1"/>
      <c r="L16" s="1"/>
      <c r="M16" s="1"/>
      <c r="N16" s="1"/>
      <c r="O16" s="1"/>
      <c r="P16" s="1"/>
      <c r="Q16" s="1"/>
      <c r="R16" s="1"/>
      <c r="S16" s="1"/>
    </row>
    <row r="17" spans="1:19" ht="19">
      <c r="A17" s="45" t="s">
        <v>191</v>
      </c>
      <c r="B17" s="50" t="s">
        <v>148</v>
      </c>
      <c r="C17" s="53">
        <v>4.8599999999999997E-2</v>
      </c>
      <c r="E17" s="45" t="s">
        <v>192</v>
      </c>
      <c r="F17" s="58" t="s">
        <v>193</v>
      </c>
      <c r="G17" s="58" t="s">
        <v>194</v>
      </c>
      <c r="H17" s="1" t="str">
        <f t="shared" si="0"/>
        <v>10,05%</v>
      </c>
      <c r="I17" s="1" t="str">
        <f t="shared" si="1"/>
        <v>5,33%</v>
      </c>
      <c r="K17" s="1" t="s">
        <v>390</v>
      </c>
      <c r="L17" s="1" t="s">
        <v>388</v>
      </c>
      <c r="M17" s="1" t="s">
        <v>411</v>
      </c>
      <c r="N17" s="1" t="s">
        <v>387</v>
      </c>
      <c r="O17" s="1" t="s">
        <v>394</v>
      </c>
      <c r="P17" s="1"/>
      <c r="Q17" s="1"/>
      <c r="R17" s="1" t="s">
        <v>397</v>
      </c>
      <c r="S17" s="1"/>
    </row>
    <row r="18" spans="1:19" ht="19">
      <c r="A18" s="45" t="s">
        <v>195</v>
      </c>
      <c r="B18" s="50" t="s">
        <v>196</v>
      </c>
      <c r="C18" s="53">
        <v>3.1800000000000002E-2</v>
      </c>
      <c r="E18" s="45" t="s">
        <v>169</v>
      </c>
      <c r="F18" s="58" t="s">
        <v>170</v>
      </c>
      <c r="G18" s="58" t="s">
        <v>171</v>
      </c>
      <c r="H18" s="1" t="str">
        <f t="shared" si="0"/>
        <v>8,21%</v>
      </c>
      <c r="I18" s="1" t="str">
        <f t="shared" si="1"/>
        <v>3,49%</v>
      </c>
      <c r="K18" s="1"/>
      <c r="L18" s="1"/>
      <c r="M18" s="1"/>
      <c r="N18" s="1"/>
      <c r="O18" s="1"/>
      <c r="P18" s="1"/>
      <c r="Q18" s="1"/>
      <c r="R18" s="1"/>
      <c r="S18" s="1"/>
    </row>
    <row r="19" spans="1:19" ht="19">
      <c r="A19" s="45" t="s">
        <v>197</v>
      </c>
      <c r="B19" s="50" t="s">
        <v>173</v>
      </c>
      <c r="C19" s="53">
        <v>6.6299999999999998E-2</v>
      </c>
      <c r="E19" s="45" t="s">
        <v>159</v>
      </c>
      <c r="F19" s="58" t="s">
        <v>160</v>
      </c>
      <c r="G19" s="58" t="s">
        <v>161</v>
      </c>
      <c r="H19" s="1" t="str">
        <f t="shared" si="0"/>
        <v>11,98%</v>
      </c>
      <c r="I19" s="1" t="str">
        <f t="shared" si="1"/>
        <v>7,26%</v>
      </c>
      <c r="K19" s="1" t="s">
        <v>423</v>
      </c>
      <c r="L19" s="2">
        <f>M15</f>
        <v>0</v>
      </c>
      <c r="M19" s="94">
        <v>11281</v>
      </c>
      <c r="N19" s="27">
        <f>M19/M23</f>
        <v>0.34170351971890711</v>
      </c>
      <c r="O19" s="47">
        <f>N19*L19</f>
        <v>0</v>
      </c>
      <c r="P19" s="1"/>
      <c r="Q19" s="1"/>
      <c r="R19" s="61">
        <f>O19*N19</f>
        <v>0</v>
      </c>
      <c r="S19" s="1"/>
    </row>
    <row r="20" spans="1:19" ht="19">
      <c r="A20" s="45" t="s">
        <v>198</v>
      </c>
      <c r="B20" s="50" t="s">
        <v>153</v>
      </c>
      <c r="C20" s="53">
        <v>5.7500000000000002E-2</v>
      </c>
      <c r="E20" s="45" t="s">
        <v>199</v>
      </c>
      <c r="F20" s="58" t="s">
        <v>200</v>
      </c>
      <c r="G20" s="58" t="s">
        <v>201</v>
      </c>
      <c r="H20" s="1" t="str">
        <f t="shared" si="0"/>
        <v>11,02%</v>
      </c>
      <c r="I20" s="1" t="str">
        <f t="shared" si="1"/>
        <v>6,30%</v>
      </c>
      <c r="K20" s="1" t="s">
        <v>436</v>
      </c>
      <c r="L20" s="2">
        <f>AVERAGE(M7:M14)</f>
        <v>3.095312841744614E-2</v>
      </c>
      <c r="M20" s="94">
        <v>21733</v>
      </c>
      <c r="N20" s="27">
        <f>M20/M23</f>
        <v>0.65829648028109289</v>
      </c>
      <c r="O20" s="47">
        <f>N20*L20</f>
        <v>2.0376335490893467E-2</v>
      </c>
      <c r="P20" s="1"/>
      <c r="Q20" s="1"/>
      <c r="R20" s="61">
        <f>O20*N20</f>
        <v>1.3413669934681885E-2</v>
      </c>
      <c r="S20" s="1"/>
    </row>
    <row r="21" spans="1:19" ht="19">
      <c r="A21" s="45" t="s">
        <v>202</v>
      </c>
      <c r="B21" s="50" t="s">
        <v>158</v>
      </c>
      <c r="C21" s="53">
        <v>5.3E-3</v>
      </c>
      <c r="E21" s="45" t="s">
        <v>203</v>
      </c>
      <c r="F21" s="58" t="s">
        <v>204</v>
      </c>
      <c r="G21" s="58" t="s">
        <v>205</v>
      </c>
      <c r="H21" s="1" t="str">
        <f t="shared" si="0"/>
        <v>5,31%</v>
      </c>
      <c r="I21" s="1" t="str">
        <f t="shared" si="1"/>
        <v>0,59%</v>
      </c>
      <c r="K21" s="1"/>
      <c r="L21" s="2"/>
      <c r="M21" s="94"/>
      <c r="N21" s="27">
        <f>M21/M23</f>
        <v>0</v>
      </c>
      <c r="O21" s="47">
        <f>N21*L21</f>
        <v>0</v>
      </c>
      <c r="P21" s="1"/>
      <c r="Q21" s="1"/>
      <c r="R21" s="61">
        <f>O21*N21</f>
        <v>0</v>
      </c>
      <c r="S21" s="1"/>
    </row>
    <row r="22" spans="1:19" ht="19">
      <c r="A22" s="45" t="s">
        <v>206</v>
      </c>
      <c r="B22" s="50" t="s">
        <v>164</v>
      </c>
      <c r="C22" s="53">
        <v>8.8300000000000003E-2</v>
      </c>
      <c r="E22" s="45" t="s">
        <v>207</v>
      </c>
      <c r="F22" s="58" t="s">
        <v>208</v>
      </c>
      <c r="G22" s="58" t="s">
        <v>209</v>
      </c>
      <c r="H22" s="1" t="str">
        <f t="shared" si="0"/>
        <v>14,40%</v>
      </c>
      <c r="I22" s="1" t="str">
        <f t="shared" si="1"/>
        <v>9,68%</v>
      </c>
      <c r="K22" s="1"/>
      <c r="L22" s="2"/>
      <c r="M22" s="94"/>
      <c r="N22" s="27">
        <f>M22/M23</f>
        <v>0</v>
      </c>
      <c r="O22" s="47">
        <f>N22*L22</f>
        <v>0</v>
      </c>
      <c r="P22" s="1"/>
      <c r="Q22" s="1"/>
      <c r="R22" s="61">
        <f>O22*N22</f>
        <v>0</v>
      </c>
      <c r="S22" s="1"/>
    </row>
    <row r="23" spans="1:19" ht="19">
      <c r="A23" s="45" t="s">
        <v>210</v>
      </c>
      <c r="B23" s="50" t="s">
        <v>142</v>
      </c>
      <c r="C23" s="53">
        <v>4.8599999999999997E-2</v>
      </c>
      <c r="E23" s="45" t="s">
        <v>192</v>
      </c>
      <c r="F23" s="58" t="s">
        <v>193</v>
      </c>
      <c r="G23" s="58" t="s">
        <v>194</v>
      </c>
      <c r="H23" s="1" t="str">
        <f t="shared" si="0"/>
        <v>10,05%</v>
      </c>
      <c r="I23" s="1" t="str">
        <f t="shared" si="1"/>
        <v>5,33%</v>
      </c>
      <c r="K23" s="1" t="s">
        <v>389</v>
      </c>
      <c r="L23" s="1"/>
      <c r="M23" s="100">
        <f>SUM(M19:M22)</f>
        <v>33014</v>
      </c>
      <c r="N23" s="27">
        <f>SUM(N19:N22)</f>
        <v>1</v>
      </c>
      <c r="O23" s="57">
        <f>SUM(O19:O22)</f>
        <v>2.0376335490893467E-2</v>
      </c>
      <c r="P23" s="1"/>
      <c r="Q23" s="1"/>
      <c r="R23" s="62">
        <f>SUM(R19:R22)</f>
        <v>1.3413669934681885E-2</v>
      </c>
      <c r="S23" s="1"/>
    </row>
    <row r="24" spans="1:19" ht="19">
      <c r="A24" s="45" t="s">
        <v>211</v>
      </c>
      <c r="B24" s="50" t="s">
        <v>173</v>
      </c>
      <c r="C24" s="53">
        <v>7.4999999999999997E-3</v>
      </c>
      <c r="E24" s="45" t="s">
        <v>212</v>
      </c>
      <c r="F24" s="58" t="s">
        <v>213</v>
      </c>
      <c r="G24" s="58" t="s">
        <v>214</v>
      </c>
      <c r="H24" s="1" t="str">
        <f t="shared" si="0"/>
        <v>5,54%</v>
      </c>
      <c r="I24" s="1" t="str">
        <f t="shared" si="1"/>
        <v>0,82%</v>
      </c>
      <c r="K24" s="1"/>
      <c r="L24" s="1"/>
      <c r="M24" s="1"/>
      <c r="N24" s="1"/>
      <c r="O24" s="1"/>
      <c r="P24" s="1"/>
      <c r="Q24" s="1"/>
      <c r="R24" s="1"/>
      <c r="S24" s="1"/>
    </row>
    <row r="25" spans="1:19" ht="19">
      <c r="A25" s="45" t="s">
        <v>215</v>
      </c>
      <c r="B25" s="50" t="s">
        <v>164</v>
      </c>
      <c r="C25" s="53">
        <v>4.8599999999999997E-2</v>
      </c>
      <c r="E25" s="45" t="s">
        <v>192</v>
      </c>
      <c r="F25" s="58" t="s">
        <v>193</v>
      </c>
      <c r="G25" s="58" t="s">
        <v>194</v>
      </c>
      <c r="H25" s="1" t="str">
        <f t="shared" si="0"/>
        <v>10,05%</v>
      </c>
      <c r="I25" s="1" t="str">
        <f t="shared" si="1"/>
        <v>5,33%</v>
      </c>
      <c r="L25" s="1"/>
      <c r="M25" s="1"/>
      <c r="N25" s="1"/>
      <c r="O25" s="1"/>
      <c r="P25" s="1"/>
      <c r="Q25" s="1"/>
      <c r="R25" s="1"/>
      <c r="S25" s="1"/>
    </row>
    <row r="26" spans="1:19" ht="19">
      <c r="A26" s="45" t="s">
        <v>216</v>
      </c>
      <c r="B26" s="50" t="s">
        <v>153</v>
      </c>
      <c r="C26" s="53">
        <v>5.7500000000000002E-2</v>
      </c>
      <c r="E26" s="45" t="s">
        <v>199</v>
      </c>
      <c r="F26" s="58" t="s">
        <v>200</v>
      </c>
      <c r="G26" s="58" t="s">
        <v>201</v>
      </c>
      <c r="H26" s="1" t="str">
        <f t="shared" si="0"/>
        <v>11,02%</v>
      </c>
      <c r="I26" s="1" t="str">
        <f t="shared" si="1"/>
        <v>6,30%</v>
      </c>
      <c r="K26" s="1"/>
      <c r="L26" s="1"/>
      <c r="M26" s="1"/>
      <c r="N26" s="1"/>
      <c r="O26" s="1"/>
      <c r="P26" s="1"/>
      <c r="Q26" s="1"/>
      <c r="R26" s="1"/>
      <c r="S26" s="111"/>
    </row>
    <row r="27" spans="1:19" ht="19">
      <c r="A27" s="45" t="s">
        <v>217</v>
      </c>
      <c r="B27" s="50" t="s">
        <v>142</v>
      </c>
      <c r="C27" s="53">
        <v>7.4999999999999997E-3</v>
      </c>
      <c r="E27" s="45" t="s">
        <v>212</v>
      </c>
      <c r="F27" s="58" t="s">
        <v>213</v>
      </c>
      <c r="G27" s="58" t="s">
        <v>214</v>
      </c>
      <c r="H27" s="1" t="str">
        <f t="shared" si="0"/>
        <v>5,54%</v>
      </c>
      <c r="I27" s="1" t="str">
        <f t="shared" si="1"/>
        <v>0,82%</v>
      </c>
      <c r="K27" s="1"/>
      <c r="L27" s="1"/>
      <c r="M27" s="1"/>
      <c r="N27" s="1"/>
      <c r="O27" s="1"/>
      <c r="P27" s="1"/>
      <c r="Q27" s="1"/>
      <c r="R27" s="1"/>
      <c r="S27" s="1"/>
    </row>
    <row r="28" spans="1:19" ht="19">
      <c r="A28" s="45" t="s">
        <v>218</v>
      </c>
      <c r="B28" s="50" t="s">
        <v>164</v>
      </c>
      <c r="C28" s="53">
        <v>2.6499999999999999E-2</v>
      </c>
      <c r="E28" s="45" t="s">
        <v>187</v>
      </c>
      <c r="F28" s="58" t="s">
        <v>188</v>
      </c>
      <c r="G28" s="58" t="s">
        <v>189</v>
      </c>
      <c r="H28" s="1" t="str">
        <f t="shared" si="0"/>
        <v>7,63%</v>
      </c>
      <c r="I28" s="1" t="str">
        <f t="shared" si="1"/>
        <v>2,91%</v>
      </c>
      <c r="K28" s="55"/>
      <c r="L28" s="1"/>
      <c r="M28" s="1"/>
      <c r="N28" s="1"/>
      <c r="O28" s="1"/>
      <c r="P28" s="1"/>
      <c r="Q28" s="1"/>
      <c r="R28" s="1"/>
      <c r="S28" s="1"/>
    </row>
    <row r="29" spans="1:19" ht="19">
      <c r="A29" s="45" t="s">
        <v>219</v>
      </c>
      <c r="B29" s="50" t="s">
        <v>153</v>
      </c>
      <c r="C29" s="53">
        <v>1.41E-2</v>
      </c>
      <c r="E29" s="45" t="s">
        <v>174</v>
      </c>
      <c r="F29" s="58" t="s">
        <v>175</v>
      </c>
      <c r="G29" s="58" t="s">
        <v>176</v>
      </c>
      <c r="H29" s="1" t="str">
        <f t="shared" si="0"/>
        <v>6,27%</v>
      </c>
      <c r="I29" s="1" t="str">
        <f t="shared" si="1"/>
        <v>1,55%</v>
      </c>
      <c r="L29" s="1"/>
      <c r="M29" s="1"/>
      <c r="N29" s="1"/>
      <c r="O29" s="1"/>
      <c r="P29" s="1"/>
      <c r="Q29" s="1"/>
      <c r="R29" s="1"/>
      <c r="S29" s="1"/>
    </row>
    <row r="30" spans="1:19" ht="19">
      <c r="A30" s="45" t="s">
        <v>220</v>
      </c>
      <c r="B30" s="50" t="s">
        <v>142</v>
      </c>
      <c r="C30" s="53">
        <v>4.8599999999999997E-2</v>
      </c>
      <c r="E30" s="45" t="s">
        <v>192</v>
      </c>
      <c r="F30" s="58" t="s">
        <v>193</v>
      </c>
      <c r="G30" s="58" t="s">
        <v>194</v>
      </c>
      <c r="H30" s="1" t="str">
        <f t="shared" si="0"/>
        <v>10,05%</v>
      </c>
      <c r="I30" s="1" t="str">
        <f t="shared" si="1"/>
        <v>5,33%</v>
      </c>
      <c r="K30" s="56"/>
      <c r="L30" s="1"/>
      <c r="M30" s="1"/>
      <c r="N30" s="1"/>
      <c r="O30" s="1"/>
      <c r="P30" s="1"/>
      <c r="Q30" s="1"/>
      <c r="R30" s="1"/>
      <c r="S30" s="1"/>
    </row>
    <row r="31" spans="1:19" ht="19">
      <c r="A31" s="45" t="s">
        <v>221</v>
      </c>
      <c r="B31" s="50" t="s">
        <v>196</v>
      </c>
      <c r="C31" s="53">
        <v>4.8599999999999997E-2</v>
      </c>
      <c r="E31" s="45" t="s">
        <v>192</v>
      </c>
      <c r="F31" s="58" t="s">
        <v>193</v>
      </c>
      <c r="G31" s="58" t="s">
        <v>194</v>
      </c>
      <c r="H31" s="1" t="str">
        <f t="shared" si="0"/>
        <v>10,05%</v>
      </c>
      <c r="I31" s="1" t="str">
        <f t="shared" si="1"/>
        <v>5,33%</v>
      </c>
      <c r="L31" s="1"/>
      <c r="M31" s="1"/>
      <c r="N31" s="1"/>
      <c r="O31" s="1"/>
      <c r="P31" s="1"/>
      <c r="Q31" s="1"/>
      <c r="R31" s="1"/>
      <c r="S31" s="1"/>
    </row>
    <row r="32" spans="1:19" ht="19">
      <c r="A32" s="45" t="s">
        <v>222</v>
      </c>
      <c r="B32" s="50" t="s">
        <v>142</v>
      </c>
      <c r="C32" s="53">
        <v>4.8599999999999997E-2</v>
      </c>
      <c r="E32" s="45" t="s">
        <v>192</v>
      </c>
      <c r="F32" s="58" t="s">
        <v>193</v>
      </c>
      <c r="G32" s="58" t="s">
        <v>194</v>
      </c>
      <c r="H32" s="1" t="str">
        <f t="shared" si="0"/>
        <v>10,05%</v>
      </c>
      <c r="I32" s="1" t="str">
        <f t="shared" si="1"/>
        <v>5,33%</v>
      </c>
      <c r="K32" s="56"/>
      <c r="L32" s="1"/>
      <c r="M32" s="1"/>
      <c r="N32" s="1"/>
      <c r="O32" s="1"/>
      <c r="P32" s="1"/>
      <c r="Q32" s="1"/>
      <c r="R32" s="1"/>
      <c r="S32" s="1"/>
    </row>
    <row r="33" spans="1:19" ht="19">
      <c r="A33" s="45" t="s">
        <v>223</v>
      </c>
      <c r="B33" s="50" t="s">
        <v>224</v>
      </c>
      <c r="C33" s="53">
        <v>0</v>
      </c>
      <c r="E33" s="45" t="s">
        <v>179</v>
      </c>
      <c r="F33" s="58" t="s">
        <v>181</v>
      </c>
      <c r="G33" s="58" t="s">
        <v>180</v>
      </c>
      <c r="H33" s="1" t="str">
        <f t="shared" si="0"/>
        <v>4,72%</v>
      </c>
      <c r="I33" s="1" t="str">
        <f t="shared" si="1"/>
        <v>0,00%</v>
      </c>
      <c r="L33" s="1"/>
      <c r="M33" s="1"/>
      <c r="N33" s="1"/>
      <c r="O33" s="1"/>
      <c r="P33" s="1"/>
      <c r="Q33" s="1"/>
      <c r="R33" s="1"/>
      <c r="S33" s="1"/>
    </row>
    <row r="34" spans="1:19" ht="19">
      <c r="A34" s="45" t="s">
        <v>225</v>
      </c>
      <c r="B34" s="50" t="s">
        <v>142</v>
      </c>
      <c r="C34" s="53">
        <v>4.8599999999999997E-2</v>
      </c>
      <c r="E34" s="45" t="s">
        <v>192</v>
      </c>
      <c r="F34" s="58" t="s">
        <v>193</v>
      </c>
      <c r="G34" s="58" t="s">
        <v>194</v>
      </c>
      <c r="H34" s="1" t="str">
        <f t="shared" si="0"/>
        <v>10,05%</v>
      </c>
      <c r="I34" s="1" t="str">
        <f t="shared" si="1"/>
        <v>5,33%</v>
      </c>
      <c r="K34" s="56"/>
      <c r="L34" s="1"/>
      <c r="M34" s="1"/>
      <c r="N34" s="1"/>
      <c r="O34" s="1"/>
      <c r="P34" s="1"/>
      <c r="Q34" s="1"/>
      <c r="R34" s="1"/>
      <c r="S34" s="1"/>
    </row>
    <row r="35" spans="1:19" ht="19">
      <c r="A35" s="45" t="s">
        <v>226</v>
      </c>
      <c r="B35" s="50" t="s">
        <v>173</v>
      </c>
      <c r="C35" s="53">
        <v>5.3E-3</v>
      </c>
      <c r="E35" s="45" t="s">
        <v>203</v>
      </c>
      <c r="F35" s="58" t="s">
        <v>204</v>
      </c>
      <c r="G35" s="58" t="s">
        <v>205</v>
      </c>
      <c r="H35" s="1" t="str">
        <f t="shared" si="0"/>
        <v>5,31%</v>
      </c>
      <c r="I35" s="1" t="str">
        <f t="shared" si="1"/>
        <v>0,59%</v>
      </c>
      <c r="L35" s="1"/>
      <c r="M35" s="1"/>
      <c r="N35" s="1"/>
      <c r="O35" s="1"/>
      <c r="P35" s="1"/>
      <c r="Q35" s="1"/>
      <c r="R35" s="1"/>
      <c r="S35" s="1"/>
    </row>
    <row r="36" spans="1:19" ht="19">
      <c r="A36" s="45" t="s">
        <v>227</v>
      </c>
      <c r="B36" s="50" t="s">
        <v>164</v>
      </c>
      <c r="C36" s="53">
        <v>6.1999999999999998E-3</v>
      </c>
      <c r="E36" s="45" t="s">
        <v>228</v>
      </c>
      <c r="F36" s="58" t="s">
        <v>229</v>
      </c>
      <c r="G36" s="58" t="s">
        <v>230</v>
      </c>
      <c r="H36" s="1" t="str">
        <f t="shared" si="0"/>
        <v>5,40%</v>
      </c>
      <c r="I36" s="1" t="str">
        <f t="shared" si="1"/>
        <v>0,68%</v>
      </c>
      <c r="K36" s="56"/>
      <c r="L36" s="1"/>
      <c r="M36" s="1"/>
      <c r="N36" s="1"/>
      <c r="O36" s="1"/>
      <c r="P36" s="1"/>
      <c r="Q36" s="1"/>
      <c r="R36" s="1"/>
      <c r="S36" s="1"/>
    </row>
    <row r="37" spans="1:19" ht="19">
      <c r="A37" s="45" t="s">
        <v>231</v>
      </c>
      <c r="B37" s="50" t="s">
        <v>196</v>
      </c>
      <c r="C37" s="53">
        <v>6.1999999999999998E-3</v>
      </c>
      <c r="E37" s="45" t="s">
        <v>228</v>
      </c>
      <c r="F37" s="58" t="s">
        <v>229</v>
      </c>
      <c r="G37" s="58" t="s">
        <v>230</v>
      </c>
      <c r="H37" s="1" t="str">
        <f t="shared" si="0"/>
        <v>5,40%</v>
      </c>
      <c r="I37" s="1" t="str">
        <f t="shared" si="1"/>
        <v>0,68%</v>
      </c>
      <c r="L37" s="1"/>
      <c r="M37" s="1"/>
      <c r="N37" s="1"/>
      <c r="O37" s="1"/>
      <c r="P37" s="1"/>
      <c r="Q37" s="1"/>
      <c r="R37" s="1"/>
      <c r="S37" s="1"/>
    </row>
    <row r="38" spans="1:19" ht="19">
      <c r="A38" s="45" t="s">
        <v>232</v>
      </c>
      <c r="B38" s="50" t="s">
        <v>164</v>
      </c>
      <c r="C38" s="53">
        <v>1.6799999999999999E-2</v>
      </c>
      <c r="E38" s="45" t="s">
        <v>233</v>
      </c>
      <c r="F38" s="58" t="s">
        <v>235</v>
      </c>
      <c r="G38" s="58" t="s">
        <v>236</v>
      </c>
      <c r="H38" s="1" t="str">
        <f t="shared" ref="H38:H69" si="2">SUBSTITUTE(F38:F194,".",",")</f>
        <v>6,56%</v>
      </c>
      <c r="I38" s="1" t="str">
        <f t="shared" ref="I38:I69" si="3">SUBSTITUTE(G38:G194,".",",")</f>
        <v>1,84%</v>
      </c>
      <c r="K38" s="56"/>
      <c r="L38" s="1"/>
      <c r="M38" s="1"/>
      <c r="N38" s="1"/>
      <c r="O38" s="1"/>
      <c r="P38" s="1"/>
      <c r="Q38" s="1"/>
      <c r="R38" s="1"/>
      <c r="S38" s="1"/>
    </row>
    <row r="39" spans="1:19" ht="19">
      <c r="A39" s="45" t="s">
        <v>237</v>
      </c>
      <c r="B39" s="50" t="s">
        <v>142</v>
      </c>
      <c r="C39" s="53">
        <v>6.6299999999999998E-2</v>
      </c>
      <c r="E39" s="45" t="s">
        <v>159</v>
      </c>
      <c r="F39" s="58" t="s">
        <v>160</v>
      </c>
      <c r="G39" s="58" t="s">
        <v>161</v>
      </c>
      <c r="H39" s="1" t="str">
        <f t="shared" si="2"/>
        <v>11,98%</v>
      </c>
      <c r="I39" s="1" t="str">
        <f t="shared" si="3"/>
        <v>7,26%</v>
      </c>
      <c r="L39" s="1"/>
      <c r="M39" s="1"/>
      <c r="N39" s="1"/>
      <c r="O39" s="1"/>
      <c r="P39" s="1"/>
      <c r="Q39" s="1"/>
      <c r="R39" s="1"/>
      <c r="S39" s="1"/>
    </row>
    <row r="40" spans="1:19" ht="19">
      <c r="A40" s="45" t="s">
        <v>238</v>
      </c>
      <c r="B40" s="50" t="s">
        <v>142</v>
      </c>
      <c r="C40" s="53">
        <v>7.9600000000000004E-2</v>
      </c>
      <c r="E40" s="45" t="s">
        <v>239</v>
      </c>
      <c r="F40" s="58" t="s">
        <v>240</v>
      </c>
      <c r="G40" s="58" t="s">
        <v>241</v>
      </c>
      <c r="H40" s="1" t="str">
        <f t="shared" si="2"/>
        <v>13,44%</v>
      </c>
      <c r="I40" s="1" t="str">
        <f t="shared" si="3"/>
        <v>8,72%</v>
      </c>
      <c r="K40" s="56"/>
      <c r="L40" s="1"/>
      <c r="M40" s="1"/>
      <c r="N40" s="1"/>
      <c r="O40" s="1"/>
      <c r="P40" s="1"/>
      <c r="Q40" s="1"/>
      <c r="R40" s="1"/>
      <c r="S40" s="1"/>
    </row>
    <row r="41" spans="1:19" ht="19">
      <c r="A41" s="45" t="s">
        <v>242</v>
      </c>
      <c r="B41" s="50" t="s">
        <v>178</v>
      </c>
      <c r="C41" s="53">
        <v>3.9800000000000002E-2</v>
      </c>
      <c r="E41" s="45" t="s">
        <v>154</v>
      </c>
      <c r="F41" s="58" t="s">
        <v>155</v>
      </c>
      <c r="G41" s="58" t="s">
        <v>156</v>
      </c>
      <c r="H41" s="1" t="str">
        <f t="shared" si="2"/>
        <v>9,08%</v>
      </c>
      <c r="I41" s="1" t="str">
        <f t="shared" si="3"/>
        <v>4,36%</v>
      </c>
      <c r="L41" s="1"/>
      <c r="M41" s="1"/>
      <c r="N41" s="1"/>
      <c r="O41" s="1"/>
      <c r="P41" s="1"/>
      <c r="Q41" s="1"/>
      <c r="R41" s="1"/>
      <c r="S41" s="1"/>
    </row>
    <row r="42" spans="1:19" ht="19">
      <c r="A42" s="45" t="s">
        <v>243</v>
      </c>
      <c r="B42" s="50" t="s">
        <v>164</v>
      </c>
      <c r="C42" s="53">
        <v>4.8599999999999997E-2</v>
      </c>
      <c r="E42" s="45" t="s">
        <v>192</v>
      </c>
      <c r="F42" s="58" t="s">
        <v>193</v>
      </c>
      <c r="G42" s="58" t="s">
        <v>194</v>
      </c>
      <c r="H42" s="1" t="str">
        <f t="shared" si="2"/>
        <v>10,05%</v>
      </c>
      <c r="I42" s="1" t="str">
        <f t="shared" si="3"/>
        <v>5,33%</v>
      </c>
      <c r="K42" s="55"/>
      <c r="L42" s="1"/>
      <c r="M42" s="1"/>
      <c r="N42" s="1"/>
      <c r="O42" s="1"/>
      <c r="P42" s="1"/>
      <c r="Q42" s="1"/>
      <c r="R42" s="1"/>
      <c r="S42" s="1"/>
    </row>
    <row r="43" spans="1:19" ht="19">
      <c r="A43" s="45" t="s">
        <v>244</v>
      </c>
      <c r="B43" s="50" t="s">
        <v>142</v>
      </c>
      <c r="C43" s="53">
        <v>3.1800000000000002E-2</v>
      </c>
      <c r="E43" s="45" t="s">
        <v>169</v>
      </c>
      <c r="F43" s="58" t="s">
        <v>170</v>
      </c>
      <c r="G43" s="58" t="s">
        <v>171</v>
      </c>
      <c r="H43" s="1" t="str">
        <f t="shared" si="2"/>
        <v>8,21%</v>
      </c>
      <c r="I43" s="1" t="str">
        <f t="shared" si="3"/>
        <v>3,49%</v>
      </c>
      <c r="L43" s="1"/>
      <c r="M43" s="1"/>
      <c r="N43" s="1"/>
      <c r="O43" s="1"/>
      <c r="P43" s="1"/>
      <c r="Q43" s="1"/>
      <c r="R43" s="1"/>
      <c r="S43" s="1"/>
    </row>
    <row r="44" spans="1:19" ht="19">
      <c r="A44" s="45" t="s">
        <v>245</v>
      </c>
      <c r="B44" s="50" t="s">
        <v>153</v>
      </c>
      <c r="C44" s="53">
        <v>2.2100000000000002E-2</v>
      </c>
      <c r="E44" s="45" t="s">
        <v>246</v>
      </c>
      <c r="F44" s="58" t="s">
        <v>247</v>
      </c>
      <c r="G44" s="58" t="s">
        <v>248</v>
      </c>
      <c r="H44" s="1" t="str">
        <f t="shared" si="2"/>
        <v>7,14%</v>
      </c>
      <c r="I44" s="1" t="str">
        <f t="shared" si="3"/>
        <v>2,42%</v>
      </c>
      <c r="K44" s="56"/>
      <c r="L44" s="1"/>
      <c r="M44" s="1"/>
      <c r="N44" s="1"/>
      <c r="O44" s="1"/>
      <c r="P44" s="1"/>
      <c r="Q44" s="1"/>
      <c r="R44" s="1"/>
      <c r="S44" s="1"/>
    </row>
    <row r="45" spans="1:19" ht="19">
      <c r="A45" s="45" t="s">
        <v>249</v>
      </c>
      <c r="B45" s="50" t="s">
        <v>173</v>
      </c>
      <c r="C45" s="53">
        <v>7.9600000000000004E-2</v>
      </c>
      <c r="E45" s="45" t="s">
        <v>239</v>
      </c>
      <c r="F45" s="58" t="s">
        <v>240</v>
      </c>
      <c r="G45" s="58" t="s">
        <v>241</v>
      </c>
      <c r="H45" s="1" t="str">
        <f t="shared" si="2"/>
        <v>13,44%</v>
      </c>
      <c r="I45" s="1" t="str">
        <f t="shared" si="3"/>
        <v>8,72%</v>
      </c>
      <c r="L45" s="1"/>
      <c r="M45" s="1"/>
      <c r="N45" s="1"/>
      <c r="O45" s="1"/>
      <c r="P45" s="1"/>
      <c r="Q45" s="1"/>
      <c r="R45" s="1"/>
      <c r="S45" s="1"/>
    </row>
    <row r="46" spans="1:19" ht="19">
      <c r="A46" s="45" t="s">
        <v>250</v>
      </c>
      <c r="B46" s="50" t="s">
        <v>173</v>
      </c>
      <c r="C46" s="53">
        <v>1.06E-2</v>
      </c>
      <c r="E46" s="45" t="s">
        <v>251</v>
      </c>
      <c r="F46" s="58" t="s">
        <v>252</v>
      </c>
      <c r="G46" s="58" t="s">
        <v>253</v>
      </c>
      <c r="H46" s="1" t="str">
        <f t="shared" si="2"/>
        <v>5,88%</v>
      </c>
      <c r="I46" s="1" t="str">
        <f t="shared" si="3"/>
        <v>1,16%</v>
      </c>
      <c r="K46" s="56"/>
      <c r="L46" s="1"/>
      <c r="M46" s="1"/>
      <c r="N46" s="1"/>
      <c r="O46" s="1"/>
      <c r="P46" s="1"/>
      <c r="Q46" s="1"/>
      <c r="R46" s="1"/>
      <c r="S46" s="1"/>
    </row>
    <row r="47" spans="1:19" ht="19">
      <c r="A47" s="45" t="s">
        <v>254</v>
      </c>
      <c r="B47" s="50" t="s">
        <v>158</v>
      </c>
      <c r="C47" s="53">
        <v>2.6499999999999999E-2</v>
      </c>
      <c r="E47" s="45" t="s">
        <v>187</v>
      </c>
      <c r="F47" s="58" t="s">
        <v>188</v>
      </c>
      <c r="G47" s="58" t="s">
        <v>189</v>
      </c>
      <c r="H47" s="1" t="str">
        <f t="shared" si="2"/>
        <v>7,63%</v>
      </c>
      <c r="I47" s="1" t="str">
        <f t="shared" si="3"/>
        <v>2,91%</v>
      </c>
      <c r="L47" s="1"/>
      <c r="M47" s="1"/>
      <c r="N47" s="1"/>
      <c r="O47" s="1"/>
      <c r="P47" s="1"/>
      <c r="Q47" s="1"/>
      <c r="R47" s="1"/>
      <c r="S47" s="1"/>
    </row>
    <row r="48" spans="1:19" ht="19">
      <c r="A48" s="45" t="s">
        <v>255</v>
      </c>
      <c r="B48" s="50" t="s">
        <v>153</v>
      </c>
      <c r="C48" s="53">
        <v>5.3E-3</v>
      </c>
      <c r="E48" s="45" t="s">
        <v>203</v>
      </c>
      <c r="F48" s="58" t="s">
        <v>204</v>
      </c>
      <c r="G48" s="58" t="s">
        <v>205</v>
      </c>
      <c r="H48" s="1" t="str">
        <f t="shared" si="2"/>
        <v>5,31%</v>
      </c>
      <c r="I48" s="1" t="str">
        <f t="shared" si="3"/>
        <v>0,59%</v>
      </c>
      <c r="K48" s="56"/>
      <c r="L48" s="1"/>
      <c r="M48" s="1"/>
      <c r="N48" s="1"/>
      <c r="O48" s="1"/>
      <c r="P48" s="1"/>
      <c r="Q48" s="1"/>
      <c r="R48" s="1"/>
      <c r="S48" s="1"/>
    </row>
    <row r="49" spans="1:19" ht="19">
      <c r="A49" s="45" t="s">
        <v>256</v>
      </c>
      <c r="B49" s="50" t="s">
        <v>158</v>
      </c>
      <c r="C49" s="53">
        <v>0</v>
      </c>
      <c r="E49" s="45" t="s">
        <v>179</v>
      </c>
      <c r="F49" s="58" t="s">
        <v>181</v>
      </c>
      <c r="G49" s="58" t="s">
        <v>180</v>
      </c>
      <c r="H49" s="1" t="str">
        <f t="shared" si="2"/>
        <v>4,72%</v>
      </c>
      <c r="I49" s="1" t="str">
        <f t="shared" si="3"/>
        <v>0,00%</v>
      </c>
      <c r="L49" s="1"/>
      <c r="M49" s="1"/>
      <c r="N49" s="1"/>
      <c r="O49" s="1"/>
      <c r="P49" s="1"/>
      <c r="Q49" s="1"/>
      <c r="R49" s="1"/>
      <c r="S49" s="1"/>
    </row>
    <row r="50" spans="1:19" ht="19">
      <c r="A50" s="45" t="s">
        <v>257</v>
      </c>
      <c r="B50" s="50" t="s">
        <v>173</v>
      </c>
      <c r="C50" s="53">
        <v>3.1800000000000002E-2</v>
      </c>
      <c r="E50" s="45" t="s">
        <v>169</v>
      </c>
      <c r="F50" s="58" t="s">
        <v>170</v>
      </c>
      <c r="G50" s="58" t="s">
        <v>171</v>
      </c>
      <c r="H50" s="1" t="str">
        <f t="shared" si="2"/>
        <v>8,21%</v>
      </c>
      <c r="I50" s="1" t="str">
        <f t="shared" si="3"/>
        <v>3,49%</v>
      </c>
      <c r="K50" s="56"/>
      <c r="L50" s="1"/>
      <c r="M50" s="1"/>
      <c r="N50" s="1"/>
      <c r="O50" s="1"/>
      <c r="P50" s="1"/>
      <c r="Q50" s="1"/>
      <c r="R50" s="1"/>
      <c r="S50" s="1"/>
    </row>
    <row r="51" spans="1:19" ht="19">
      <c r="A51" s="45" t="s">
        <v>258</v>
      </c>
      <c r="B51" s="50" t="s">
        <v>164</v>
      </c>
      <c r="C51" s="53">
        <v>8.8300000000000003E-2</v>
      </c>
      <c r="E51" s="45" t="s">
        <v>207</v>
      </c>
      <c r="F51" s="58" t="s">
        <v>208</v>
      </c>
      <c r="G51" s="58" t="s">
        <v>209</v>
      </c>
      <c r="H51" s="1" t="str">
        <f t="shared" si="2"/>
        <v>14,40%</v>
      </c>
      <c r="I51" s="1" t="str">
        <f t="shared" si="3"/>
        <v>9,68%</v>
      </c>
      <c r="L51" s="1"/>
      <c r="M51" s="1"/>
      <c r="N51" s="1"/>
      <c r="O51" s="1"/>
      <c r="P51" s="1"/>
      <c r="Q51" s="1"/>
      <c r="R51" s="1"/>
      <c r="S51" s="1"/>
    </row>
    <row r="52" spans="1:19" ht="19">
      <c r="A52" s="45" t="s">
        <v>259</v>
      </c>
      <c r="B52" s="50" t="s">
        <v>142</v>
      </c>
      <c r="C52" s="53">
        <v>4.8599999999999997E-2</v>
      </c>
      <c r="E52" s="45" t="s">
        <v>192</v>
      </c>
      <c r="F52" s="58" t="s">
        <v>193</v>
      </c>
      <c r="G52" s="58" t="s">
        <v>194</v>
      </c>
      <c r="H52" s="1" t="str">
        <f t="shared" si="2"/>
        <v>10,05%</v>
      </c>
      <c r="I52" s="1" t="str">
        <f t="shared" si="3"/>
        <v>5,33%</v>
      </c>
      <c r="K52" s="56"/>
      <c r="L52" s="1"/>
      <c r="M52" s="1"/>
      <c r="N52" s="1"/>
      <c r="O52" s="1"/>
      <c r="P52" s="1"/>
      <c r="Q52" s="1"/>
      <c r="R52" s="1"/>
      <c r="S52" s="1"/>
    </row>
    <row r="53" spans="1:19" ht="19">
      <c r="A53" s="45" t="s">
        <v>260</v>
      </c>
      <c r="B53" s="50" t="s">
        <v>164</v>
      </c>
      <c r="C53" s="53">
        <v>5.7500000000000002E-2</v>
      </c>
      <c r="E53" s="45" t="s">
        <v>199</v>
      </c>
      <c r="F53" s="58" t="s">
        <v>200</v>
      </c>
      <c r="G53" s="58" t="s">
        <v>201</v>
      </c>
      <c r="H53" s="1" t="str">
        <f t="shared" si="2"/>
        <v>11,02%</v>
      </c>
      <c r="I53" s="1" t="str">
        <f t="shared" si="3"/>
        <v>6,30%</v>
      </c>
      <c r="L53" s="1"/>
      <c r="M53" s="1"/>
    </row>
    <row r="54" spans="1:19" ht="19">
      <c r="A54" s="45" t="s">
        <v>261</v>
      </c>
      <c r="B54" s="50" t="s">
        <v>153</v>
      </c>
      <c r="C54" s="53">
        <v>6.1999999999999998E-3</v>
      </c>
      <c r="E54" s="45" t="s">
        <v>228</v>
      </c>
      <c r="F54" s="58" t="s">
        <v>229</v>
      </c>
      <c r="G54" s="58" t="s">
        <v>230</v>
      </c>
      <c r="H54" s="1" t="str">
        <f t="shared" si="2"/>
        <v>5,40%</v>
      </c>
      <c r="I54" s="1" t="str">
        <f t="shared" si="3"/>
        <v>0,68%</v>
      </c>
      <c r="K54" s="56"/>
      <c r="L54" s="1"/>
      <c r="M54" s="1"/>
    </row>
    <row r="55" spans="1:19" ht="19">
      <c r="A55" s="45" t="s">
        <v>262</v>
      </c>
      <c r="B55" s="50" t="s">
        <v>142</v>
      </c>
      <c r="C55" s="53">
        <v>4.8599999999999997E-2</v>
      </c>
      <c r="E55" s="45" t="s">
        <v>192</v>
      </c>
      <c r="F55" s="58" t="s">
        <v>193</v>
      </c>
      <c r="G55" s="58" t="s">
        <v>194</v>
      </c>
      <c r="H55" s="1" t="str">
        <f t="shared" si="2"/>
        <v>10,05%</v>
      </c>
      <c r="I55" s="1" t="str">
        <f t="shared" si="3"/>
        <v>5,33%</v>
      </c>
      <c r="L55" s="1"/>
      <c r="M55" s="1"/>
    </row>
    <row r="56" spans="1:19" ht="19">
      <c r="A56" s="45" t="s">
        <v>263</v>
      </c>
      <c r="B56" s="50" t="s">
        <v>196</v>
      </c>
      <c r="C56" s="53">
        <v>3.1800000000000002E-2</v>
      </c>
      <c r="E56" s="45" t="s">
        <v>169</v>
      </c>
      <c r="F56" s="58" t="s">
        <v>170</v>
      </c>
      <c r="G56" s="58" t="s">
        <v>171</v>
      </c>
      <c r="H56" s="1" t="str">
        <f t="shared" si="2"/>
        <v>8,21%</v>
      </c>
      <c r="I56" s="1" t="str">
        <f t="shared" si="3"/>
        <v>3,49%</v>
      </c>
      <c r="L56" s="1"/>
      <c r="M56" s="1"/>
    </row>
    <row r="57" spans="1:19" ht="19">
      <c r="A57" s="45" t="s">
        <v>264</v>
      </c>
      <c r="B57" s="50" t="s">
        <v>158</v>
      </c>
      <c r="C57" s="53">
        <v>3.5000000000000001E-3</v>
      </c>
      <c r="E57" s="45" t="s">
        <v>183</v>
      </c>
      <c r="F57" s="58" t="s">
        <v>184</v>
      </c>
      <c r="G57" s="58" t="s">
        <v>185</v>
      </c>
      <c r="H57" s="1" t="str">
        <f t="shared" si="2"/>
        <v>5,10%</v>
      </c>
      <c r="I57" s="1" t="str">
        <f t="shared" si="3"/>
        <v>0,38%</v>
      </c>
      <c r="L57" s="1"/>
      <c r="M57" s="1"/>
    </row>
    <row r="58" spans="1:19" ht="19">
      <c r="A58" s="45" t="s">
        <v>265</v>
      </c>
      <c r="B58" s="50" t="s">
        <v>158</v>
      </c>
      <c r="C58" s="53">
        <v>4.4000000000000003E-3</v>
      </c>
      <c r="E58" s="45" t="s">
        <v>149</v>
      </c>
      <c r="F58" s="58" t="s">
        <v>150</v>
      </c>
      <c r="G58" s="58" t="s">
        <v>151</v>
      </c>
      <c r="H58" s="1" t="str">
        <f t="shared" si="2"/>
        <v>5,20%</v>
      </c>
      <c r="I58" s="1" t="str">
        <f t="shared" si="3"/>
        <v>0,48%</v>
      </c>
      <c r="L58" s="1"/>
      <c r="M58" s="1"/>
    </row>
    <row r="59" spans="1:19" ht="19">
      <c r="A59" s="45" t="s">
        <v>266</v>
      </c>
      <c r="B59" s="50" t="s">
        <v>142</v>
      </c>
      <c r="C59" s="53">
        <v>6.6299999999999998E-2</v>
      </c>
      <c r="E59" s="45" t="s">
        <v>159</v>
      </c>
      <c r="F59" s="58" t="s">
        <v>160</v>
      </c>
      <c r="G59" s="58" t="s">
        <v>161</v>
      </c>
      <c r="H59" s="1" t="str">
        <f t="shared" si="2"/>
        <v>11,98%</v>
      </c>
      <c r="I59" s="1" t="str">
        <f t="shared" si="3"/>
        <v>7,26%</v>
      </c>
      <c r="K59" s="56"/>
      <c r="L59" s="1"/>
      <c r="M59" s="1"/>
    </row>
    <row r="60" spans="1:19" ht="19">
      <c r="A60" s="45" t="s">
        <v>267</v>
      </c>
      <c r="B60" s="50" t="s">
        <v>153</v>
      </c>
      <c r="C60" s="53">
        <v>2.6499999999999999E-2</v>
      </c>
      <c r="E60" s="45" t="s">
        <v>187</v>
      </c>
      <c r="F60" s="58" t="s">
        <v>188</v>
      </c>
      <c r="G60" s="58" t="s">
        <v>189</v>
      </c>
      <c r="H60" s="1" t="str">
        <f t="shared" si="2"/>
        <v>7,63%</v>
      </c>
      <c r="I60" s="1" t="str">
        <f t="shared" si="3"/>
        <v>2,91%</v>
      </c>
      <c r="L60" s="1"/>
      <c r="M60" s="1"/>
    </row>
    <row r="61" spans="1:19" ht="19">
      <c r="A61" s="45" t="s">
        <v>268</v>
      </c>
      <c r="B61" s="50" t="s">
        <v>158</v>
      </c>
      <c r="C61" s="53">
        <v>0</v>
      </c>
      <c r="E61" s="45" t="s">
        <v>179</v>
      </c>
      <c r="F61" s="58" t="s">
        <v>181</v>
      </c>
      <c r="G61" s="58" t="s">
        <v>180</v>
      </c>
      <c r="H61" s="1" t="str">
        <f t="shared" si="2"/>
        <v>4,72%</v>
      </c>
      <c r="I61" s="1" t="str">
        <f t="shared" si="3"/>
        <v>0,00%</v>
      </c>
      <c r="K61" s="56"/>
      <c r="L61" s="1"/>
      <c r="M61" s="1"/>
    </row>
    <row r="62" spans="1:19" ht="19">
      <c r="A62" s="45" t="s">
        <v>269</v>
      </c>
      <c r="B62" s="50" t="s">
        <v>142</v>
      </c>
      <c r="C62" s="53">
        <v>5.7500000000000002E-2</v>
      </c>
      <c r="E62" s="45" t="s">
        <v>199</v>
      </c>
      <c r="F62" s="58" t="s">
        <v>200</v>
      </c>
      <c r="G62" s="58" t="s">
        <v>201</v>
      </c>
      <c r="H62" s="1" t="str">
        <f t="shared" si="2"/>
        <v>11,02%</v>
      </c>
      <c r="I62" s="1" t="str">
        <f t="shared" si="3"/>
        <v>6,30%</v>
      </c>
      <c r="L62" s="1"/>
      <c r="M62" s="1"/>
    </row>
    <row r="63" spans="1:19" ht="19">
      <c r="A63" s="45" t="s">
        <v>270</v>
      </c>
      <c r="B63" s="50" t="s">
        <v>158</v>
      </c>
      <c r="C63" s="53">
        <v>3.1800000000000002E-2</v>
      </c>
      <c r="E63" s="45" t="s">
        <v>169</v>
      </c>
      <c r="F63" s="58" t="s">
        <v>170</v>
      </c>
      <c r="G63" s="58" t="s">
        <v>171</v>
      </c>
      <c r="H63" s="1" t="str">
        <f t="shared" si="2"/>
        <v>8,21%</v>
      </c>
      <c r="I63" s="1" t="str">
        <f t="shared" si="3"/>
        <v>3,49%</v>
      </c>
      <c r="K63" s="56"/>
      <c r="L63" s="1"/>
      <c r="M63" s="1"/>
    </row>
    <row r="64" spans="1:19" ht="19">
      <c r="A64" s="45" t="s">
        <v>271</v>
      </c>
      <c r="B64" s="50" t="s">
        <v>164</v>
      </c>
      <c r="C64" s="53">
        <v>2.2100000000000002E-2</v>
      </c>
      <c r="E64" s="45" t="s">
        <v>246</v>
      </c>
      <c r="F64" s="58" t="s">
        <v>247</v>
      </c>
      <c r="G64" s="58" t="s">
        <v>248</v>
      </c>
      <c r="H64" s="1" t="str">
        <f t="shared" si="2"/>
        <v>7,14%</v>
      </c>
      <c r="I64" s="1" t="str">
        <f t="shared" si="3"/>
        <v>2,42%</v>
      </c>
      <c r="L64" s="1"/>
      <c r="M64" s="1"/>
    </row>
    <row r="65" spans="1:13" ht="19">
      <c r="A65" s="45" t="s">
        <v>272</v>
      </c>
      <c r="B65" s="50" t="s">
        <v>158</v>
      </c>
      <c r="C65" s="53">
        <v>0</v>
      </c>
      <c r="E65" s="45" t="s">
        <v>179</v>
      </c>
      <c r="F65" s="58" t="s">
        <v>181</v>
      </c>
      <c r="G65" s="58" t="s">
        <v>180</v>
      </c>
      <c r="H65" s="1" t="str">
        <f t="shared" si="2"/>
        <v>4,72%</v>
      </c>
      <c r="I65" s="1" t="str">
        <f t="shared" si="3"/>
        <v>0,00%</v>
      </c>
      <c r="K65" s="56"/>
      <c r="L65" s="1"/>
      <c r="M65" s="1"/>
    </row>
    <row r="66" spans="1:13" ht="19">
      <c r="A66" s="45" t="s">
        <v>273</v>
      </c>
      <c r="B66" s="50" t="s">
        <v>164</v>
      </c>
      <c r="C66" s="53">
        <v>3.9800000000000002E-2</v>
      </c>
      <c r="E66" s="45" t="s">
        <v>154</v>
      </c>
      <c r="F66" s="58" t="s">
        <v>155</v>
      </c>
      <c r="G66" s="58" t="s">
        <v>156</v>
      </c>
      <c r="H66" s="1" t="str">
        <f t="shared" si="2"/>
        <v>9,08%</v>
      </c>
      <c r="I66" s="1" t="str">
        <f t="shared" si="3"/>
        <v>4,36%</v>
      </c>
      <c r="L66" s="1"/>
      <c r="M66" s="1"/>
    </row>
    <row r="67" spans="1:13" ht="19">
      <c r="A67" s="45" t="s">
        <v>274</v>
      </c>
      <c r="B67" s="50" t="s">
        <v>196</v>
      </c>
      <c r="C67" s="53">
        <v>5.3E-3</v>
      </c>
      <c r="E67" s="45" t="s">
        <v>203</v>
      </c>
      <c r="F67" s="58" t="s">
        <v>204</v>
      </c>
      <c r="G67" s="58" t="s">
        <v>205</v>
      </c>
      <c r="H67" s="1" t="str">
        <f t="shared" si="2"/>
        <v>5,31%</v>
      </c>
      <c r="I67" s="1" t="str">
        <f t="shared" si="3"/>
        <v>0,59%</v>
      </c>
      <c r="K67" s="56"/>
      <c r="L67" s="1"/>
      <c r="M67" s="1"/>
    </row>
    <row r="68" spans="1:13" ht="19">
      <c r="A68" s="45" t="s">
        <v>275</v>
      </c>
      <c r="B68" s="50" t="s">
        <v>153</v>
      </c>
      <c r="C68" s="53">
        <v>1.95E-2</v>
      </c>
      <c r="E68" s="45" t="s">
        <v>276</v>
      </c>
      <c r="F68" s="58" t="s">
        <v>277</v>
      </c>
      <c r="G68" s="58" t="s">
        <v>278</v>
      </c>
      <c r="H68" s="1" t="str">
        <f t="shared" si="2"/>
        <v>6,85%</v>
      </c>
      <c r="I68" s="1" t="str">
        <f t="shared" si="3"/>
        <v>2,13%</v>
      </c>
      <c r="L68" s="1"/>
      <c r="M68" s="1"/>
    </row>
    <row r="69" spans="1:13" ht="19">
      <c r="A69" s="45" t="s">
        <v>279</v>
      </c>
      <c r="B69" s="50" t="s">
        <v>158</v>
      </c>
      <c r="C69" s="53">
        <v>7.4999999999999997E-3</v>
      </c>
      <c r="E69" s="45" t="s">
        <v>212</v>
      </c>
      <c r="F69" s="58" t="s">
        <v>213</v>
      </c>
      <c r="G69" s="58" t="s">
        <v>214</v>
      </c>
      <c r="H69" s="1" t="str">
        <f t="shared" si="2"/>
        <v>5,54%</v>
      </c>
      <c r="I69" s="1" t="str">
        <f t="shared" si="3"/>
        <v>0,82%</v>
      </c>
      <c r="K69" s="56"/>
      <c r="L69" s="1"/>
      <c r="M69" s="1"/>
    </row>
    <row r="70" spans="1:13" ht="19">
      <c r="A70" s="45" t="s">
        <v>280</v>
      </c>
      <c r="B70" s="50" t="s">
        <v>196</v>
      </c>
      <c r="C70" s="53">
        <v>1.95E-2</v>
      </c>
      <c r="E70" s="45" t="s">
        <v>276</v>
      </c>
      <c r="F70" s="58" t="s">
        <v>277</v>
      </c>
      <c r="G70" s="58" t="s">
        <v>278</v>
      </c>
      <c r="H70" s="1" t="str">
        <f t="shared" ref="H70:H101" si="4">SUBSTITUTE(F70:F226,".",",")</f>
        <v>6,85%</v>
      </c>
      <c r="I70" s="1" t="str">
        <f t="shared" ref="I70:I101" si="5">SUBSTITUTE(G70:G226,".",",")</f>
        <v>2,13%</v>
      </c>
      <c r="L70" s="1"/>
      <c r="M70" s="1"/>
    </row>
    <row r="71" spans="1:13" ht="19">
      <c r="A71" s="45" t="s">
        <v>281</v>
      </c>
      <c r="B71" s="50" t="s">
        <v>196</v>
      </c>
      <c r="C71" s="53">
        <v>1.6799999999999999E-2</v>
      </c>
      <c r="E71" s="45" t="s">
        <v>233</v>
      </c>
      <c r="F71" s="58" t="s">
        <v>235</v>
      </c>
      <c r="G71" s="58" t="s">
        <v>236</v>
      </c>
      <c r="H71" s="1" t="str">
        <f t="shared" si="4"/>
        <v>6,56%</v>
      </c>
      <c r="I71" s="1" t="str">
        <f t="shared" si="5"/>
        <v>1,84%</v>
      </c>
      <c r="K71" s="56"/>
      <c r="L71" s="1"/>
      <c r="M71" s="1"/>
    </row>
    <row r="72" spans="1:13" ht="19">
      <c r="A72" s="45" t="s">
        <v>282</v>
      </c>
      <c r="B72" s="50" t="s">
        <v>148</v>
      </c>
      <c r="C72" s="53">
        <v>6.6299999999999998E-2</v>
      </c>
      <c r="E72" s="45" t="s">
        <v>159</v>
      </c>
      <c r="F72" s="58" t="s">
        <v>160</v>
      </c>
      <c r="G72" s="58" t="s">
        <v>161</v>
      </c>
      <c r="H72" s="1" t="str">
        <f t="shared" si="4"/>
        <v>11,98%</v>
      </c>
      <c r="I72" s="1" t="str">
        <f t="shared" si="5"/>
        <v>7,26%</v>
      </c>
      <c r="K72" s="1"/>
      <c r="L72" s="1"/>
      <c r="M72" s="1"/>
    </row>
    <row r="73" spans="1:13" ht="19">
      <c r="A73" s="45" t="s">
        <v>283</v>
      </c>
      <c r="B73" s="50" t="s">
        <v>158</v>
      </c>
      <c r="C73" s="53">
        <v>7.4999999999999997E-3</v>
      </c>
      <c r="E73" s="45" t="s">
        <v>212</v>
      </c>
      <c r="F73" s="58" t="s">
        <v>213</v>
      </c>
      <c r="G73" s="58" t="s">
        <v>214</v>
      </c>
      <c r="H73" s="1" t="str">
        <f t="shared" si="4"/>
        <v>5,54%</v>
      </c>
      <c r="I73" s="1" t="str">
        <f t="shared" si="5"/>
        <v>0,82%</v>
      </c>
      <c r="K73" s="1"/>
      <c r="L73" s="1"/>
      <c r="M73" s="1"/>
    </row>
    <row r="74" spans="1:13" ht="19">
      <c r="A74" s="45" t="s">
        <v>284</v>
      </c>
      <c r="B74" s="50" t="s">
        <v>158</v>
      </c>
      <c r="C74" s="53">
        <v>5.3E-3</v>
      </c>
      <c r="E74" s="45" t="s">
        <v>203</v>
      </c>
      <c r="F74" s="58" t="s">
        <v>204</v>
      </c>
      <c r="G74" s="58" t="s">
        <v>205</v>
      </c>
      <c r="H74" s="1" t="str">
        <f t="shared" si="4"/>
        <v>5,31%</v>
      </c>
      <c r="I74" s="1" t="str">
        <f t="shared" si="5"/>
        <v>0,59%</v>
      </c>
      <c r="K74" s="1"/>
      <c r="L74" s="1"/>
      <c r="M74" s="1"/>
    </row>
    <row r="75" spans="1:13" ht="19">
      <c r="A75" s="45" t="s">
        <v>285</v>
      </c>
      <c r="B75" s="50" t="s">
        <v>148</v>
      </c>
      <c r="C75" s="53">
        <v>6.1999999999999998E-3</v>
      </c>
      <c r="E75" s="45" t="s">
        <v>228</v>
      </c>
      <c r="F75" s="58" t="s">
        <v>229</v>
      </c>
      <c r="G75" s="58" t="s">
        <v>230</v>
      </c>
      <c r="H75" s="1" t="str">
        <f t="shared" si="4"/>
        <v>5,40%</v>
      </c>
      <c r="I75" s="1" t="str">
        <f t="shared" si="5"/>
        <v>0,68%</v>
      </c>
      <c r="K75" s="1"/>
      <c r="L75" s="1"/>
      <c r="M75" s="1"/>
    </row>
    <row r="76" spans="1:13" ht="19">
      <c r="A76" s="45" t="s">
        <v>286</v>
      </c>
      <c r="B76" s="50" t="s">
        <v>158</v>
      </c>
      <c r="C76" s="53">
        <v>1.95E-2</v>
      </c>
      <c r="E76" s="45" t="s">
        <v>276</v>
      </c>
      <c r="F76" s="58" t="s">
        <v>277</v>
      </c>
      <c r="G76" s="58" t="s">
        <v>278</v>
      </c>
      <c r="H76" s="1" t="str">
        <f t="shared" si="4"/>
        <v>6,85%</v>
      </c>
      <c r="I76" s="1" t="str">
        <f t="shared" si="5"/>
        <v>2,13%</v>
      </c>
      <c r="K76" s="1"/>
      <c r="L76" s="1"/>
      <c r="M76" s="1"/>
    </row>
    <row r="77" spans="1:13" ht="19">
      <c r="A77" s="45" t="s">
        <v>287</v>
      </c>
      <c r="B77" s="50" t="s">
        <v>173</v>
      </c>
      <c r="C77" s="53">
        <v>4.8599999999999997E-2</v>
      </c>
      <c r="E77" s="45" t="s">
        <v>192</v>
      </c>
      <c r="F77" s="58" t="s">
        <v>193</v>
      </c>
      <c r="G77" s="58" t="s">
        <v>194</v>
      </c>
      <c r="H77" s="1" t="str">
        <f t="shared" si="4"/>
        <v>10,05%</v>
      </c>
      <c r="I77" s="1" t="str">
        <f t="shared" si="5"/>
        <v>5,33%</v>
      </c>
      <c r="K77" s="1"/>
      <c r="L77" s="1"/>
      <c r="M77" s="1"/>
    </row>
    <row r="78" spans="1:13" ht="19">
      <c r="A78" s="45" t="s">
        <v>288</v>
      </c>
      <c r="B78" s="50" t="s">
        <v>196</v>
      </c>
      <c r="C78" s="53">
        <v>6.1999999999999998E-3</v>
      </c>
      <c r="E78" s="45" t="s">
        <v>228</v>
      </c>
      <c r="F78" s="58" t="s">
        <v>229</v>
      </c>
      <c r="G78" s="58" t="s">
        <v>230</v>
      </c>
      <c r="H78" s="1" t="str">
        <f t="shared" si="4"/>
        <v>5,40%</v>
      </c>
      <c r="I78" s="1" t="str">
        <f t="shared" si="5"/>
        <v>0,68%</v>
      </c>
      <c r="K78" s="1"/>
      <c r="L78" s="1"/>
      <c r="M78" s="1"/>
    </row>
    <row r="79" spans="1:13" ht="19">
      <c r="A79" s="45" t="s">
        <v>289</v>
      </c>
      <c r="B79" s="50" t="s">
        <v>158</v>
      </c>
      <c r="C79" s="53">
        <v>0</v>
      </c>
      <c r="E79" s="45" t="s">
        <v>179</v>
      </c>
      <c r="F79" s="58" t="s">
        <v>181</v>
      </c>
      <c r="G79" s="58" t="s">
        <v>180</v>
      </c>
      <c r="H79" s="1" t="str">
        <f t="shared" si="4"/>
        <v>4,72%</v>
      </c>
      <c r="I79" s="1" t="str">
        <f t="shared" si="5"/>
        <v>0,00%</v>
      </c>
      <c r="K79" s="1"/>
      <c r="L79" s="1"/>
      <c r="M79" s="1"/>
    </row>
    <row r="80" spans="1:13" ht="19">
      <c r="A80" s="45" t="s">
        <v>290</v>
      </c>
      <c r="B80" s="50" t="s">
        <v>148</v>
      </c>
      <c r="C80" s="53">
        <v>3.9800000000000002E-2</v>
      </c>
      <c r="E80" s="45" t="s">
        <v>154</v>
      </c>
      <c r="F80" s="58" t="s">
        <v>155</v>
      </c>
      <c r="G80" s="58" t="s">
        <v>156</v>
      </c>
      <c r="H80" s="1" t="str">
        <f t="shared" si="4"/>
        <v>9,08%</v>
      </c>
      <c r="I80" s="1" t="str">
        <f t="shared" si="5"/>
        <v>4,36%</v>
      </c>
      <c r="K80" s="1"/>
      <c r="L80" s="1"/>
      <c r="M80" s="1"/>
    </row>
    <row r="81" spans="1:13" ht="19">
      <c r="A81" s="45" t="s">
        <v>291</v>
      </c>
      <c r="B81" s="50" t="s">
        <v>153</v>
      </c>
      <c r="C81" s="53">
        <v>1.95E-2</v>
      </c>
      <c r="E81" s="45" t="s">
        <v>276</v>
      </c>
      <c r="F81" s="58" t="s">
        <v>277</v>
      </c>
      <c r="G81" s="58" t="s">
        <v>278</v>
      </c>
      <c r="H81" s="1" t="str">
        <f t="shared" si="4"/>
        <v>6,85%</v>
      </c>
      <c r="I81" s="1" t="str">
        <f t="shared" si="5"/>
        <v>2,13%</v>
      </c>
      <c r="K81" s="1"/>
      <c r="L81" s="1"/>
      <c r="M81" s="1"/>
    </row>
    <row r="82" spans="1:13" ht="19">
      <c r="A82" s="45" t="s">
        <v>292</v>
      </c>
      <c r="B82" s="50" t="s">
        <v>142</v>
      </c>
      <c r="C82" s="53">
        <v>4.8599999999999997E-2</v>
      </c>
      <c r="E82" s="45" t="s">
        <v>192</v>
      </c>
      <c r="F82" s="58" t="s">
        <v>193</v>
      </c>
      <c r="G82" s="58" t="s">
        <v>194</v>
      </c>
      <c r="H82" s="1" t="str">
        <f t="shared" si="4"/>
        <v>10,05%</v>
      </c>
      <c r="I82" s="1" t="str">
        <f t="shared" si="5"/>
        <v>5,33%</v>
      </c>
      <c r="K82" s="1"/>
      <c r="L82" s="1"/>
      <c r="M82" s="1"/>
    </row>
    <row r="83" spans="1:13" ht="19">
      <c r="A83" s="45" t="s">
        <v>293</v>
      </c>
      <c r="B83" s="50" t="s">
        <v>196</v>
      </c>
      <c r="C83" s="53">
        <v>4.4000000000000003E-3</v>
      </c>
      <c r="E83" s="45" t="s">
        <v>149</v>
      </c>
      <c r="F83" s="58" t="s">
        <v>150</v>
      </c>
      <c r="G83" s="58" t="s">
        <v>151</v>
      </c>
      <c r="H83" s="1" t="str">
        <f t="shared" si="4"/>
        <v>5,20%</v>
      </c>
      <c r="I83" s="1" t="str">
        <f t="shared" si="5"/>
        <v>0,48%</v>
      </c>
      <c r="K83" s="1"/>
      <c r="L83" s="1"/>
      <c r="M83" s="1"/>
    </row>
    <row r="84" spans="1:13" ht="19">
      <c r="A84" s="45" t="s">
        <v>294</v>
      </c>
      <c r="B84" s="50" t="s">
        <v>148</v>
      </c>
      <c r="C84" s="53">
        <v>6.1999999999999998E-3</v>
      </c>
      <c r="E84" s="45" t="s">
        <v>228</v>
      </c>
      <c r="F84" s="58" t="s">
        <v>229</v>
      </c>
      <c r="G84" s="58" t="s">
        <v>230</v>
      </c>
      <c r="H84" s="1" t="str">
        <f t="shared" si="4"/>
        <v>5,40%</v>
      </c>
      <c r="I84" s="1" t="str">
        <f t="shared" si="5"/>
        <v>0,68%</v>
      </c>
      <c r="K84" s="1"/>
      <c r="L84" s="1"/>
      <c r="M84" s="1"/>
    </row>
    <row r="85" spans="1:13" ht="19">
      <c r="A85" s="45" t="s">
        <v>295</v>
      </c>
      <c r="B85" s="50" t="s">
        <v>153</v>
      </c>
      <c r="C85" s="53">
        <v>4.8599999999999997E-2</v>
      </c>
      <c r="E85" s="45" t="s">
        <v>192</v>
      </c>
      <c r="F85" s="58" t="s">
        <v>193</v>
      </c>
      <c r="G85" s="58" t="s">
        <v>194</v>
      </c>
      <c r="H85" s="1" t="str">
        <f t="shared" si="4"/>
        <v>10,05%</v>
      </c>
      <c r="I85" s="1" t="str">
        <f t="shared" si="5"/>
        <v>5,33%</v>
      </c>
      <c r="K85" s="1"/>
      <c r="L85" s="1"/>
      <c r="M85" s="1"/>
    </row>
    <row r="86" spans="1:13" ht="19">
      <c r="A86" s="45" t="s">
        <v>296</v>
      </c>
      <c r="B86" s="50" t="s">
        <v>196</v>
      </c>
      <c r="C86" s="53">
        <v>7.9600000000000004E-2</v>
      </c>
      <c r="E86" s="45" t="s">
        <v>239</v>
      </c>
      <c r="F86" s="58" t="s">
        <v>240</v>
      </c>
      <c r="G86" s="58" t="s">
        <v>241</v>
      </c>
      <c r="H86" s="1" t="str">
        <f t="shared" si="4"/>
        <v>13,44%</v>
      </c>
      <c r="I86" s="1" t="str">
        <f t="shared" si="5"/>
        <v>8,72%</v>
      </c>
      <c r="K86" s="1"/>
      <c r="L86" s="1"/>
      <c r="M86" s="1"/>
    </row>
    <row r="87" spans="1:13" ht="19">
      <c r="A87" s="45" t="s">
        <v>297</v>
      </c>
      <c r="B87" s="50" t="s">
        <v>153</v>
      </c>
      <c r="C87" s="53">
        <v>1.06E-2</v>
      </c>
      <c r="E87" s="45" t="s">
        <v>251</v>
      </c>
      <c r="F87" s="58" t="s">
        <v>252</v>
      </c>
      <c r="G87" s="58" t="s">
        <v>253</v>
      </c>
      <c r="H87" s="1" t="str">
        <f t="shared" si="4"/>
        <v>5,88%</v>
      </c>
      <c r="I87" s="1" t="str">
        <f t="shared" si="5"/>
        <v>1,16%</v>
      </c>
      <c r="K87" s="1"/>
      <c r="L87" s="1"/>
      <c r="M87" s="1"/>
    </row>
    <row r="88" spans="1:13" ht="19">
      <c r="A88" s="45" t="s">
        <v>298</v>
      </c>
      <c r="B88" s="50" t="s">
        <v>148</v>
      </c>
      <c r="C88" s="53">
        <v>0.17499999999999999</v>
      </c>
      <c r="E88" s="45" t="s">
        <v>299</v>
      </c>
      <c r="F88" s="58" t="s">
        <v>300</v>
      </c>
      <c r="G88" s="58" t="s">
        <v>301</v>
      </c>
      <c r="H88" s="1" t="str">
        <f t="shared" si="4"/>
        <v>23,90%</v>
      </c>
      <c r="I88" s="1" t="str">
        <f t="shared" si="5"/>
        <v>19,18%</v>
      </c>
      <c r="K88" s="1"/>
      <c r="L88" s="1"/>
      <c r="M88" s="1"/>
    </row>
    <row r="89" spans="1:13" ht="19">
      <c r="A89" s="45" t="s">
        <v>302</v>
      </c>
      <c r="B89" s="50" t="s">
        <v>158</v>
      </c>
      <c r="C89" s="53">
        <v>0</v>
      </c>
      <c r="E89" s="45" t="s">
        <v>179</v>
      </c>
      <c r="F89" s="58" t="s">
        <v>181</v>
      </c>
      <c r="G89" s="58" t="s">
        <v>180</v>
      </c>
      <c r="H89" s="1" t="str">
        <f t="shared" si="4"/>
        <v>4,72%</v>
      </c>
      <c r="I89" s="1" t="str">
        <f t="shared" si="5"/>
        <v>0,00%</v>
      </c>
      <c r="K89" s="1"/>
      <c r="L89" s="1"/>
      <c r="M89" s="1"/>
    </row>
    <row r="90" spans="1:13" ht="19">
      <c r="A90" s="45" t="s">
        <v>303</v>
      </c>
      <c r="B90" s="50" t="s">
        <v>153</v>
      </c>
      <c r="C90" s="53">
        <v>1.06E-2</v>
      </c>
      <c r="E90" s="45" t="s">
        <v>251</v>
      </c>
      <c r="F90" s="58" t="s">
        <v>252</v>
      </c>
      <c r="G90" s="58" t="s">
        <v>253</v>
      </c>
      <c r="H90" s="1" t="str">
        <f t="shared" si="4"/>
        <v>5,88%</v>
      </c>
      <c r="I90" s="1" t="str">
        <f t="shared" si="5"/>
        <v>1,16%</v>
      </c>
      <c r="K90" s="1"/>
      <c r="L90" s="1"/>
      <c r="M90" s="1"/>
    </row>
    <row r="91" spans="1:13" ht="19">
      <c r="A91" s="45" t="s">
        <v>304</v>
      </c>
      <c r="B91" s="50" t="s">
        <v>158</v>
      </c>
      <c r="C91" s="53">
        <v>0</v>
      </c>
      <c r="E91" s="45" t="s">
        <v>179</v>
      </c>
      <c r="F91" s="58" t="s">
        <v>181</v>
      </c>
      <c r="G91" s="58" t="s">
        <v>180</v>
      </c>
      <c r="H91" s="1" t="str">
        <f t="shared" si="4"/>
        <v>4,72%</v>
      </c>
      <c r="I91" s="1" t="str">
        <f t="shared" si="5"/>
        <v>0,00%</v>
      </c>
      <c r="K91" s="1"/>
      <c r="L91" s="1"/>
      <c r="M91" s="1"/>
    </row>
    <row r="92" spans="1:13" ht="19">
      <c r="A92" s="45" t="s">
        <v>305</v>
      </c>
      <c r="B92" s="50" t="s">
        <v>196</v>
      </c>
      <c r="C92" s="53">
        <v>5.3E-3</v>
      </c>
      <c r="E92" s="45" t="s">
        <v>203</v>
      </c>
      <c r="F92" s="58" t="s">
        <v>204</v>
      </c>
      <c r="G92" s="58" t="s">
        <v>205</v>
      </c>
      <c r="H92" s="1" t="str">
        <f t="shared" si="4"/>
        <v>5,31%</v>
      </c>
      <c r="I92" s="1" t="str">
        <f t="shared" si="5"/>
        <v>0,59%</v>
      </c>
      <c r="K92" s="1"/>
      <c r="L92" s="1"/>
      <c r="M92" s="1"/>
    </row>
    <row r="93" spans="1:13" ht="19">
      <c r="A93" s="45" t="s">
        <v>306</v>
      </c>
      <c r="B93" s="50" t="s">
        <v>153</v>
      </c>
      <c r="C93" s="53">
        <v>3.1800000000000002E-2</v>
      </c>
      <c r="E93" s="45" t="s">
        <v>169</v>
      </c>
      <c r="F93" s="58" t="s">
        <v>170</v>
      </c>
      <c r="G93" s="58" t="s">
        <v>171</v>
      </c>
      <c r="H93" s="1" t="str">
        <f t="shared" si="4"/>
        <v>8,21%</v>
      </c>
      <c r="I93" s="1" t="str">
        <f t="shared" si="5"/>
        <v>3,49%</v>
      </c>
      <c r="K93" s="1"/>
      <c r="L93" s="1"/>
      <c r="M93" s="1"/>
    </row>
    <row r="94" spans="1:13" ht="19">
      <c r="A94" s="45" t="s">
        <v>307</v>
      </c>
      <c r="B94" s="50" t="s">
        <v>196</v>
      </c>
      <c r="C94" s="53">
        <v>1.06E-2</v>
      </c>
      <c r="E94" s="45" t="s">
        <v>251</v>
      </c>
      <c r="F94" s="58" t="s">
        <v>252</v>
      </c>
      <c r="G94" s="58" t="s">
        <v>253</v>
      </c>
      <c r="H94" s="1" t="str">
        <f t="shared" si="4"/>
        <v>5,88%</v>
      </c>
      <c r="I94" s="1" t="str">
        <f t="shared" si="5"/>
        <v>1,16%</v>
      </c>
      <c r="K94" s="1"/>
      <c r="L94" s="1"/>
      <c r="M94" s="1"/>
    </row>
    <row r="95" spans="1:13" ht="19">
      <c r="A95" s="45" t="s">
        <v>308</v>
      </c>
      <c r="B95" s="50" t="s">
        <v>196</v>
      </c>
      <c r="C95" s="53">
        <v>5.7500000000000002E-2</v>
      </c>
      <c r="E95" s="45" t="s">
        <v>199</v>
      </c>
      <c r="F95" s="58" t="s">
        <v>200</v>
      </c>
      <c r="G95" s="58" t="s">
        <v>201</v>
      </c>
      <c r="H95" s="1" t="str">
        <f t="shared" si="4"/>
        <v>11,02%</v>
      </c>
      <c r="I95" s="1" t="str">
        <f t="shared" si="5"/>
        <v>6,30%</v>
      </c>
      <c r="K95" s="1"/>
      <c r="L95" s="1"/>
      <c r="M95" s="1"/>
    </row>
    <row r="96" spans="1:13" ht="19">
      <c r="A96" s="45" t="s">
        <v>309</v>
      </c>
      <c r="B96" s="50" t="s">
        <v>142</v>
      </c>
      <c r="C96" s="53">
        <v>6.6299999999999998E-2</v>
      </c>
      <c r="E96" s="45" t="s">
        <v>159</v>
      </c>
      <c r="F96" s="58" t="s">
        <v>160</v>
      </c>
      <c r="G96" s="58" t="s">
        <v>161</v>
      </c>
      <c r="H96" s="1" t="str">
        <f t="shared" si="4"/>
        <v>11,98%</v>
      </c>
      <c r="I96" s="1" t="str">
        <f t="shared" si="5"/>
        <v>7,26%</v>
      </c>
      <c r="K96" s="1"/>
      <c r="L96" s="1"/>
      <c r="M96" s="1"/>
    </row>
    <row r="97" spans="1:13" ht="19">
      <c r="A97" s="45" t="s">
        <v>310</v>
      </c>
      <c r="B97" s="50" t="s">
        <v>158</v>
      </c>
      <c r="C97" s="53">
        <v>7.4999999999999997E-3</v>
      </c>
      <c r="E97" s="45" t="s">
        <v>212</v>
      </c>
      <c r="F97" s="58" t="s">
        <v>213</v>
      </c>
      <c r="G97" s="58" t="s">
        <v>214</v>
      </c>
      <c r="H97" s="1" t="str">
        <f t="shared" si="4"/>
        <v>5,54%</v>
      </c>
      <c r="I97" s="1" t="str">
        <f t="shared" si="5"/>
        <v>0,82%</v>
      </c>
      <c r="K97" s="1"/>
      <c r="L97" s="1"/>
      <c r="M97" s="1"/>
    </row>
    <row r="98" spans="1:13" ht="19">
      <c r="A98" s="45" t="s">
        <v>311</v>
      </c>
      <c r="B98" s="50" t="s">
        <v>196</v>
      </c>
      <c r="C98" s="53">
        <v>1.41E-2</v>
      </c>
      <c r="E98" s="45" t="s">
        <v>174</v>
      </c>
      <c r="F98" s="58" t="s">
        <v>175</v>
      </c>
      <c r="G98" s="58" t="s">
        <v>176</v>
      </c>
      <c r="H98" s="1" t="str">
        <f t="shared" si="4"/>
        <v>6,27%</v>
      </c>
      <c r="I98" s="1" t="str">
        <f t="shared" si="5"/>
        <v>1,55%</v>
      </c>
      <c r="K98" s="1"/>
      <c r="L98" s="1"/>
      <c r="M98" s="1"/>
    </row>
    <row r="99" spans="1:13" ht="19">
      <c r="A99" s="45" t="s">
        <v>312</v>
      </c>
      <c r="B99" s="50" t="s">
        <v>164</v>
      </c>
      <c r="C99" s="53">
        <v>1.41E-2</v>
      </c>
      <c r="E99" s="45" t="s">
        <v>174</v>
      </c>
      <c r="F99" s="58" t="s">
        <v>175</v>
      </c>
      <c r="G99" s="58" t="s">
        <v>176</v>
      </c>
      <c r="H99" s="1" t="str">
        <f t="shared" si="4"/>
        <v>6,27%</v>
      </c>
      <c r="I99" s="1" t="str">
        <f t="shared" si="5"/>
        <v>1,55%</v>
      </c>
      <c r="K99" s="1"/>
      <c r="L99" s="1"/>
      <c r="M99" s="1"/>
    </row>
    <row r="100" spans="1:13" ht="19">
      <c r="A100" s="45" t="s">
        <v>313</v>
      </c>
      <c r="B100" s="50" t="s">
        <v>153</v>
      </c>
      <c r="C100" s="53">
        <v>5.7500000000000002E-2</v>
      </c>
      <c r="E100" s="45" t="s">
        <v>199</v>
      </c>
      <c r="F100" s="58" t="s">
        <v>200</v>
      </c>
      <c r="G100" s="58" t="s">
        <v>201</v>
      </c>
      <c r="H100" s="1" t="str">
        <f t="shared" si="4"/>
        <v>11,02%</v>
      </c>
      <c r="I100" s="1" t="str">
        <f t="shared" si="5"/>
        <v>6,30%</v>
      </c>
      <c r="K100" s="1"/>
      <c r="L100" s="1"/>
      <c r="M100" s="1"/>
    </row>
    <row r="101" spans="1:13" ht="19">
      <c r="A101" s="45" t="s">
        <v>314</v>
      </c>
      <c r="B101" s="50" t="s">
        <v>196</v>
      </c>
      <c r="C101" s="53">
        <v>5.7500000000000002E-2</v>
      </c>
      <c r="E101" s="45" t="s">
        <v>199</v>
      </c>
      <c r="F101" s="58" t="s">
        <v>200</v>
      </c>
      <c r="G101" s="58" t="s">
        <v>201</v>
      </c>
      <c r="H101" s="1" t="str">
        <f t="shared" si="4"/>
        <v>11,02%</v>
      </c>
      <c r="I101" s="1" t="str">
        <f t="shared" si="5"/>
        <v>6,30%</v>
      </c>
      <c r="K101" s="1"/>
      <c r="L101" s="1"/>
      <c r="M101" s="1"/>
    </row>
    <row r="102" spans="1:13" ht="19">
      <c r="A102" s="45" t="s">
        <v>315</v>
      </c>
      <c r="B102" s="50" t="s">
        <v>153</v>
      </c>
      <c r="C102" s="53">
        <v>3.9800000000000002E-2</v>
      </c>
      <c r="E102" s="45" t="s">
        <v>154</v>
      </c>
      <c r="F102" s="58" t="s">
        <v>155</v>
      </c>
      <c r="G102" s="58" t="s">
        <v>156</v>
      </c>
      <c r="H102" s="1" t="str">
        <f t="shared" ref="H102:H133" si="6">SUBSTITUTE(F102:F258,".",",")</f>
        <v>9,08%</v>
      </c>
      <c r="I102" s="1" t="str">
        <f t="shared" ref="I102:I133" si="7">SUBSTITUTE(G102:G258,".",",")</f>
        <v>4,36%</v>
      </c>
      <c r="K102" s="1"/>
      <c r="L102" s="1"/>
      <c r="M102" s="1"/>
    </row>
    <row r="103" spans="1:13" ht="19">
      <c r="A103" s="45" t="s">
        <v>316</v>
      </c>
      <c r="B103" s="50" t="s">
        <v>173</v>
      </c>
      <c r="C103" s="53">
        <v>1.95E-2</v>
      </c>
      <c r="E103" s="45" t="s">
        <v>276</v>
      </c>
      <c r="F103" s="58" t="s">
        <v>277</v>
      </c>
      <c r="G103" s="58" t="s">
        <v>278</v>
      </c>
      <c r="H103" s="1" t="str">
        <f t="shared" si="6"/>
        <v>6,85%</v>
      </c>
      <c r="I103" s="1" t="str">
        <f t="shared" si="7"/>
        <v>2,13%</v>
      </c>
      <c r="K103" s="1"/>
      <c r="L103" s="1"/>
      <c r="M103" s="1"/>
    </row>
    <row r="104" spans="1:13" ht="19">
      <c r="A104" s="45" t="s">
        <v>317</v>
      </c>
      <c r="B104" s="50" t="s">
        <v>142</v>
      </c>
      <c r="C104" s="53">
        <v>2.2100000000000002E-2</v>
      </c>
      <c r="E104" s="45" t="s">
        <v>246</v>
      </c>
      <c r="F104" s="58" t="s">
        <v>247</v>
      </c>
      <c r="G104" s="58" t="s">
        <v>248</v>
      </c>
      <c r="H104" s="1" t="str">
        <f t="shared" si="6"/>
        <v>7,14%</v>
      </c>
      <c r="I104" s="1" t="str">
        <f t="shared" si="7"/>
        <v>2,42%</v>
      </c>
      <c r="K104" s="1"/>
      <c r="L104" s="1"/>
      <c r="M104" s="1"/>
    </row>
    <row r="105" spans="1:13" ht="19">
      <c r="A105" s="45" t="s">
        <v>318</v>
      </c>
      <c r="B105" s="50" t="s">
        <v>142</v>
      </c>
      <c r="C105" s="53">
        <v>7.9600000000000004E-2</v>
      </c>
      <c r="E105" s="45" t="s">
        <v>239</v>
      </c>
      <c r="F105" s="58" t="s">
        <v>240</v>
      </c>
      <c r="G105" s="58" t="s">
        <v>241</v>
      </c>
      <c r="H105" s="1" t="str">
        <f t="shared" si="6"/>
        <v>13,44%</v>
      </c>
      <c r="I105" s="1" t="str">
        <f t="shared" si="7"/>
        <v>8,72%</v>
      </c>
      <c r="K105" s="1"/>
      <c r="L105" s="1"/>
      <c r="M105" s="1"/>
    </row>
    <row r="106" spans="1:13" ht="19">
      <c r="A106" s="45" t="s">
        <v>319</v>
      </c>
      <c r="B106" s="50" t="s">
        <v>142</v>
      </c>
      <c r="C106" s="53">
        <v>3.1800000000000002E-2</v>
      </c>
      <c r="E106" s="45" t="s">
        <v>169</v>
      </c>
      <c r="F106" s="58" t="s">
        <v>170</v>
      </c>
      <c r="G106" s="58" t="s">
        <v>171</v>
      </c>
      <c r="H106" s="1" t="str">
        <f t="shared" si="6"/>
        <v>8,21%</v>
      </c>
      <c r="I106" s="1" t="str">
        <f t="shared" si="7"/>
        <v>3,49%</v>
      </c>
      <c r="K106" s="1"/>
      <c r="L106" s="1"/>
      <c r="M106" s="1"/>
    </row>
    <row r="107" spans="1:13" ht="19">
      <c r="A107" s="45" t="s">
        <v>320</v>
      </c>
      <c r="B107" s="50" t="s">
        <v>158</v>
      </c>
      <c r="C107" s="53">
        <v>0</v>
      </c>
      <c r="E107" s="45" t="s">
        <v>179</v>
      </c>
      <c r="F107" s="58" t="s">
        <v>181</v>
      </c>
      <c r="G107" s="58" t="s">
        <v>180</v>
      </c>
      <c r="H107" s="1" t="str">
        <f t="shared" si="6"/>
        <v>4,72%</v>
      </c>
      <c r="I107" s="1" t="str">
        <f t="shared" si="7"/>
        <v>0,00%</v>
      </c>
      <c r="K107" s="1"/>
      <c r="L107" s="1"/>
      <c r="M107" s="1"/>
    </row>
    <row r="108" spans="1:13" ht="19">
      <c r="A108" s="45" t="s">
        <v>321</v>
      </c>
      <c r="B108" s="50" t="s">
        <v>178</v>
      </c>
      <c r="C108" s="53">
        <v>0</v>
      </c>
      <c r="E108" s="45" t="s">
        <v>179</v>
      </c>
      <c r="F108" s="58" t="s">
        <v>181</v>
      </c>
      <c r="G108" s="58" t="s">
        <v>180</v>
      </c>
      <c r="H108" s="1" t="str">
        <f t="shared" si="6"/>
        <v>4,72%</v>
      </c>
      <c r="I108" s="1" t="str">
        <f t="shared" si="7"/>
        <v>0,00%</v>
      </c>
      <c r="K108" s="1"/>
      <c r="L108" s="1"/>
      <c r="M108" s="1"/>
    </row>
    <row r="109" spans="1:13" ht="19">
      <c r="A109" s="45" t="s">
        <v>322</v>
      </c>
      <c r="B109" s="50" t="s">
        <v>164</v>
      </c>
      <c r="C109" s="53">
        <v>5.7500000000000002E-2</v>
      </c>
      <c r="E109" s="45" t="s">
        <v>199</v>
      </c>
      <c r="F109" s="58" t="s">
        <v>200</v>
      </c>
      <c r="G109" s="58" t="s">
        <v>201</v>
      </c>
      <c r="H109" s="1" t="str">
        <f t="shared" si="6"/>
        <v>11,02%</v>
      </c>
      <c r="I109" s="1" t="str">
        <f t="shared" si="7"/>
        <v>6,30%</v>
      </c>
      <c r="K109" s="1"/>
      <c r="L109" s="1"/>
      <c r="M109" s="1"/>
    </row>
    <row r="110" spans="1:13" ht="19">
      <c r="A110" s="45" t="s">
        <v>323</v>
      </c>
      <c r="B110" s="50" t="s">
        <v>142</v>
      </c>
      <c r="C110" s="53">
        <v>5.7500000000000002E-2</v>
      </c>
      <c r="E110" s="45" t="s">
        <v>199</v>
      </c>
      <c r="F110" s="58" t="s">
        <v>200</v>
      </c>
      <c r="G110" s="58" t="s">
        <v>201</v>
      </c>
      <c r="H110" s="1" t="str">
        <f t="shared" si="6"/>
        <v>11,02%</v>
      </c>
      <c r="I110" s="1" t="str">
        <f t="shared" si="7"/>
        <v>6,30%</v>
      </c>
      <c r="K110" s="1"/>
      <c r="L110" s="1"/>
      <c r="M110" s="1"/>
    </row>
    <row r="111" spans="1:13" ht="19">
      <c r="A111" s="45" t="s">
        <v>324</v>
      </c>
      <c r="B111" s="50" t="s">
        <v>142</v>
      </c>
      <c r="C111" s="53">
        <v>4.8599999999999997E-2</v>
      </c>
      <c r="E111" s="45" t="s">
        <v>192</v>
      </c>
      <c r="F111" s="58" t="s">
        <v>193</v>
      </c>
      <c r="G111" s="58" t="s">
        <v>194</v>
      </c>
      <c r="H111" s="1" t="str">
        <f t="shared" si="6"/>
        <v>10,05%</v>
      </c>
      <c r="I111" s="1" t="str">
        <f t="shared" si="7"/>
        <v>5,33%</v>
      </c>
      <c r="K111" s="1"/>
      <c r="L111" s="1"/>
      <c r="M111" s="1"/>
    </row>
    <row r="112" spans="1:13" ht="19">
      <c r="A112" s="45" t="s">
        <v>325</v>
      </c>
      <c r="B112" s="50" t="s">
        <v>158</v>
      </c>
      <c r="C112" s="53">
        <v>0</v>
      </c>
      <c r="E112" s="45" t="s">
        <v>179</v>
      </c>
      <c r="F112" s="58" t="s">
        <v>181</v>
      </c>
      <c r="G112" s="58" t="s">
        <v>180</v>
      </c>
      <c r="H112" s="1" t="str">
        <f t="shared" si="6"/>
        <v>4,72%</v>
      </c>
      <c r="I112" s="1" t="str">
        <f t="shared" si="7"/>
        <v>0,00%</v>
      </c>
      <c r="K112" s="1"/>
      <c r="L112" s="1"/>
      <c r="M112" s="1"/>
    </row>
    <row r="113" spans="1:13" ht="19">
      <c r="A113" s="45" t="s">
        <v>326</v>
      </c>
      <c r="B113" s="50" t="s">
        <v>148</v>
      </c>
      <c r="C113" s="53">
        <v>3.1800000000000002E-2</v>
      </c>
      <c r="E113" s="45" t="s">
        <v>169</v>
      </c>
      <c r="F113" s="58" t="s">
        <v>170</v>
      </c>
      <c r="G113" s="58" t="s">
        <v>171</v>
      </c>
      <c r="H113" s="1" t="str">
        <f t="shared" si="6"/>
        <v>8,21%</v>
      </c>
      <c r="I113" s="1" t="str">
        <f t="shared" si="7"/>
        <v>3,49%</v>
      </c>
      <c r="K113" s="1"/>
      <c r="L113" s="1"/>
      <c r="M113" s="1"/>
    </row>
    <row r="114" spans="1:13" ht="19">
      <c r="A114" s="45" t="s">
        <v>327</v>
      </c>
      <c r="B114" s="50" t="s">
        <v>196</v>
      </c>
      <c r="C114" s="53">
        <v>5.7500000000000002E-2</v>
      </c>
      <c r="E114" s="45" t="s">
        <v>199</v>
      </c>
      <c r="F114" s="58" t="s">
        <v>200</v>
      </c>
      <c r="G114" s="58" t="s">
        <v>201</v>
      </c>
      <c r="H114" s="1" t="str">
        <f t="shared" si="6"/>
        <v>11,02%</v>
      </c>
      <c r="I114" s="1" t="str">
        <f t="shared" si="7"/>
        <v>6,30%</v>
      </c>
      <c r="K114" s="1"/>
      <c r="L114" s="1"/>
      <c r="M114" s="1"/>
    </row>
    <row r="115" spans="1:13" ht="19">
      <c r="A115" s="45" t="s">
        <v>328</v>
      </c>
      <c r="B115" s="50" t="s">
        <v>164</v>
      </c>
      <c r="C115" s="53">
        <v>1.41E-2</v>
      </c>
      <c r="E115" s="45" t="s">
        <v>174</v>
      </c>
      <c r="F115" s="58" t="s">
        <v>175</v>
      </c>
      <c r="G115" s="58" t="s">
        <v>176</v>
      </c>
      <c r="H115" s="1" t="str">
        <f t="shared" si="6"/>
        <v>6,27%</v>
      </c>
      <c r="I115" s="1" t="str">
        <f t="shared" si="7"/>
        <v>1,55%</v>
      </c>
      <c r="K115" s="1"/>
      <c r="L115" s="1"/>
      <c r="M115" s="1"/>
    </row>
    <row r="116" spans="1:13" ht="19">
      <c r="A116" s="45" t="s">
        <v>329</v>
      </c>
      <c r="B116" s="50" t="s">
        <v>196</v>
      </c>
      <c r="C116" s="53">
        <v>4.8599999999999997E-2</v>
      </c>
      <c r="E116" s="45" t="s">
        <v>192</v>
      </c>
      <c r="F116" s="58" t="s">
        <v>193</v>
      </c>
      <c r="G116" s="58" t="s">
        <v>194</v>
      </c>
      <c r="H116" s="1" t="str">
        <f t="shared" si="6"/>
        <v>10,05%</v>
      </c>
      <c r="I116" s="1" t="str">
        <f t="shared" si="7"/>
        <v>5,33%</v>
      </c>
      <c r="K116" s="1"/>
      <c r="L116" s="1"/>
      <c r="M116" s="1"/>
    </row>
    <row r="117" spans="1:13" ht="19">
      <c r="A117" s="45" t="s">
        <v>330</v>
      </c>
      <c r="B117" s="50" t="s">
        <v>164</v>
      </c>
      <c r="C117" s="53">
        <v>2.2100000000000002E-2</v>
      </c>
      <c r="E117" s="45" t="s">
        <v>246</v>
      </c>
      <c r="F117" s="58" t="s">
        <v>247</v>
      </c>
      <c r="G117" s="58" t="s">
        <v>248</v>
      </c>
      <c r="H117" s="1" t="str">
        <f t="shared" si="6"/>
        <v>7,14%</v>
      </c>
      <c r="I117" s="1" t="str">
        <f t="shared" si="7"/>
        <v>2,42%</v>
      </c>
      <c r="K117" s="1"/>
      <c r="L117" s="1"/>
      <c r="M117" s="1"/>
    </row>
    <row r="118" spans="1:13" ht="19">
      <c r="A118" s="45" t="s">
        <v>331</v>
      </c>
      <c r="B118" s="50" t="s">
        <v>164</v>
      </c>
      <c r="C118" s="53">
        <v>1.06E-2</v>
      </c>
      <c r="E118" s="45" t="s">
        <v>251</v>
      </c>
      <c r="F118" s="58" t="s">
        <v>252</v>
      </c>
      <c r="G118" s="58" t="s">
        <v>253</v>
      </c>
      <c r="H118" s="1" t="str">
        <f t="shared" si="6"/>
        <v>5,88%</v>
      </c>
      <c r="I118" s="1" t="str">
        <f t="shared" si="7"/>
        <v>1,16%</v>
      </c>
      <c r="K118" s="1"/>
      <c r="L118" s="1"/>
      <c r="M118" s="1"/>
    </row>
    <row r="119" spans="1:13" ht="19">
      <c r="A119" s="45" t="s">
        <v>332</v>
      </c>
      <c r="B119" s="50" t="s">
        <v>196</v>
      </c>
      <c r="C119" s="53">
        <v>1.6799999999999999E-2</v>
      </c>
      <c r="E119" s="45" t="s">
        <v>233</v>
      </c>
      <c r="F119" s="58" t="s">
        <v>235</v>
      </c>
      <c r="G119" s="58" t="s">
        <v>236</v>
      </c>
      <c r="H119" s="1" t="str">
        <f t="shared" si="6"/>
        <v>6,56%</v>
      </c>
      <c r="I119" s="1" t="str">
        <f t="shared" si="7"/>
        <v>1,84%</v>
      </c>
      <c r="K119" s="1"/>
      <c r="L119" s="1"/>
      <c r="M119" s="1"/>
    </row>
    <row r="120" spans="1:13" ht="19">
      <c r="A120" s="45" t="s">
        <v>333</v>
      </c>
      <c r="B120" s="50" t="s">
        <v>153</v>
      </c>
      <c r="C120" s="53">
        <v>7.4999999999999997E-3</v>
      </c>
      <c r="E120" s="45" t="s">
        <v>212</v>
      </c>
      <c r="F120" s="58" t="s">
        <v>213</v>
      </c>
      <c r="G120" s="58" t="s">
        <v>214</v>
      </c>
      <c r="H120" s="1" t="str">
        <f t="shared" si="6"/>
        <v>5,54%</v>
      </c>
      <c r="I120" s="1" t="str">
        <f t="shared" si="7"/>
        <v>0,82%</v>
      </c>
      <c r="K120" s="1"/>
      <c r="L120" s="1"/>
      <c r="M120" s="1"/>
    </row>
    <row r="121" spans="1:13" ht="19">
      <c r="A121" s="45" t="s">
        <v>334</v>
      </c>
      <c r="B121" s="50" t="s">
        <v>158</v>
      </c>
      <c r="C121" s="53">
        <v>1.95E-2</v>
      </c>
      <c r="E121" s="45" t="s">
        <v>276</v>
      </c>
      <c r="F121" s="58" t="s">
        <v>277</v>
      </c>
      <c r="G121" s="58" t="s">
        <v>278</v>
      </c>
      <c r="H121" s="1" t="str">
        <f t="shared" si="6"/>
        <v>6,85%</v>
      </c>
      <c r="I121" s="1" t="str">
        <f t="shared" si="7"/>
        <v>2,13%</v>
      </c>
      <c r="K121" s="1"/>
      <c r="L121" s="1"/>
      <c r="M121" s="1"/>
    </row>
    <row r="122" spans="1:13" ht="19">
      <c r="A122" s="45" t="s">
        <v>335</v>
      </c>
      <c r="B122" s="50" t="s">
        <v>148</v>
      </c>
      <c r="C122" s="53">
        <v>5.3E-3</v>
      </c>
      <c r="E122" s="45" t="s">
        <v>203</v>
      </c>
      <c r="F122" s="58" t="s">
        <v>204</v>
      </c>
      <c r="G122" s="58" t="s">
        <v>205</v>
      </c>
      <c r="H122" s="1" t="str">
        <f t="shared" si="6"/>
        <v>5,31%</v>
      </c>
      <c r="I122" s="1" t="str">
        <f t="shared" si="7"/>
        <v>0,59%</v>
      </c>
      <c r="K122" s="1"/>
      <c r="L122" s="1"/>
      <c r="M122" s="1"/>
    </row>
    <row r="123" spans="1:13" ht="19">
      <c r="A123" s="45" t="s">
        <v>336</v>
      </c>
      <c r="B123" s="50" t="s">
        <v>148</v>
      </c>
      <c r="C123" s="53">
        <v>0</v>
      </c>
      <c r="E123" s="45" t="s">
        <v>179</v>
      </c>
      <c r="F123" s="58" t="s">
        <v>181</v>
      </c>
      <c r="G123" s="58" t="s">
        <v>180</v>
      </c>
      <c r="H123" s="1" t="str">
        <f t="shared" si="6"/>
        <v>4,72%</v>
      </c>
      <c r="I123" s="1" t="str">
        <f t="shared" si="7"/>
        <v>0,00%</v>
      </c>
      <c r="K123" s="1"/>
      <c r="L123" s="1"/>
      <c r="M123" s="1"/>
    </row>
    <row r="124" spans="1:13" ht="19">
      <c r="A124" s="45" t="s">
        <v>337</v>
      </c>
      <c r="B124" s="50" t="s">
        <v>153</v>
      </c>
      <c r="C124" s="53">
        <v>1.95E-2</v>
      </c>
      <c r="E124" s="45" t="s">
        <v>276</v>
      </c>
      <c r="F124" s="58" t="s">
        <v>277</v>
      </c>
      <c r="G124" s="58" t="s">
        <v>278</v>
      </c>
      <c r="H124" s="1" t="str">
        <f t="shared" si="6"/>
        <v>6,85%</v>
      </c>
      <c r="I124" s="1" t="str">
        <f t="shared" si="7"/>
        <v>2,13%</v>
      </c>
      <c r="K124" s="1"/>
      <c r="L124" s="1"/>
      <c r="M124" s="1"/>
    </row>
    <row r="125" spans="1:13" ht="19">
      <c r="A125" s="45" t="s">
        <v>338</v>
      </c>
      <c r="B125" s="50" t="s">
        <v>153</v>
      </c>
      <c r="C125" s="53">
        <v>1.95E-2</v>
      </c>
      <c r="E125" s="45" t="s">
        <v>276</v>
      </c>
      <c r="F125" s="58" t="s">
        <v>277</v>
      </c>
      <c r="G125" s="58" t="s">
        <v>278</v>
      </c>
      <c r="H125" s="1" t="str">
        <f t="shared" si="6"/>
        <v>6,85%</v>
      </c>
      <c r="I125" s="1" t="str">
        <f t="shared" si="7"/>
        <v>2,13%</v>
      </c>
      <c r="K125" s="1"/>
      <c r="L125" s="1"/>
      <c r="M125" s="1"/>
    </row>
    <row r="126" spans="1:13" ht="19">
      <c r="A126" s="45" t="s">
        <v>339</v>
      </c>
      <c r="B126" s="50" t="s">
        <v>142</v>
      </c>
      <c r="C126" s="53">
        <v>4.8599999999999997E-2</v>
      </c>
      <c r="E126" s="45" t="s">
        <v>192</v>
      </c>
      <c r="F126" s="58" t="s">
        <v>193</v>
      </c>
      <c r="G126" s="58" t="s">
        <v>194</v>
      </c>
      <c r="H126" s="1" t="str">
        <f t="shared" si="6"/>
        <v>10,05%</v>
      </c>
      <c r="I126" s="1" t="str">
        <f t="shared" si="7"/>
        <v>5,33%</v>
      </c>
      <c r="K126" s="1"/>
      <c r="L126" s="1"/>
      <c r="M126" s="1"/>
    </row>
    <row r="127" spans="1:13" ht="19">
      <c r="A127" s="45" t="s">
        <v>340</v>
      </c>
      <c r="B127" s="50" t="s">
        <v>148</v>
      </c>
      <c r="C127" s="53">
        <v>6.1999999999999998E-3</v>
      </c>
      <c r="E127" s="45" t="s">
        <v>228</v>
      </c>
      <c r="F127" s="58" t="s">
        <v>229</v>
      </c>
      <c r="G127" s="58" t="s">
        <v>230</v>
      </c>
      <c r="H127" s="1" t="str">
        <f t="shared" si="6"/>
        <v>5,40%</v>
      </c>
      <c r="I127" s="1" t="str">
        <f t="shared" si="7"/>
        <v>0,68%</v>
      </c>
      <c r="K127" s="1"/>
      <c r="L127" s="1"/>
      <c r="M127" s="1"/>
    </row>
    <row r="128" spans="1:13" ht="19">
      <c r="A128" s="45" t="s">
        <v>341</v>
      </c>
      <c r="B128" s="50" t="s">
        <v>142</v>
      </c>
      <c r="C128" s="53">
        <v>3.1800000000000002E-2</v>
      </c>
      <c r="E128" s="45" t="s">
        <v>169</v>
      </c>
      <c r="F128" s="58" t="s">
        <v>170</v>
      </c>
      <c r="G128" s="58" t="s">
        <v>171</v>
      </c>
      <c r="H128" s="1" t="str">
        <f t="shared" si="6"/>
        <v>8,21%</v>
      </c>
      <c r="I128" s="1" t="str">
        <f t="shared" si="7"/>
        <v>3,49%</v>
      </c>
      <c r="K128" s="1"/>
      <c r="L128" s="1"/>
      <c r="M128" s="1"/>
    </row>
    <row r="129" spans="1:13" ht="19">
      <c r="A129" s="45" t="s">
        <v>342</v>
      </c>
      <c r="B129" s="50" t="s">
        <v>153</v>
      </c>
      <c r="C129" s="53">
        <v>3.1800000000000002E-2</v>
      </c>
      <c r="E129" s="45" t="s">
        <v>169</v>
      </c>
      <c r="F129" s="58" t="s">
        <v>170</v>
      </c>
      <c r="G129" s="58" t="s">
        <v>171</v>
      </c>
      <c r="H129" s="1" t="str">
        <f t="shared" si="6"/>
        <v>8,21%</v>
      </c>
      <c r="I129" s="1" t="str">
        <f t="shared" si="7"/>
        <v>3,49%</v>
      </c>
      <c r="K129" s="1"/>
      <c r="L129" s="1"/>
      <c r="M129" s="1"/>
    </row>
    <row r="130" spans="1:13" ht="19">
      <c r="A130" s="45" t="s">
        <v>343</v>
      </c>
      <c r="B130" s="50" t="s">
        <v>148</v>
      </c>
      <c r="C130" s="53">
        <v>1.6799999999999999E-2</v>
      </c>
      <c r="E130" s="45" t="s">
        <v>233</v>
      </c>
      <c r="F130" s="58" t="s">
        <v>235</v>
      </c>
      <c r="G130" s="58" t="s">
        <v>236</v>
      </c>
      <c r="H130" s="1" t="str">
        <f t="shared" si="6"/>
        <v>6,56%</v>
      </c>
      <c r="I130" s="1" t="str">
        <f t="shared" si="7"/>
        <v>1,84%</v>
      </c>
      <c r="K130" s="1"/>
      <c r="L130" s="1"/>
      <c r="M130" s="1"/>
    </row>
    <row r="131" spans="1:13" ht="19">
      <c r="A131" s="45" t="s">
        <v>344</v>
      </c>
      <c r="B131" s="50" t="s">
        <v>196</v>
      </c>
      <c r="C131" s="53">
        <v>0</v>
      </c>
      <c r="E131" s="45" t="s">
        <v>179</v>
      </c>
      <c r="F131" s="58" t="s">
        <v>181</v>
      </c>
      <c r="G131" s="58" t="s">
        <v>180</v>
      </c>
      <c r="H131" s="1" t="str">
        <f t="shared" si="6"/>
        <v>4,72%</v>
      </c>
      <c r="I131" s="1" t="str">
        <f t="shared" si="7"/>
        <v>0,00%</v>
      </c>
      <c r="K131" s="1"/>
      <c r="L131" s="1"/>
      <c r="M131" s="1"/>
    </row>
    <row r="132" spans="1:13" ht="19">
      <c r="A132" s="45" t="s">
        <v>345</v>
      </c>
      <c r="B132" s="50" t="s">
        <v>153</v>
      </c>
      <c r="C132" s="53">
        <v>7.4999999999999997E-3</v>
      </c>
      <c r="E132" s="45" t="s">
        <v>212</v>
      </c>
      <c r="F132" s="58" t="s">
        <v>213</v>
      </c>
      <c r="G132" s="58" t="s">
        <v>214</v>
      </c>
      <c r="H132" s="1" t="str">
        <f t="shared" si="6"/>
        <v>5,54%</v>
      </c>
      <c r="I132" s="1" t="str">
        <f t="shared" si="7"/>
        <v>0,82%</v>
      </c>
      <c r="K132" s="1"/>
      <c r="L132" s="1"/>
      <c r="M132" s="1"/>
    </row>
    <row r="133" spans="1:13" ht="19">
      <c r="A133" s="45" t="s">
        <v>346</v>
      </c>
      <c r="B133" s="50" t="s">
        <v>153</v>
      </c>
      <c r="C133" s="53">
        <v>1.06E-2</v>
      </c>
      <c r="E133" s="45" t="s">
        <v>251</v>
      </c>
      <c r="F133" s="58" t="s">
        <v>252</v>
      </c>
      <c r="G133" s="58" t="s">
        <v>253</v>
      </c>
      <c r="H133" s="1" t="str">
        <f t="shared" si="6"/>
        <v>5,88%</v>
      </c>
      <c r="I133" s="1" t="str">
        <f t="shared" si="7"/>
        <v>1,16%</v>
      </c>
      <c r="K133" s="1"/>
      <c r="L133" s="1"/>
      <c r="M133" s="1"/>
    </row>
    <row r="134" spans="1:13" ht="19">
      <c r="A134" s="45" t="s">
        <v>347</v>
      </c>
      <c r="B134" s="50" t="s">
        <v>196</v>
      </c>
      <c r="C134" s="53">
        <v>5.7500000000000002E-2</v>
      </c>
      <c r="E134" s="45" t="s">
        <v>199</v>
      </c>
      <c r="F134" s="58" t="s">
        <v>200</v>
      </c>
      <c r="G134" s="58" t="s">
        <v>201</v>
      </c>
      <c r="H134" s="1" t="str">
        <f t="shared" ref="H134:H162" si="8">SUBSTITUTE(F134:F290,".",",")</f>
        <v>11,02%</v>
      </c>
      <c r="I134" s="1" t="str">
        <f t="shared" ref="I134:I162" si="9">SUBSTITUTE(G134:G290,".",",")</f>
        <v>6,30%</v>
      </c>
      <c r="K134" s="1"/>
      <c r="L134" s="1"/>
      <c r="M134" s="1"/>
    </row>
    <row r="135" spans="1:13" ht="19">
      <c r="A135" s="45" t="s">
        <v>348</v>
      </c>
      <c r="B135" s="50" t="s">
        <v>142</v>
      </c>
      <c r="C135" s="53">
        <v>2.6499999999999999E-2</v>
      </c>
      <c r="E135" s="45" t="s">
        <v>187</v>
      </c>
      <c r="F135" s="58" t="s">
        <v>188</v>
      </c>
      <c r="G135" s="58" t="s">
        <v>189</v>
      </c>
      <c r="H135" s="1" t="str">
        <f t="shared" si="8"/>
        <v>7,63%</v>
      </c>
      <c r="I135" s="1" t="str">
        <f t="shared" si="9"/>
        <v>2,91%</v>
      </c>
      <c r="K135" s="1"/>
      <c r="L135" s="1"/>
      <c r="M135" s="1"/>
    </row>
    <row r="136" spans="1:13" ht="19">
      <c r="A136" s="45" t="s">
        <v>349</v>
      </c>
      <c r="B136" s="50" t="s">
        <v>158</v>
      </c>
      <c r="C136" s="53">
        <v>1.41E-2</v>
      </c>
      <c r="E136" s="45" t="s">
        <v>174</v>
      </c>
      <c r="F136" s="58" t="s">
        <v>175</v>
      </c>
      <c r="G136" s="58" t="s">
        <v>176</v>
      </c>
      <c r="H136" s="1" t="str">
        <f t="shared" si="8"/>
        <v>6,27%</v>
      </c>
      <c r="I136" s="1" t="str">
        <f t="shared" si="9"/>
        <v>1,55%</v>
      </c>
      <c r="K136" s="1"/>
      <c r="L136" s="1"/>
      <c r="M136" s="1"/>
    </row>
    <row r="137" spans="1:13" ht="19">
      <c r="A137" s="45" t="s">
        <v>350</v>
      </c>
      <c r="B137" s="50" t="s">
        <v>196</v>
      </c>
      <c r="C137" s="53">
        <v>6.6299999999999998E-2</v>
      </c>
      <c r="E137" s="45" t="s">
        <v>159</v>
      </c>
      <c r="F137" s="58" t="s">
        <v>160</v>
      </c>
      <c r="G137" s="58" t="s">
        <v>161</v>
      </c>
      <c r="H137" s="1" t="str">
        <f t="shared" si="8"/>
        <v>11,98%</v>
      </c>
      <c r="I137" s="1" t="str">
        <f t="shared" si="9"/>
        <v>7,26%</v>
      </c>
      <c r="K137" s="1"/>
      <c r="L137" s="1"/>
      <c r="M137" s="1"/>
    </row>
    <row r="138" spans="1:13" ht="19">
      <c r="A138" s="45" t="s">
        <v>351</v>
      </c>
      <c r="B138" s="50" t="s">
        <v>173</v>
      </c>
      <c r="C138" s="53">
        <v>1.95E-2</v>
      </c>
      <c r="E138" s="45" t="s">
        <v>276</v>
      </c>
      <c r="F138" s="58" t="s">
        <v>277</v>
      </c>
      <c r="G138" s="58" t="s">
        <v>278</v>
      </c>
      <c r="H138" s="1" t="str">
        <f t="shared" si="8"/>
        <v>6,85%</v>
      </c>
      <c r="I138" s="1" t="str">
        <f t="shared" si="9"/>
        <v>2,13%</v>
      </c>
      <c r="K138" s="1"/>
      <c r="L138" s="1"/>
      <c r="M138" s="1"/>
    </row>
    <row r="139" spans="1:13" ht="19">
      <c r="A139" s="45" t="s">
        <v>352</v>
      </c>
      <c r="B139" s="50" t="s">
        <v>173</v>
      </c>
      <c r="C139" s="53">
        <v>5.7500000000000002E-2</v>
      </c>
      <c r="E139" s="45" t="s">
        <v>199</v>
      </c>
      <c r="F139" s="58" t="s">
        <v>200</v>
      </c>
      <c r="G139" s="58" t="s">
        <v>201</v>
      </c>
      <c r="H139" s="1" t="str">
        <f t="shared" si="8"/>
        <v>11,02%</v>
      </c>
      <c r="I139" s="1" t="str">
        <f t="shared" si="9"/>
        <v>6,30%</v>
      </c>
      <c r="K139" s="1"/>
      <c r="L139" s="1"/>
      <c r="M139" s="1"/>
    </row>
    <row r="140" spans="1:13" ht="19">
      <c r="A140" s="45" t="s">
        <v>353</v>
      </c>
      <c r="B140" s="50" t="s">
        <v>164</v>
      </c>
      <c r="C140" s="53">
        <v>8.8300000000000003E-2</v>
      </c>
      <c r="E140" s="45" t="s">
        <v>207</v>
      </c>
      <c r="F140" s="58" t="s">
        <v>208</v>
      </c>
      <c r="G140" s="58" t="s">
        <v>209</v>
      </c>
      <c r="H140" s="1" t="str">
        <f t="shared" si="8"/>
        <v>14,40%</v>
      </c>
      <c r="I140" s="1" t="str">
        <f t="shared" si="9"/>
        <v>9,68%</v>
      </c>
      <c r="K140" s="1"/>
      <c r="L140" s="1"/>
      <c r="M140" s="1"/>
    </row>
    <row r="141" spans="1:13" ht="19">
      <c r="A141" s="45" t="s">
        <v>354</v>
      </c>
      <c r="B141" s="50" t="s">
        <v>142</v>
      </c>
      <c r="C141" s="53">
        <v>5.7500000000000002E-2</v>
      </c>
      <c r="E141" s="45" t="s">
        <v>199</v>
      </c>
      <c r="F141" s="58" t="s">
        <v>200</v>
      </c>
      <c r="G141" s="58" t="s">
        <v>201</v>
      </c>
      <c r="H141" s="1" t="str">
        <f t="shared" si="8"/>
        <v>11,02%</v>
      </c>
      <c r="I141" s="1" t="str">
        <f t="shared" si="9"/>
        <v>6,30%</v>
      </c>
      <c r="K141" s="1"/>
      <c r="L141" s="1"/>
      <c r="M141" s="1"/>
    </row>
    <row r="142" spans="1:13" ht="19">
      <c r="A142" s="45" t="s">
        <v>355</v>
      </c>
      <c r="B142" s="50" t="s">
        <v>158</v>
      </c>
      <c r="C142" s="53">
        <v>0</v>
      </c>
      <c r="E142" s="45" t="s">
        <v>179</v>
      </c>
      <c r="F142" s="58" t="s">
        <v>181</v>
      </c>
      <c r="G142" s="58" t="s">
        <v>180</v>
      </c>
      <c r="H142" s="1" t="str">
        <f t="shared" si="8"/>
        <v>4,72%</v>
      </c>
      <c r="I142" s="1" t="str">
        <f t="shared" si="9"/>
        <v>0,00%</v>
      </c>
      <c r="K142" s="1"/>
      <c r="L142" s="1"/>
      <c r="M142" s="1"/>
    </row>
    <row r="143" spans="1:13" ht="19">
      <c r="A143" s="45" t="s">
        <v>356</v>
      </c>
      <c r="B143" s="50" t="s">
        <v>158</v>
      </c>
      <c r="C143" s="53">
        <v>0</v>
      </c>
      <c r="E143" s="45" t="s">
        <v>179</v>
      </c>
      <c r="F143" s="58" t="s">
        <v>181</v>
      </c>
      <c r="G143" s="58" t="s">
        <v>180</v>
      </c>
      <c r="H143" s="1" t="str">
        <f t="shared" si="8"/>
        <v>4,72%</v>
      </c>
      <c r="I143" s="1" t="str">
        <f t="shared" si="9"/>
        <v>0,00%</v>
      </c>
      <c r="K143" s="1"/>
      <c r="L143" s="1"/>
      <c r="M143" s="1"/>
    </row>
    <row r="144" spans="1:13" ht="19">
      <c r="A144" s="45" t="s">
        <v>357</v>
      </c>
      <c r="B144" s="50" t="s">
        <v>196</v>
      </c>
      <c r="C144" s="53">
        <v>5.3E-3</v>
      </c>
      <c r="E144" s="45" t="s">
        <v>203</v>
      </c>
      <c r="F144" s="58" t="s">
        <v>204</v>
      </c>
      <c r="G144" s="58" t="s">
        <v>205</v>
      </c>
      <c r="H144" s="1" t="str">
        <f t="shared" si="8"/>
        <v>5,31%</v>
      </c>
      <c r="I144" s="1" t="str">
        <f t="shared" si="9"/>
        <v>0,59%</v>
      </c>
      <c r="K144" s="1"/>
      <c r="L144" s="1"/>
      <c r="M144" s="1"/>
    </row>
    <row r="145" spans="1:13" ht="19">
      <c r="A145" s="45" t="s">
        <v>358</v>
      </c>
      <c r="B145" s="50" t="s">
        <v>153</v>
      </c>
      <c r="C145" s="53">
        <v>5.7500000000000002E-2</v>
      </c>
      <c r="E145" s="45" t="s">
        <v>199</v>
      </c>
      <c r="F145" s="58" t="s">
        <v>200</v>
      </c>
      <c r="G145" s="58" t="s">
        <v>201</v>
      </c>
      <c r="H145" s="1" t="str">
        <f t="shared" si="8"/>
        <v>11,02%</v>
      </c>
      <c r="I145" s="1" t="str">
        <f t="shared" si="9"/>
        <v>6,30%</v>
      </c>
      <c r="K145" s="1"/>
      <c r="L145" s="1"/>
      <c r="M145" s="1"/>
    </row>
    <row r="146" spans="1:13" ht="19">
      <c r="A146" s="45" t="s">
        <v>359</v>
      </c>
      <c r="B146" s="50" t="s">
        <v>142</v>
      </c>
      <c r="C146" s="53">
        <v>4.8599999999999997E-2</v>
      </c>
      <c r="E146" s="45" t="s">
        <v>192</v>
      </c>
      <c r="F146" s="58" t="s">
        <v>193</v>
      </c>
      <c r="G146" s="58" t="s">
        <v>194</v>
      </c>
      <c r="H146" s="1" t="str">
        <f t="shared" si="8"/>
        <v>10,05%</v>
      </c>
      <c r="I146" s="1" t="str">
        <f t="shared" si="9"/>
        <v>5,33%</v>
      </c>
      <c r="K146" s="1"/>
      <c r="L146" s="1"/>
      <c r="M146" s="1"/>
    </row>
    <row r="147" spans="1:13" ht="19">
      <c r="A147" s="45" t="s">
        <v>360</v>
      </c>
      <c r="B147" s="50" t="s">
        <v>196</v>
      </c>
      <c r="C147" s="53">
        <v>1.41E-2</v>
      </c>
      <c r="E147" s="45" t="s">
        <v>174</v>
      </c>
      <c r="F147" s="58" t="s">
        <v>175</v>
      </c>
      <c r="G147" s="58" t="s">
        <v>176</v>
      </c>
      <c r="H147" s="1" t="str">
        <f t="shared" si="8"/>
        <v>6,27%</v>
      </c>
      <c r="I147" s="1" t="str">
        <f t="shared" si="9"/>
        <v>1,55%</v>
      </c>
      <c r="K147" s="1"/>
      <c r="L147" s="1"/>
      <c r="M147" s="1"/>
    </row>
    <row r="148" spans="1:13" ht="19">
      <c r="A148" s="45" t="s">
        <v>361</v>
      </c>
      <c r="B148" s="50" t="s">
        <v>142</v>
      </c>
      <c r="C148" s="53">
        <v>5.7500000000000002E-2</v>
      </c>
      <c r="E148" s="45" t="s">
        <v>199</v>
      </c>
      <c r="F148" s="58" t="s">
        <v>200</v>
      </c>
      <c r="G148" s="58" t="s">
        <v>201</v>
      </c>
      <c r="H148" s="1" t="str">
        <f t="shared" si="8"/>
        <v>11,02%</v>
      </c>
      <c r="I148" s="1" t="str">
        <f t="shared" si="9"/>
        <v>6,30%</v>
      </c>
      <c r="K148" s="1"/>
      <c r="L148" s="1"/>
      <c r="M148" s="1"/>
    </row>
    <row r="149" spans="1:13" ht="19">
      <c r="A149" s="45" t="s">
        <v>362</v>
      </c>
      <c r="B149" s="50" t="s">
        <v>173</v>
      </c>
      <c r="C149" s="53">
        <v>2.2100000000000002E-2</v>
      </c>
      <c r="E149" s="45" t="s">
        <v>246</v>
      </c>
      <c r="F149" s="58" t="s">
        <v>247</v>
      </c>
      <c r="G149" s="58" t="s">
        <v>248</v>
      </c>
      <c r="H149" s="1" t="str">
        <f t="shared" si="8"/>
        <v>7,14%</v>
      </c>
      <c r="I149" s="1" t="str">
        <f t="shared" si="9"/>
        <v>2,42%</v>
      </c>
      <c r="K149" s="1"/>
      <c r="L149" s="1"/>
      <c r="M149" s="1"/>
    </row>
    <row r="150" spans="1:13" ht="19">
      <c r="A150" s="45" t="s">
        <v>363</v>
      </c>
      <c r="B150" s="50" t="s">
        <v>142</v>
      </c>
      <c r="C150" s="53">
        <v>4.8599999999999997E-2</v>
      </c>
      <c r="E150" s="45" t="s">
        <v>192</v>
      </c>
      <c r="F150" s="58" t="s">
        <v>193</v>
      </c>
      <c r="G150" s="58" t="s">
        <v>194</v>
      </c>
      <c r="H150" s="1" t="str">
        <f t="shared" si="8"/>
        <v>10,05%</v>
      </c>
      <c r="I150" s="1" t="str">
        <f t="shared" si="9"/>
        <v>5,33%</v>
      </c>
      <c r="K150" s="1"/>
      <c r="L150" s="1"/>
      <c r="M150" s="1"/>
    </row>
    <row r="151" spans="1:13" ht="19">
      <c r="A151" s="45" t="s">
        <v>364</v>
      </c>
      <c r="B151" s="50" t="s">
        <v>158</v>
      </c>
      <c r="C151" s="53">
        <v>4.8599999999999997E-2</v>
      </c>
      <c r="E151" s="45" t="s">
        <v>192</v>
      </c>
      <c r="F151" s="58" t="s">
        <v>193</v>
      </c>
      <c r="G151" s="58" t="s">
        <v>194</v>
      </c>
      <c r="H151" s="1" t="str">
        <f t="shared" si="8"/>
        <v>10,05%</v>
      </c>
      <c r="I151" s="1" t="str">
        <f t="shared" si="9"/>
        <v>5,33%</v>
      </c>
      <c r="K151" s="1"/>
      <c r="L151" s="1"/>
      <c r="M151" s="1"/>
    </row>
    <row r="152" spans="1:13" ht="19">
      <c r="A152" s="45" t="s">
        <v>365</v>
      </c>
      <c r="B152" s="50" t="s">
        <v>173</v>
      </c>
      <c r="C152" s="53">
        <v>1.41E-2</v>
      </c>
      <c r="E152" s="45" t="s">
        <v>174</v>
      </c>
      <c r="F152" s="58" t="s">
        <v>175</v>
      </c>
      <c r="G152" s="58" t="s">
        <v>176</v>
      </c>
      <c r="H152" s="1" t="str">
        <f t="shared" si="8"/>
        <v>6,27%</v>
      </c>
      <c r="I152" s="1" t="str">
        <f t="shared" si="9"/>
        <v>1,55%</v>
      </c>
      <c r="K152" s="1"/>
      <c r="L152" s="1"/>
      <c r="M152" s="1"/>
    </row>
    <row r="153" spans="1:13" ht="19">
      <c r="A153" s="45" t="s">
        <v>366</v>
      </c>
      <c r="B153" s="50" t="s">
        <v>142</v>
      </c>
      <c r="C153" s="53">
        <v>4.8599999999999997E-2</v>
      </c>
      <c r="E153" s="45" t="s">
        <v>192</v>
      </c>
      <c r="F153" s="58" t="s">
        <v>193</v>
      </c>
      <c r="G153" s="58" t="s">
        <v>194</v>
      </c>
      <c r="H153" s="1" t="str">
        <f t="shared" si="8"/>
        <v>10,05%</v>
      </c>
      <c r="I153" s="1" t="str">
        <f t="shared" si="9"/>
        <v>5,33%</v>
      </c>
      <c r="K153" s="1"/>
      <c r="L153" s="1"/>
      <c r="M153" s="1"/>
    </row>
    <row r="154" spans="1:13" ht="19">
      <c r="A154" s="45" t="s">
        <v>367</v>
      </c>
      <c r="B154" s="50" t="s">
        <v>153</v>
      </c>
      <c r="C154" s="53">
        <v>5.7500000000000002E-2</v>
      </c>
      <c r="E154" s="45" t="s">
        <v>199</v>
      </c>
      <c r="F154" s="58" t="s">
        <v>200</v>
      </c>
      <c r="G154" s="58" t="s">
        <v>201</v>
      </c>
      <c r="H154" s="1" t="str">
        <f t="shared" si="8"/>
        <v>11,02%</v>
      </c>
      <c r="I154" s="1" t="str">
        <f t="shared" si="9"/>
        <v>6,30%</v>
      </c>
      <c r="K154" s="1"/>
      <c r="L154" s="1"/>
      <c r="M154" s="1"/>
    </row>
    <row r="155" spans="1:13" ht="19">
      <c r="A155" s="45" t="s">
        <v>368</v>
      </c>
      <c r="B155" s="50" t="s">
        <v>148</v>
      </c>
      <c r="C155" s="53">
        <v>4.4000000000000003E-3</v>
      </c>
      <c r="E155" s="45" t="s">
        <v>149</v>
      </c>
      <c r="F155" s="58" t="s">
        <v>150</v>
      </c>
      <c r="G155" s="58" t="s">
        <v>151</v>
      </c>
      <c r="H155" s="1" t="str">
        <f t="shared" si="8"/>
        <v>5,20%</v>
      </c>
      <c r="I155" s="1" t="str">
        <f t="shared" si="9"/>
        <v>0,48%</v>
      </c>
      <c r="K155" s="1"/>
      <c r="L155" s="1"/>
      <c r="M155" s="1"/>
    </row>
    <row r="156" spans="1:13" ht="19">
      <c r="A156" s="45" t="s">
        <v>369</v>
      </c>
      <c r="B156" s="50" t="s">
        <v>158</v>
      </c>
      <c r="C156" s="53">
        <v>5.3E-3</v>
      </c>
      <c r="E156" s="45" t="s">
        <v>203</v>
      </c>
      <c r="F156" s="58" t="s">
        <v>204</v>
      </c>
      <c r="G156" s="58" t="s">
        <v>205</v>
      </c>
      <c r="H156" s="1" t="str">
        <f t="shared" si="8"/>
        <v>5,31%</v>
      </c>
      <c r="I156" s="1" t="str">
        <f t="shared" si="9"/>
        <v>0,59%</v>
      </c>
      <c r="K156" s="1"/>
      <c r="L156" s="1"/>
      <c r="M156" s="1"/>
    </row>
    <row r="157" spans="1:13" ht="19">
      <c r="A157" s="45" t="s">
        <v>370</v>
      </c>
      <c r="B157" s="50" t="s">
        <v>224</v>
      </c>
      <c r="C157" s="53">
        <v>0</v>
      </c>
      <c r="E157" s="45" t="s">
        <v>179</v>
      </c>
      <c r="F157" s="58" t="s">
        <v>181</v>
      </c>
      <c r="G157" s="58" t="s">
        <v>180</v>
      </c>
      <c r="H157" s="1" t="str">
        <f t="shared" si="8"/>
        <v>4,72%</v>
      </c>
      <c r="I157" s="1" t="str">
        <f t="shared" si="9"/>
        <v>0,00%</v>
      </c>
      <c r="K157" s="1"/>
      <c r="L157" s="1"/>
      <c r="M157" s="1"/>
    </row>
    <row r="158" spans="1:13" ht="19">
      <c r="A158" s="45" t="s">
        <v>371</v>
      </c>
      <c r="B158" s="50" t="s">
        <v>164</v>
      </c>
      <c r="C158" s="53">
        <v>1.2699999999999999E-2</v>
      </c>
      <c r="E158" s="45" t="s">
        <v>233</v>
      </c>
      <c r="F158" s="58" t="s">
        <v>235</v>
      </c>
      <c r="G158" s="58" t="s">
        <v>234</v>
      </c>
      <c r="H158" s="1" t="str">
        <f t="shared" si="8"/>
        <v>6,56%</v>
      </c>
      <c r="I158" s="1" t="str">
        <f t="shared" si="9"/>
        <v>1,68%</v>
      </c>
      <c r="K158" s="1"/>
      <c r="L158" s="1"/>
      <c r="M158" s="1"/>
    </row>
    <row r="159" spans="1:13" ht="19">
      <c r="A159" s="46" t="s">
        <v>372</v>
      </c>
      <c r="B159" s="51" t="s">
        <v>153</v>
      </c>
      <c r="C159" s="53">
        <v>3.9800000000000002E-2</v>
      </c>
      <c r="E159" s="45" t="s">
        <v>154</v>
      </c>
      <c r="F159" s="58" t="s">
        <v>155</v>
      </c>
      <c r="G159" s="58" t="s">
        <v>156</v>
      </c>
      <c r="H159" s="1" t="str">
        <f t="shared" si="8"/>
        <v>9,08%</v>
      </c>
      <c r="I159" s="1" t="str">
        <f t="shared" si="9"/>
        <v>4,36%</v>
      </c>
      <c r="K159" s="1"/>
      <c r="L159" s="1"/>
      <c r="M159" s="1"/>
    </row>
    <row r="160" spans="1:13" ht="19">
      <c r="A160" s="46" t="s">
        <v>373</v>
      </c>
      <c r="B160" s="51" t="s">
        <v>164</v>
      </c>
      <c r="C160" s="53">
        <v>0.17499999999999999</v>
      </c>
      <c r="E160" s="46" t="s">
        <v>299</v>
      </c>
      <c r="F160" s="58" t="s">
        <v>300</v>
      </c>
      <c r="G160" s="58" t="s">
        <v>301</v>
      </c>
      <c r="H160" s="1" t="str">
        <f t="shared" si="8"/>
        <v>23,90%</v>
      </c>
      <c r="I160" s="1" t="str">
        <f t="shared" si="9"/>
        <v>19,18%</v>
      </c>
      <c r="K160" s="1"/>
      <c r="L160" s="1"/>
      <c r="M160" s="1"/>
    </row>
    <row r="161" spans="1:13" ht="19">
      <c r="A161" s="46" t="s">
        <v>374</v>
      </c>
      <c r="B161" s="51" t="s">
        <v>196</v>
      </c>
      <c r="C161" s="53">
        <v>3.1800000000000002E-2</v>
      </c>
      <c r="E161" s="46" t="s">
        <v>169</v>
      </c>
      <c r="F161" s="58" t="s">
        <v>170</v>
      </c>
      <c r="G161" s="58" t="s">
        <v>171</v>
      </c>
      <c r="H161" s="1" t="str">
        <f t="shared" si="8"/>
        <v>8,21%</v>
      </c>
      <c r="I161" s="1" t="str">
        <f t="shared" si="9"/>
        <v>3,49%</v>
      </c>
      <c r="K161" s="1"/>
      <c r="L161" s="1"/>
      <c r="M161" s="1"/>
    </row>
    <row r="162" spans="1:13" ht="19">
      <c r="A162" s="46" t="s">
        <v>375</v>
      </c>
      <c r="B162" s="51" t="s">
        <v>142</v>
      </c>
      <c r="C162" s="53">
        <v>0.106</v>
      </c>
      <c r="E162" s="46" t="s">
        <v>165</v>
      </c>
      <c r="F162" s="58" t="s">
        <v>166</v>
      </c>
      <c r="G162" s="58" t="s">
        <v>167</v>
      </c>
      <c r="H162" s="1" t="str">
        <f t="shared" si="8"/>
        <v>16,34%</v>
      </c>
      <c r="I162" s="1" t="str">
        <f t="shared" si="9"/>
        <v>11,62%</v>
      </c>
      <c r="K162" s="1"/>
      <c r="L162" s="1"/>
      <c r="M162" s="1"/>
    </row>
    <row r="163" spans="1:13" ht="19">
      <c r="I163" s="107" t="s">
        <v>413</v>
      </c>
      <c r="K163" s="1"/>
      <c r="L163" s="1"/>
      <c r="M163" s="1"/>
    </row>
    <row r="164" spans="1:13" ht="19">
      <c r="K164" s="1"/>
      <c r="L164" s="1"/>
      <c r="M164" s="1"/>
    </row>
    <row r="165" spans="1:13" ht="19">
      <c r="K165" s="1"/>
      <c r="L165" s="1"/>
      <c r="M165" s="1"/>
    </row>
    <row r="166" spans="1:13" ht="19">
      <c r="K166" s="1"/>
      <c r="L166" s="1"/>
      <c r="M166" s="1"/>
    </row>
    <row r="167" spans="1:13" ht="19">
      <c r="E167" s="1" t="str">
        <f>SUBSTITUTE(C167:C323,".",",")</f>
        <v/>
      </c>
      <c r="F167" s="1" t="str">
        <f>SUBSTITUTE(D167:D323,".",",")</f>
        <v/>
      </c>
      <c r="K167" s="1"/>
      <c r="L167" s="1"/>
      <c r="M167" s="1"/>
    </row>
    <row r="168" spans="1:13" ht="19">
      <c r="E168" s="1" t="str">
        <f t="shared" ref="E168:E231" si="10">SUBSTITUTE(C168:C324,".",",")</f>
        <v/>
      </c>
      <c r="F168" s="1" t="str">
        <f t="shared" ref="F168:F231" si="11">SUBSTITUTE(D168:D324,".",",")</f>
        <v/>
      </c>
      <c r="K168" s="1"/>
      <c r="L168" s="1"/>
      <c r="M168" s="1"/>
    </row>
    <row r="169" spans="1:13" ht="19">
      <c r="E169" s="1" t="str">
        <f t="shared" si="10"/>
        <v/>
      </c>
      <c r="F169" s="1" t="str">
        <f t="shared" si="11"/>
        <v/>
      </c>
      <c r="K169" s="1"/>
      <c r="L169" s="1"/>
      <c r="M169" s="1"/>
    </row>
    <row r="170" spans="1:13" ht="19">
      <c r="E170" s="1" t="str">
        <f t="shared" si="10"/>
        <v/>
      </c>
      <c r="F170" s="1" t="str">
        <f t="shared" si="11"/>
        <v/>
      </c>
      <c r="K170" s="1"/>
      <c r="L170" s="1"/>
      <c r="M170" s="1"/>
    </row>
    <row r="171" spans="1:13" ht="19">
      <c r="E171" s="1" t="str">
        <f t="shared" si="10"/>
        <v/>
      </c>
      <c r="F171" s="1" t="str">
        <f t="shared" si="11"/>
        <v/>
      </c>
      <c r="K171" s="1"/>
      <c r="L171" s="1"/>
      <c r="M171" s="1"/>
    </row>
    <row r="172" spans="1:13" ht="19">
      <c r="E172" s="1" t="str">
        <f t="shared" si="10"/>
        <v/>
      </c>
      <c r="F172" s="1" t="str">
        <f t="shared" si="11"/>
        <v/>
      </c>
      <c r="K172" s="1"/>
      <c r="L172" s="1"/>
      <c r="M172" s="1"/>
    </row>
    <row r="173" spans="1:13" ht="19">
      <c r="E173" s="1" t="str">
        <f t="shared" si="10"/>
        <v/>
      </c>
      <c r="F173" s="1" t="str">
        <f t="shared" si="11"/>
        <v/>
      </c>
      <c r="K173" s="1"/>
      <c r="L173" s="1"/>
      <c r="M173" s="1"/>
    </row>
    <row r="174" spans="1:13" ht="19">
      <c r="E174" s="1" t="str">
        <f t="shared" si="10"/>
        <v/>
      </c>
      <c r="F174" s="1" t="str">
        <f t="shared" si="11"/>
        <v/>
      </c>
      <c r="L174" s="1"/>
      <c r="M174" s="1"/>
    </row>
    <row r="175" spans="1:13" ht="19">
      <c r="E175" s="1" t="str">
        <f t="shared" si="10"/>
        <v/>
      </c>
      <c r="F175" s="1" t="str">
        <f t="shared" si="11"/>
        <v/>
      </c>
      <c r="L175" s="1"/>
      <c r="M175" s="1"/>
    </row>
    <row r="176" spans="1:13" ht="19">
      <c r="E176" s="1" t="str">
        <f t="shared" si="10"/>
        <v/>
      </c>
      <c r="F176" s="1" t="str">
        <f t="shared" si="11"/>
        <v/>
      </c>
      <c r="M176" s="1"/>
    </row>
    <row r="177" spans="5:13" ht="19">
      <c r="E177" s="1" t="str">
        <f t="shared" si="10"/>
        <v/>
      </c>
      <c r="F177" s="1" t="str">
        <f t="shared" si="11"/>
        <v/>
      </c>
      <c r="M177" s="1"/>
    </row>
    <row r="178" spans="5:13" ht="19">
      <c r="E178" s="1" t="str">
        <f t="shared" si="10"/>
        <v/>
      </c>
      <c r="F178" s="1" t="str">
        <f t="shared" si="11"/>
        <v/>
      </c>
      <c r="M178" s="1"/>
    </row>
    <row r="179" spans="5:13" ht="19">
      <c r="E179" s="1" t="str">
        <f t="shared" si="10"/>
        <v/>
      </c>
      <c r="F179" s="1" t="str">
        <f t="shared" si="11"/>
        <v/>
      </c>
      <c r="M179" s="1"/>
    </row>
    <row r="180" spans="5:13" ht="19">
      <c r="E180" s="1" t="str">
        <f t="shared" si="10"/>
        <v/>
      </c>
      <c r="F180" s="1" t="str">
        <f t="shared" si="11"/>
        <v/>
      </c>
      <c r="M180" s="1"/>
    </row>
    <row r="181" spans="5:13" ht="19">
      <c r="E181" s="1" t="str">
        <f t="shared" si="10"/>
        <v/>
      </c>
      <c r="F181" s="1" t="str">
        <f t="shared" si="11"/>
        <v/>
      </c>
      <c r="M181" s="1"/>
    </row>
    <row r="182" spans="5:13" ht="19">
      <c r="E182" s="1" t="str">
        <f t="shared" si="10"/>
        <v/>
      </c>
      <c r="F182" s="1" t="str">
        <f t="shared" si="11"/>
        <v/>
      </c>
      <c r="M182" s="1"/>
    </row>
    <row r="183" spans="5:13" ht="19">
      <c r="E183" s="1" t="str">
        <f t="shared" si="10"/>
        <v/>
      </c>
      <c r="F183" s="1" t="str">
        <f t="shared" si="11"/>
        <v/>
      </c>
      <c r="M183" s="1"/>
    </row>
    <row r="184" spans="5:13" ht="19">
      <c r="E184" s="1" t="str">
        <f t="shared" si="10"/>
        <v/>
      </c>
      <c r="F184" s="1" t="str">
        <f t="shared" si="11"/>
        <v/>
      </c>
      <c r="M184" s="1"/>
    </row>
    <row r="185" spans="5:13" ht="19">
      <c r="E185" s="1" t="str">
        <f t="shared" si="10"/>
        <v/>
      </c>
      <c r="F185" s="1" t="str">
        <f t="shared" si="11"/>
        <v/>
      </c>
      <c r="M185" s="1"/>
    </row>
    <row r="186" spans="5:13" ht="19">
      <c r="E186" s="1" t="str">
        <f t="shared" si="10"/>
        <v/>
      </c>
      <c r="F186" s="1" t="str">
        <f t="shared" si="11"/>
        <v/>
      </c>
      <c r="M186" s="1"/>
    </row>
    <row r="187" spans="5:13" ht="19">
      <c r="E187" s="1" t="str">
        <f t="shared" si="10"/>
        <v/>
      </c>
      <c r="F187" s="1" t="str">
        <f t="shared" si="11"/>
        <v/>
      </c>
      <c r="M187" s="1"/>
    </row>
    <row r="188" spans="5:13" ht="19">
      <c r="E188" s="1" t="str">
        <f t="shared" si="10"/>
        <v/>
      </c>
      <c r="F188" s="1" t="str">
        <f t="shared" si="11"/>
        <v/>
      </c>
      <c r="M188" s="1"/>
    </row>
    <row r="189" spans="5:13" ht="19">
      <c r="E189" s="1" t="str">
        <f t="shared" si="10"/>
        <v/>
      </c>
      <c r="F189" s="1" t="str">
        <f t="shared" si="11"/>
        <v/>
      </c>
      <c r="M189" s="1"/>
    </row>
    <row r="190" spans="5:13" ht="19">
      <c r="E190" s="1" t="str">
        <f t="shared" si="10"/>
        <v/>
      </c>
      <c r="F190" s="1" t="str">
        <f t="shared" si="11"/>
        <v/>
      </c>
      <c r="M190" s="1"/>
    </row>
    <row r="191" spans="5:13" ht="19">
      <c r="E191" s="1" t="str">
        <f t="shared" si="10"/>
        <v/>
      </c>
      <c r="F191" s="1" t="str">
        <f t="shared" si="11"/>
        <v/>
      </c>
      <c r="M191" s="1"/>
    </row>
    <row r="192" spans="5:13" ht="19">
      <c r="E192" s="1" t="str">
        <f t="shared" si="10"/>
        <v/>
      </c>
      <c r="F192" s="1" t="str">
        <f t="shared" si="11"/>
        <v/>
      </c>
      <c r="M192" s="1"/>
    </row>
    <row r="193" spans="5:13" ht="19">
      <c r="E193" s="1" t="str">
        <f t="shared" si="10"/>
        <v/>
      </c>
      <c r="F193" s="1" t="str">
        <f t="shared" si="11"/>
        <v/>
      </c>
      <c r="M193" s="1"/>
    </row>
    <row r="194" spans="5:13" ht="19">
      <c r="E194" s="1" t="str">
        <f t="shared" si="10"/>
        <v/>
      </c>
      <c r="F194" s="1" t="str">
        <f t="shared" si="11"/>
        <v/>
      </c>
      <c r="M194" s="1"/>
    </row>
    <row r="195" spans="5:13" ht="19">
      <c r="E195" s="1" t="str">
        <f t="shared" si="10"/>
        <v/>
      </c>
      <c r="F195" s="1" t="str">
        <f t="shared" si="11"/>
        <v/>
      </c>
      <c r="M195" s="1"/>
    </row>
    <row r="196" spans="5:13" ht="19">
      <c r="E196" s="1" t="str">
        <f t="shared" si="10"/>
        <v/>
      </c>
      <c r="F196" s="1" t="str">
        <f t="shared" si="11"/>
        <v/>
      </c>
      <c r="M196" s="1"/>
    </row>
    <row r="197" spans="5:13" ht="19">
      <c r="E197" s="1" t="str">
        <f t="shared" si="10"/>
        <v/>
      </c>
      <c r="F197" s="1" t="str">
        <f t="shared" si="11"/>
        <v/>
      </c>
      <c r="M197" s="1"/>
    </row>
    <row r="198" spans="5:13" ht="19">
      <c r="E198" s="1" t="str">
        <f t="shared" si="10"/>
        <v/>
      </c>
      <c r="F198" s="1" t="str">
        <f t="shared" si="11"/>
        <v/>
      </c>
      <c r="M198" s="1"/>
    </row>
    <row r="199" spans="5:13" ht="19">
      <c r="E199" s="1" t="str">
        <f t="shared" si="10"/>
        <v/>
      </c>
      <c r="F199" s="1" t="str">
        <f t="shared" si="11"/>
        <v/>
      </c>
      <c r="M199" s="1"/>
    </row>
    <row r="200" spans="5:13" ht="19">
      <c r="E200" s="1" t="str">
        <f t="shared" si="10"/>
        <v/>
      </c>
      <c r="F200" s="1" t="str">
        <f t="shared" si="11"/>
        <v/>
      </c>
      <c r="M200" s="1"/>
    </row>
    <row r="201" spans="5:13" ht="19">
      <c r="E201" s="1" t="str">
        <f t="shared" si="10"/>
        <v/>
      </c>
      <c r="F201" s="1" t="str">
        <f t="shared" si="11"/>
        <v/>
      </c>
      <c r="M201" s="1"/>
    </row>
    <row r="202" spans="5:13" ht="19">
      <c r="E202" s="1" t="str">
        <f t="shared" si="10"/>
        <v/>
      </c>
      <c r="F202" s="1" t="str">
        <f t="shared" si="11"/>
        <v/>
      </c>
      <c r="M202" s="1"/>
    </row>
    <row r="203" spans="5:13" ht="19">
      <c r="E203" s="1" t="str">
        <f t="shared" si="10"/>
        <v/>
      </c>
      <c r="F203" s="1" t="str">
        <f t="shared" si="11"/>
        <v/>
      </c>
      <c r="M203" s="1"/>
    </row>
    <row r="204" spans="5:13" ht="19">
      <c r="E204" s="1" t="str">
        <f t="shared" si="10"/>
        <v/>
      </c>
      <c r="F204" s="1" t="str">
        <f t="shared" si="11"/>
        <v/>
      </c>
      <c r="M204" s="1"/>
    </row>
    <row r="205" spans="5:13" ht="19">
      <c r="E205" s="1" t="str">
        <f t="shared" si="10"/>
        <v/>
      </c>
      <c r="F205" s="1" t="str">
        <f t="shared" si="11"/>
        <v/>
      </c>
      <c r="M205" s="1"/>
    </row>
    <row r="206" spans="5:13" ht="19">
      <c r="E206" s="1" t="str">
        <f t="shared" si="10"/>
        <v/>
      </c>
      <c r="F206" s="1" t="str">
        <f t="shared" si="11"/>
        <v/>
      </c>
      <c r="M206" s="1"/>
    </row>
    <row r="207" spans="5:13" ht="19">
      <c r="E207" s="1" t="str">
        <f t="shared" si="10"/>
        <v/>
      </c>
      <c r="F207" s="1" t="str">
        <f t="shared" si="11"/>
        <v/>
      </c>
      <c r="M207" s="1"/>
    </row>
    <row r="208" spans="5:13" ht="19">
      <c r="E208" s="1" t="str">
        <f t="shared" si="10"/>
        <v/>
      </c>
      <c r="F208" s="1" t="str">
        <f t="shared" si="11"/>
        <v/>
      </c>
      <c r="M208" s="1"/>
    </row>
    <row r="209" spans="5:13" ht="19">
      <c r="E209" s="1" t="str">
        <f t="shared" si="10"/>
        <v/>
      </c>
      <c r="F209" s="1" t="str">
        <f t="shared" si="11"/>
        <v/>
      </c>
      <c r="M209" s="1"/>
    </row>
    <row r="210" spans="5:13" ht="19">
      <c r="E210" s="1" t="str">
        <f t="shared" si="10"/>
        <v/>
      </c>
      <c r="F210" s="1" t="str">
        <f t="shared" si="11"/>
        <v/>
      </c>
      <c r="M210" s="1"/>
    </row>
    <row r="211" spans="5:13" ht="19">
      <c r="E211" s="1" t="str">
        <f t="shared" si="10"/>
        <v/>
      </c>
      <c r="F211" s="1" t="str">
        <f t="shared" si="11"/>
        <v/>
      </c>
      <c r="M211" s="1"/>
    </row>
    <row r="212" spans="5:13" ht="19">
      <c r="E212" s="1" t="str">
        <f t="shared" si="10"/>
        <v/>
      </c>
      <c r="F212" s="1" t="str">
        <f t="shared" si="11"/>
        <v/>
      </c>
      <c r="M212" s="1"/>
    </row>
    <row r="213" spans="5:13" ht="19">
      <c r="E213" s="1" t="str">
        <f t="shared" si="10"/>
        <v/>
      </c>
      <c r="F213" s="1" t="str">
        <f t="shared" si="11"/>
        <v/>
      </c>
      <c r="M213" s="1"/>
    </row>
    <row r="214" spans="5:13" ht="19">
      <c r="E214" s="1" t="str">
        <f t="shared" si="10"/>
        <v/>
      </c>
      <c r="F214" s="1" t="str">
        <f t="shared" si="11"/>
        <v/>
      </c>
      <c r="M214" s="1"/>
    </row>
    <row r="215" spans="5:13" ht="19">
      <c r="E215" s="1" t="str">
        <f t="shared" si="10"/>
        <v/>
      </c>
      <c r="F215" s="1" t="str">
        <f t="shared" si="11"/>
        <v/>
      </c>
      <c r="M215" s="1"/>
    </row>
    <row r="216" spans="5:13" ht="19">
      <c r="E216" s="1" t="str">
        <f t="shared" si="10"/>
        <v/>
      </c>
      <c r="F216" s="1" t="str">
        <f t="shared" si="11"/>
        <v/>
      </c>
      <c r="M216" s="1"/>
    </row>
    <row r="217" spans="5:13" ht="19">
      <c r="E217" s="1" t="str">
        <f t="shared" si="10"/>
        <v/>
      </c>
      <c r="F217" s="1" t="str">
        <f t="shared" si="11"/>
        <v/>
      </c>
      <c r="M217" s="1"/>
    </row>
    <row r="218" spans="5:13" ht="19">
      <c r="E218" s="1" t="str">
        <f t="shared" si="10"/>
        <v/>
      </c>
      <c r="F218" s="1" t="str">
        <f t="shared" si="11"/>
        <v/>
      </c>
      <c r="M218" s="1"/>
    </row>
    <row r="219" spans="5:13" ht="19">
      <c r="E219" s="1" t="str">
        <f t="shared" si="10"/>
        <v/>
      </c>
      <c r="F219" s="1" t="str">
        <f t="shared" si="11"/>
        <v/>
      </c>
      <c r="M219" s="1"/>
    </row>
    <row r="220" spans="5:13" ht="19">
      <c r="E220" s="1" t="str">
        <f t="shared" si="10"/>
        <v/>
      </c>
      <c r="F220" s="1" t="str">
        <f t="shared" si="11"/>
        <v/>
      </c>
      <c r="M220" s="1"/>
    </row>
    <row r="221" spans="5:13" ht="19">
      <c r="E221" s="1" t="str">
        <f t="shared" si="10"/>
        <v/>
      </c>
      <c r="F221" s="1" t="str">
        <f t="shared" si="11"/>
        <v/>
      </c>
      <c r="M221" s="1"/>
    </row>
    <row r="222" spans="5:13" ht="19">
      <c r="E222" s="1" t="str">
        <f t="shared" si="10"/>
        <v/>
      </c>
      <c r="F222" s="1" t="str">
        <f t="shared" si="11"/>
        <v/>
      </c>
      <c r="M222" s="1"/>
    </row>
    <row r="223" spans="5:13" ht="19">
      <c r="E223" s="1" t="str">
        <f t="shared" si="10"/>
        <v/>
      </c>
      <c r="F223" s="1" t="str">
        <f t="shared" si="11"/>
        <v/>
      </c>
      <c r="M223" s="1"/>
    </row>
    <row r="224" spans="5:13" ht="19">
      <c r="E224" s="1" t="str">
        <f t="shared" si="10"/>
        <v/>
      </c>
      <c r="F224" s="1" t="str">
        <f t="shared" si="11"/>
        <v/>
      </c>
      <c r="M224" s="1"/>
    </row>
    <row r="225" spans="5:13" ht="19">
      <c r="E225" s="1" t="str">
        <f t="shared" si="10"/>
        <v/>
      </c>
      <c r="F225" s="1" t="str">
        <f t="shared" si="11"/>
        <v/>
      </c>
      <c r="M225" s="1"/>
    </row>
    <row r="226" spans="5:13" ht="19">
      <c r="E226" s="1" t="str">
        <f t="shared" si="10"/>
        <v/>
      </c>
      <c r="F226" s="1" t="str">
        <f t="shared" si="11"/>
        <v/>
      </c>
      <c r="M226" s="1"/>
    </row>
    <row r="227" spans="5:13" ht="19">
      <c r="E227" s="1" t="str">
        <f t="shared" si="10"/>
        <v/>
      </c>
      <c r="F227" s="1" t="str">
        <f t="shared" si="11"/>
        <v/>
      </c>
      <c r="M227" s="1"/>
    </row>
    <row r="228" spans="5:13" ht="19">
      <c r="E228" s="1" t="str">
        <f t="shared" si="10"/>
        <v/>
      </c>
      <c r="F228" s="1" t="str">
        <f t="shared" si="11"/>
        <v/>
      </c>
      <c r="M228" s="1"/>
    </row>
    <row r="229" spans="5:13" ht="19">
      <c r="E229" s="1" t="str">
        <f t="shared" si="10"/>
        <v/>
      </c>
      <c r="F229" s="1" t="str">
        <f t="shared" si="11"/>
        <v/>
      </c>
      <c r="M229" s="1"/>
    </row>
    <row r="230" spans="5:13" ht="19">
      <c r="E230" s="1" t="str">
        <f t="shared" si="10"/>
        <v/>
      </c>
      <c r="F230" s="1" t="str">
        <f t="shared" si="11"/>
        <v/>
      </c>
      <c r="M230" s="1"/>
    </row>
    <row r="231" spans="5:13" ht="19">
      <c r="E231" s="1" t="str">
        <f t="shared" si="10"/>
        <v/>
      </c>
      <c r="F231" s="1" t="str">
        <f t="shared" si="11"/>
        <v/>
      </c>
      <c r="M231" s="1"/>
    </row>
    <row r="232" spans="5:13" ht="19">
      <c r="E232" s="1" t="str">
        <f t="shared" ref="E232:E295" si="12">SUBSTITUTE(C232:C388,".",",")</f>
        <v/>
      </c>
      <c r="F232" s="1" t="str">
        <f t="shared" ref="F232:F295" si="13">SUBSTITUTE(D232:D388,".",",")</f>
        <v/>
      </c>
      <c r="M232" s="1"/>
    </row>
    <row r="233" spans="5:13" ht="19">
      <c r="E233" s="1" t="str">
        <f t="shared" si="12"/>
        <v/>
      </c>
      <c r="F233" s="1" t="str">
        <f t="shared" si="13"/>
        <v/>
      </c>
      <c r="M233" s="1"/>
    </row>
    <row r="234" spans="5:13" ht="19">
      <c r="E234" s="1" t="str">
        <f t="shared" si="12"/>
        <v/>
      </c>
      <c r="F234" s="1" t="str">
        <f t="shared" si="13"/>
        <v/>
      </c>
      <c r="M234" s="1"/>
    </row>
    <row r="235" spans="5:13" ht="19">
      <c r="E235" s="1" t="str">
        <f t="shared" si="12"/>
        <v/>
      </c>
      <c r="F235" s="1" t="str">
        <f t="shared" si="13"/>
        <v/>
      </c>
      <c r="M235" s="1"/>
    </row>
    <row r="236" spans="5:13" ht="19">
      <c r="E236" s="1" t="str">
        <f t="shared" si="12"/>
        <v/>
      </c>
      <c r="F236" s="1" t="str">
        <f t="shared" si="13"/>
        <v/>
      </c>
      <c r="M236" s="1"/>
    </row>
    <row r="237" spans="5:13" ht="19">
      <c r="E237" s="1" t="str">
        <f t="shared" si="12"/>
        <v/>
      </c>
      <c r="F237" s="1" t="str">
        <f t="shared" si="13"/>
        <v/>
      </c>
      <c r="M237" s="1"/>
    </row>
    <row r="238" spans="5:13" ht="19">
      <c r="E238" s="1" t="str">
        <f t="shared" si="12"/>
        <v/>
      </c>
      <c r="F238" s="1" t="str">
        <f t="shared" si="13"/>
        <v/>
      </c>
      <c r="M238" s="1"/>
    </row>
    <row r="239" spans="5:13" ht="19">
      <c r="E239" s="1" t="str">
        <f t="shared" si="12"/>
        <v/>
      </c>
      <c r="F239" s="1" t="str">
        <f t="shared" si="13"/>
        <v/>
      </c>
      <c r="M239" s="1"/>
    </row>
    <row r="240" spans="5:13" ht="19">
      <c r="E240" s="1" t="str">
        <f t="shared" si="12"/>
        <v/>
      </c>
      <c r="F240" s="1" t="str">
        <f t="shared" si="13"/>
        <v/>
      </c>
      <c r="M240" s="1"/>
    </row>
    <row r="241" spans="5:13" ht="19">
      <c r="E241" s="1" t="str">
        <f t="shared" si="12"/>
        <v/>
      </c>
      <c r="F241" s="1" t="str">
        <f t="shared" si="13"/>
        <v/>
      </c>
      <c r="M241" s="1"/>
    </row>
    <row r="242" spans="5:13" ht="19">
      <c r="E242" s="1" t="str">
        <f t="shared" si="12"/>
        <v/>
      </c>
      <c r="F242" s="1" t="str">
        <f t="shared" si="13"/>
        <v/>
      </c>
      <c r="M242" s="1"/>
    </row>
    <row r="243" spans="5:13" ht="19">
      <c r="E243" s="1" t="str">
        <f t="shared" si="12"/>
        <v/>
      </c>
      <c r="F243" s="1" t="str">
        <f t="shared" si="13"/>
        <v/>
      </c>
      <c r="M243" s="1"/>
    </row>
    <row r="244" spans="5:13" ht="19">
      <c r="E244" s="1" t="str">
        <f t="shared" si="12"/>
        <v/>
      </c>
      <c r="F244" s="1" t="str">
        <f t="shared" si="13"/>
        <v/>
      </c>
      <c r="M244" s="1"/>
    </row>
    <row r="245" spans="5:13" ht="19">
      <c r="E245" s="1" t="str">
        <f t="shared" si="12"/>
        <v/>
      </c>
      <c r="F245" s="1" t="str">
        <f t="shared" si="13"/>
        <v/>
      </c>
      <c r="M245" s="1"/>
    </row>
    <row r="246" spans="5:13" ht="19">
      <c r="E246" s="1" t="str">
        <f t="shared" si="12"/>
        <v/>
      </c>
      <c r="F246" s="1" t="str">
        <f t="shared" si="13"/>
        <v/>
      </c>
      <c r="M246" s="1"/>
    </row>
    <row r="247" spans="5:13" ht="19">
      <c r="E247" s="1" t="str">
        <f t="shared" si="12"/>
        <v/>
      </c>
      <c r="F247" s="1" t="str">
        <f t="shared" si="13"/>
        <v/>
      </c>
      <c r="M247" s="1"/>
    </row>
    <row r="248" spans="5:13" ht="19">
      <c r="E248" s="1" t="str">
        <f t="shared" si="12"/>
        <v/>
      </c>
      <c r="F248" s="1" t="str">
        <f t="shared" si="13"/>
        <v/>
      </c>
      <c r="M248" s="1"/>
    </row>
    <row r="249" spans="5:13" ht="19">
      <c r="E249" s="1" t="str">
        <f t="shared" si="12"/>
        <v/>
      </c>
      <c r="F249" s="1" t="str">
        <f t="shared" si="13"/>
        <v/>
      </c>
      <c r="M249" s="1"/>
    </row>
    <row r="250" spans="5:13" ht="19">
      <c r="E250" s="1" t="str">
        <f t="shared" si="12"/>
        <v/>
      </c>
      <c r="F250" s="1" t="str">
        <f t="shared" si="13"/>
        <v/>
      </c>
      <c r="M250" s="1"/>
    </row>
    <row r="251" spans="5:13" ht="19">
      <c r="E251" s="1" t="str">
        <f t="shared" si="12"/>
        <v/>
      </c>
      <c r="F251" s="1" t="str">
        <f t="shared" si="13"/>
        <v/>
      </c>
      <c r="M251" s="1"/>
    </row>
    <row r="252" spans="5:13" ht="19">
      <c r="E252" s="1" t="str">
        <f t="shared" si="12"/>
        <v/>
      </c>
      <c r="F252" s="1" t="str">
        <f t="shared" si="13"/>
        <v/>
      </c>
      <c r="M252" s="1"/>
    </row>
    <row r="253" spans="5:13" ht="19">
      <c r="E253" s="1" t="str">
        <f t="shared" si="12"/>
        <v/>
      </c>
      <c r="F253" s="1" t="str">
        <f t="shared" si="13"/>
        <v/>
      </c>
      <c r="M253" s="1"/>
    </row>
    <row r="254" spans="5:13" ht="19">
      <c r="E254" s="1" t="str">
        <f t="shared" si="12"/>
        <v/>
      </c>
      <c r="F254" s="1" t="str">
        <f t="shared" si="13"/>
        <v/>
      </c>
      <c r="M254" s="1"/>
    </row>
    <row r="255" spans="5:13" ht="19">
      <c r="E255" s="1" t="str">
        <f t="shared" si="12"/>
        <v/>
      </c>
      <c r="F255" s="1" t="str">
        <f t="shared" si="13"/>
        <v/>
      </c>
      <c r="M255" s="1"/>
    </row>
    <row r="256" spans="5:13" ht="19">
      <c r="E256" s="1" t="str">
        <f t="shared" si="12"/>
        <v/>
      </c>
      <c r="F256" s="1" t="str">
        <f t="shared" si="13"/>
        <v/>
      </c>
      <c r="M256" s="1"/>
    </row>
    <row r="257" spans="5:13" ht="19">
      <c r="E257" s="1" t="str">
        <f t="shared" si="12"/>
        <v/>
      </c>
      <c r="F257" s="1" t="str">
        <f t="shared" si="13"/>
        <v/>
      </c>
      <c r="M257" s="1"/>
    </row>
    <row r="258" spans="5:13" ht="19">
      <c r="E258" s="1" t="str">
        <f t="shared" si="12"/>
        <v/>
      </c>
      <c r="F258" s="1" t="str">
        <f t="shared" si="13"/>
        <v/>
      </c>
      <c r="M258" s="1"/>
    </row>
    <row r="259" spans="5:13" ht="19">
      <c r="E259" s="1" t="str">
        <f t="shared" si="12"/>
        <v/>
      </c>
      <c r="F259" s="1" t="str">
        <f t="shared" si="13"/>
        <v/>
      </c>
      <c r="M259" s="1"/>
    </row>
    <row r="260" spans="5:13" ht="19">
      <c r="E260" s="1" t="str">
        <f t="shared" si="12"/>
        <v/>
      </c>
      <c r="F260" s="1" t="str">
        <f t="shared" si="13"/>
        <v/>
      </c>
      <c r="M260" s="1"/>
    </row>
    <row r="261" spans="5:13" ht="19">
      <c r="E261" s="1" t="str">
        <f t="shared" si="12"/>
        <v/>
      </c>
      <c r="F261" s="1" t="str">
        <f t="shared" si="13"/>
        <v/>
      </c>
      <c r="M261" s="1"/>
    </row>
    <row r="262" spans="5:13" ht="19">
      <c r="E262" s="1" t="str">
        <f t="shared" si="12"/>
        <v/>
      </c>
      <c r="F262" s="1" t="str">
        <f t="shared" si="13"/>
        <v/>
      </c>
      <c r="M262" s="1"/>
    </row>
    <row r="263" spans="5:13" ht="19">
      <c r="E263" s="1" t="str">
        <f t="shared" si="12"/>
        <v/>
      </c>
      <c r="F263" s="1" t="str">
        <f t="shared" si="13"/>
        <v/>
      </c>
      <c r="M263" s="1"/>
    </row>
    <row r="264" spans="5:13" ht="19">
      <c r="E264" s="1" t="str">
        <f t="shared" si="12"/>
        <v/>
      </c>
      <c r="F264" s="1" t="str">
        <f t="shared" si="13"/>
        <v/>
      </c>
      <c r="M264" s="1"/>
    </row>
    <row r="265" spans="5:13" ht="19">
      <c r="E265" s="1" t="str">
        <f t="shared" si="12"/>
        <v/>
      </c>
      <c r="F265" s="1" t="str">
        <f t="shared" si="13"/>
        <v/>
      </c>
      <c r="M265" s="1"/>
    </row>
    <row r="266" spans="5:13" ht="19">
      <c r="E266" s="1" t="str">
        <f t="shared" si="12"/>
        <v/>
      </c>
      <c r="F266" s="1" t="str">
        <f t="shared" si="13"/>
        <v/>
      </c>
      <c r="M266" s="1"/>
    </row>
    <row r="267" spans="5:13" ht="19">
      <c r="E267" s="1" t="str">
        <f t="shared" si="12"/>
        <v/>
      </c>
      <c r="F267" s="1" t="str">
        <f t="shared" si="13"/>
        <v/>
      </c>
      <c r="M267" s="1"/>
    </row>
    <row r="268" spans="5:13" ht="19">
      <c r="E268" s="1" t="str">
        <f t="shared" si="12"/>
        <v/>
      </c>
      <c r="F268" s="1" t="str">
        <f t="shared" si="13"/>
        <v/>
      </c>
      <c r="M268" s="1"/>
    </row>
    <row r="269" spans="5:13" ht="19">
      <c r="E269" s="1" t="str">
        <f t="shared" si="12"/>
        <v/>
      </c>
      <c r="F269" s="1" t="str">
        <f t="shared" si="13"/>
        <v/>
      </c>
      <c r="M269" s="1"/>
    </row>
    <row r="270" spans="5:13" ht="19">
      <c r="E270" s="1" t="str">
        <f t="shared" si="12"/>
        <v/>
      </c>
      <c r="F270" s="1" t="str">
        <f t="shared" si="13"/>
        <v/>
      </c>
      <c r="M270" s="1"/>
    </row>
    <row r="271" spans="5:13" ht="19">
      <c r="E271" s="1" t="str">
        <f t="shared" si="12"/>
        <v/>
      </c>
      <c r="F271" s="1" t="str">
        <f t="shared" si="13"/>
        <v/>
      </c>
      <c r="M271" s="1"/>
    </row>
    <row r="272" spans="5:13" ht="19">
      <c r="E272" s="1" t="str">
        <f t="shared" si="12"/>
        <v/>
      </c>
      <c r="F272" s="1" t="str">
        <f t="shared" si="13"/>
        <v/>
      </c>
      <c r="M272" s="1"/>
    </row>
    <row r="273" spans="5:13" ht="19">
      <c r="E273" s="1" t="str">
        <f t="shared" si="12"/>
        <v/>
      </c>
      <c r="F273" s="1" t="str">
        <f t="shared" si="13"/>
        <v/>
      </c>
      <c r="M273" s="1"/>
    </row>
    <row r="274" spans="5:13" ht="19">
      <c r="E274" s="1" t="str">
        <f t="shared" si="12"/>
        <v/>
      </c>
      <c r="F274" s="1" t="str">
        <f t="shared" si="13"/>
        <v/>
      </c>
      <c r="M274" s="1"/>
    </row>
    <row r="275" spans="5:13" ht="19">
      <c r="E275" s="1" t="str">
        <f t="shared" si="12"/>
        <v/>
      </c>
      <c r="F275" s="1" t="str">
        <f t="shared" si="13"/>
        <v/>
      </c>
      <c r="M275" s="1"/>
    </row>
    <row r="276" spans="5:13" ht="19">
      <c r="E276" s="1" t="str">
        <f t="shared" si="12"/>
        <v/>
      </c>
      <c r="F276" s="1" t="str">
        <f t="shared" si="13"/>
        <v/>
      </c>
      <c r="M276" s="1"/>
    </row>
    <row r="277" spans="5:13" ht="19">
      <c r="E277" s="1" t="str">
        <f t="shared" si="12"/>
        <v/>
      </c>
      <c r="F277" s="1" t="str">
        <f t="shared" si="13"/>
        <v/>
      </c>
      <c r="M277" s="1"/>
    </row>
    <row r="278" spans="5:13" ht="19">
      <c r="E278" s="1" t="str">
        <f t="shared" si="12"/>
        <v/>
      </c>
      <c r="F278" s="1" t="str">
        <f t="shared" si="13"/>
        <v/>
      </c>
      <c r="M278" s="1"/>
    </row>
    <row r="279" spans="5:13" ht="19">
      <c r="E279" s="1" t="str">
        <f t="shared" si="12"/>
        <v/>
      </c>
      <c r="F279" s="1" t="str">
        <f t="shared" si="13"/>
        <v/>
      </c>
      <c r="M279" s="1"/>
    </row>
    <row r="280" spans="5:13" ht="19">
      <c r="E280" s="1" t="str">
        <f t="shared" si="12"/>
        <v/>
      </c>
      <c r="F280" s="1" t="str">
        <f t="shared" si="13"/>
        <v/>
      </c>
      <c r="M280" s="1"/>
    </row>
    <row r="281" spans="5:13" ht="19">
      <c r="E281" s="1" t="str">
        <f t="shared" si="12"/>
        <v/>
      </c>
      <c r="F281" s="1" t="str">
        <f t="shared" si="13"/>
        <v/>
      </c>
      <c r="M281" s="1"/>
    </row>
    <row r="282" spans="5:13" ht="19">
      <c r="E282" s="1" t="str">
        <f t="shared" si="12"/>
        <v/>
      </c>
      <c r="F282" s="1" t="str">
        <f t="shared" si="13"/>
        <v/>
      </c>
      <c r="M282" s="1"/>
    </row>
    <row r="283" spans="5:13" ht="19">
      <c r="E283" s="1" t="str">
        <f t="shared" si="12"/>
        <v/>
      </c>
      <c r="F283" s="1" t="str">
        <f t="shared" si="13"/>
        <v/>
      </c>
      <c r="M283" s="1"/>
    </row>
    <row r="284" spans="5:13" ht="19">
      <c r="E284" s="1" t="str">
        <f t="shared" si="12"/>
        <v/>
      </c>
      <c r="F284" s="1" t="str">
        <f t="shared" si="13"/>
        <v/>
      </c>
      <c r="M284" s="1"/>
    </row>
    <row r="285" spans="5:13" ht="19">
      <c r="E285" s="1" t="str">
        <f t="shared" si="12"/>
        <v/>
      </c>
      <c r="F285" s="1" t="str">
        <f t="shared" si="13"/>
        <v/>
      </c>
      <c r="M285" s="1"/>
    </row>
    <row r="286" spans="5:13" ht="19">
      <c r="E286" s="1" t="str">
        <f t="shared" si="12"/>
        <v/>
      </c>
      <c r="F286" s="1" t="str">
        <f t="shared" si="13"/>
        <v/>
      </c>
      <c r="M286" s="1"/>
    </row>
    <row r="287" spans="5:13" ht="19">
      <c r="E287" s="1" t="str">
        <f t="shared" si="12"/>
        <v/>
      </c>
      <c r="F287" s="1" t="str">
        <f t="shared" si="13"/>
        <v/>
      </c>
      <c r="M287" s="1"/>
    </row>
    <row r="288" spans="5:13" ht="19">
      <c r="E288" s="1" t="str">
        <f t="shared" si="12"/>
        <v/>
      </c>
      <c r="F288" s="1" t="str">
        <f t="shared" si="13"/>
        <v/>
      </c>
      <c r="M288" s="1"/>
    </row>
    <row r="289" spans="5:13" ht="19">
      <c r="E289" s="1" t="str">
        <f t="shared" si="12"/>
        <v/>
      </c>
      <c r="F289" s="1" t="str">
        <f t="shared" si="13"/>
        <v/>
      </c>
      <c r="M289" s="1"/>
    </row>
    <row r="290" spans="5:13" ht="19">
      <c r="E290" s="1" t="str">
        <f t="shared" si="12"/>
        <v/>
      </c>
      <c r="F290" s="1" t="str">
        <f t="shared" si="13"/>
        <v/>
      </c>
      <c r="M290" s="1"/>
    </row>
    <row r="291" spans="5:13" ht="19">
      <c r="E291" s="1" t="str">
        <f t="shared" si="12"/>
        <v/>
      </c>
      <c r="F291" s="1" t="str">
        <f t="shared" si="13"/>
        <v/>
      </c>
      <c r="M291" s="1"/>
    </row>
    <row r="292" spans="5:13" ht="19">
      <c r="E292" s="1" t="str">
        <f t="shared" si="12"/>
        <v/>
      </c>
      <c r="F292" s="1" t="str">
        <f t="shared" si="13"/>
        <v/>
      </c>
      <c r="M292" s="1"/>
    </row>
    <row r="293" spans="5:13" ht="19">
      <c r="E293" s="1" t="str">
        <f t="shared" si="12"/>
        <v/>
      </c>
      <c r="F293" s="1" t="str">
        <f t="shared" si="13"/>
        <v/>
      </c>
      <c r="M293" s="1"/>
    </row>
    <row r="294" spans="5:13" ht="19">
      <c r="E294" s="1" t="str">
        <f t="shared" si="12"/>
        <v/>
      </c>
      <c r="F294" s="1" t="str">
        <f t="shared" si="13"/>
        <v/>
      </c>
      <c r="M294" s="1"/>
    </row>
    <row r="295" spans="5:13" ht="19">
      <c r="E295" s="1" t="str">
        <f t="shared" si="12"/>
        <v/>
      </c>
      <c r="F295" s="1" t="str">
        <f t="shared" si="13"/>
        <v/>
      </c>
      <c r="M295" s="1"/>
    </row>
    <row r="296" spans="5:13" ht="19">
      <c r="E296" s="1" t="str">
        <f t="shared" ref="E296:E323" si="14">SUBSTITUTE(C296:C452,".",",")</f>
        <v/>
      </c>
      <c r="F296" s="1" t="str">
        <f t="shared" ref="F296:F323" si="15">SUBSTITUTE(D296:D452,".",",")</f>
        <v/>
      </c>
      <c r="M296" s="1"/>
    </row>
    <row r="297" spans="5:13" ht="19">
      <c r="E297" s="1" t="str">
        <f t="shared" si="14"/>
        <v/>
      </c>
      <c r="F297" s="1" t="str">
        <f t="shared" si="15"/>
        <v/>
      </c>
      <c r="M297" s="1"/>
    </row>
    <row r="298" spans="5:13" ht="19">
      <c r="E298" s="1" t="str">
        <f t="shared" si="14"/>
        <v/>
      </c>
      <c r="F298" s="1" t="str">
        <f t="shared" si="15"/>
        <v/>
      </c>
      <c r="M298" s="1"/>
    </row>
    <row r="299" spans="5:13" ht="19">
      <c r="E299" s="1" t="str">
        <f t="shared" si="14"/>
        <v/>
      </c>
      <c r="F299" s="1" t="str">
        <f t="shared" si="15"/>
        <v/>
      </c>
      <c r="M299" s="1"/>
    </row>
    <row r="300" spans="5:13" ht="19">
      <c r="E300" s="1" t="str">
        <f t="shared" si="14"/>
        <v/>
      </c>
      <c r="F300" s="1" t="str">
        <f t="shared" si="15"/>
        <v/>
      </c>
      <c r="M300" s="1"/>
    </row>
    <row r="301" spans="5:13" ht="19">
      <c r="E301" s="1" t="str">
        <f t="shared" si="14"/>
        <v/>
      </c>
      <c r="F301" s="1" t="str">
        <f t="shared" si="15"/>
        <v/>
      </c>
      <c r="M301" s="1"/>
    </row>
    <row r="302" spans="5:13" ht="19">
      <c r="E302" s="1" t="str">
        <f t="shared" si="14"/>
        <v/>
      </c>
      <c r="F302" s="1" t="str">
        <f t="shared" si="15"/>
        <v/>
      </c>
      <c r="M302" s="1"/>
    </row>
    <row r="303" spans="5:13" ht="19">
      <c r="E303" s="1" t="str">
        <f t="shared" si="14"/>
        <v/>
      </c>
      <c r="F303" s="1" t="str">
        <f t="shared" si="15"/>
        <v/>
      </c>
      <c r="M303" s="1"/>
    </row>
    <row r="304" spans="5:13" ht="19">
      <c r="E304" s="1" t="str">
        <f t="shared" si="14"/>
        <v/>
      </c>
      <c r="F304" s="1" t="str">
        <f t="shared" si="15"/>
        <v/>
      </c>
      <c r="M304" s="1"/>
    </row>
    <row r="305" spans="5:13" ht="19">
      <c r="E305" s="1" t="str">
        <f t="shared" si="14"/>
        <v/>
      </c>
      <c r="F305" s="1" t="str">
        <f t="shared" si="15"/>
        <v/>
      </c>
      <c r="M305" s="1"/>
    </row>
    <row r="306" spans="5:13" ht="19">
      <c r="E306" s="1" t="str">
        <f t="shared" si="14"/>
        <v/>
      </c>
      <c r="F306" s="1" t="str">
        <f t="shared" si="15"/>
        <v/>
      </c>
      <c r="M306" s="1"/>
    </row>
    <row r="307" spans="5:13" ht="19">
      <c r="E307" s="1" t="str">
        <f t="shared" si="14"/>
        <v/>
      </c>
      <c r="F307" s="1" t="str">
        <f t="shared" si="15"/>
        <v/>
      </c>
      <c r="M307" s="1"/>
    </row>
    <row r="308" spans="5:13" ht="19">
      <c r="E308" s="1" t="str">
        <f t="shared" si="14"/>
        <v/>
      </c>
      <c r="F308" s="1" t="str">
        <f t="shared" si="15"/>
        <v/>
      </c>
      <c r="M308" s="1"/>
    </row>
    <row r="309" spans="5:13" ht="19">
      <c r="E309" s="1" t="str">
        <f t="shared" si="14"/>
        <v/>
      </c>
      <c r="F309" s="1" t="str">
        <f t="shared" si="15"/>
        <v/>
      </c>
      <c r="M309" s="1"/>
    </row>
    <row r="310" spans="5:13" ht="19">
      <c r="E310" s="1" t="str">
        <f t="shared" si="14"/>
        <v/>
      </c>
      <c r="F310" s="1" t="str">
        <f t="shared" si="15"/>
        <v/>
      </c>
      <c r="M310" s="1"/>
    </row>
    <row r="311" spans="5:13" ht="19">
      <c r="E311" s="1" t="str">
        <f t="shared" si="14"/>
        <v/>
      </c>
      <c r="F311" s="1" t="str">
        <f t="shared" si="15"/>
        <v/>
      </c>
      <c r="M311" s="1"/>
    </row>
    <row r="312" spans="5:13" ht="19">
      <c r="E312" s="1" t="str">
        <f t="shared" si="14"/>
        <v/>
      </c>
      <c r="F312" s="1" t="str">
        <f t="shared" si="15"/>
        <v/>
      </c>
      <c r="M312" s="1"/>
    </row>
    <row r="313" spans="5:13" ht="19">
      <c r="E313" s="1" t="str">
        <f t="shared" si="14"/>
        <v/>
      </c>
      <c r="F313" s="1" t="str">
        <f t="shared" si="15"/>
        <v/>
      </c>
      <c r="M313" s="1"/>
    </row>
    <row r="314" spans="5:13" ht="19">
      <c r="E314" s="1" t="str">
        <f t="shared" si="14"/>
        <v/>
      </c>
      <c r="F314" s="1" t="str">
        <f t="shared" si="15"/>
        <v/>
      </c>
      <c r="M314" s="1"/>
    </row>
    <row r="315" spans="5:13" ht="19">
      <c r="E315" s="1" t="str">
        <f t="shared" si="14"/>
        <v/>
      </c>
      <c r="F315" s="1" t="str">
        <f t="shared" si="15"/>
        <v/>
      </c>
      <c r="M315" s="1"/>
    </row>
    <row r="316" spans="5:13" ht="19">
      <c r="E316" s="1" t="str">
        <f t="shared" si="14"/>
        <v/>
      </c>
      <c r="F316" s="1" t="str">
        <f t="shared" si="15"/>
        <v/>
      </c>
      <c r="M316" s="1"/>
    </row>
    <row r="317" spans="5:13" ht="19">
      <c r="E317" s="1" t="str">
        <f t="shared" si="14"/>
        <v/>
      </c>
      <c r="F317" s="1" t="str">
        <f t="shared" si="15"/>
        <v/>
      </c>
      <c r="M317" s="1"/>
    </row>
    <row r="318" spans="5:13" ht="19">
      <c r="E318" s="1" t="str">
        <f t="shared" si="14"/>
        <v/>
      </c>
      <c r="F318" s="1" t="str">
        <f t="shared" si="15"/>
        <v/>
      </c>
      <c r="M318" s="1"/>
    </row>
    <row r="319" spans="5:13" ht="19">
      <c r="E319" s="1" t="str">
        <f t="shared" si="14"/>
        <v/>
      </c>
      <c r="F319" s="1" t="str">
        <f t="shared" si="15"/>
        <v/>
      </c>
      <c r="M319" s="1"/>
    </row>
    <row r="320" spans="5:13" ht="19">
      <c r="E320" s="1" t="str">
        <f t="shared" si="14"/>
        <v/>
      </c>
      <c r="F320" s="1" t="str">
        <f t="shared" si="15"/>
        <v/>
      </c>
      <c r="M320" s="1"/>
    </row>
    <row r="321" spans="5:13" ht="19">
      <c r="E321" s="1" t="str">
        <f t="shared" si="14"/>
        <v/>
      </c>
      <c r="F321" s="1" t="str">
        <f t="shared" si="15"/>
        <v/>
      </c>
      <c r="M321" s="1"/>
    </row>
    <row r="322" spans="5:13" ht="19">
      <c r="E322" s="1" t="str">
        <f t="shared" si="14"/>
        <v/>
      </c>
      <c r="F322" s="1" t="str">
        <f t="shared" si="15"/>
        <v/>
      </c>
      <c r="M322" s="1"/>
    </row>
    <row r="323" spans="5:13" ht="19">
      <c r="E323" s="1" t="str">
        <f t="shared" si="14"/>
        <v/>
      </c>
      <c r="F323" s="1" t="str">
        <f t="shared" si="15"/>
        <v/>
      </c>
      <c r="M323" s="1"/>
    </row>
    <row r="324" spans="5:13" ht="19">
      <c r="M324" s="1"/>
    </row>
  </sheetData>
  <pageMargins left="0.7" right="0.7" top="0.75" bottom="0.75" header="0.3" footer="0.3"/>
  <ignoredErrors>
    <ignoredError sqref="M8:M15" formulaRange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9E019-28CB-6A45-8F67-9BA825113FEF}">
  <dimension ref="A1:M192"/>
  <sheetViews>
    <sheetView zoomScale="87" workbookViewId="0">
      <selection activeCell="K23" sqref="K23:L23"/>
    </sheetView>
  </sheetViews>
  <sheetFormatPr baseColWidth="10" defaultRowHeight="16"/>
  <cols>
    <col min="1" max="1" width="22.83203125" customWidth="1"/>
    <col min="2" max="2" width="27" customWidth="1"/>
    <col min="4" max="5" width="12.1640625" customWidth="1"/>
    <col min="6" max="6" width="10.83203125" customWidth="1"/>
    <col min="8" max="8" width="11" customWidth="1"/>
    <col min="9" max="9" width="12" customWidth="1"/>
    <col min="10" max="10" width="12.5" customWidth="1"/>
    <col min="11" max="11" width="10.83203125" customWidth="1"/>
    <col min="12" max="12" width="13" customWidth="1"/>
  </cols>
  <sheetData>
    <row r="1" spans="1:13" ht="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9">
      <c r="A2" s="1" t="s">
        <v>7</v>
      </c>
      <c r="B2" s="2">
        <f>'risk free'!B1</f>
        <v>1.6799999999999999E-2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9">
      <c r="A3" s="1" t="s">
        <v>8</v>
      </c>
      <c r="B3" s="2">
        <f>'risk premium and def risk'!E2</f>
        <v>5.7392597600088587E-2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19">
      <c r="A4" s="1" t="s">
        <v>9</v>
      </c>
      <c r="B4" s="93">
        <f>beta!E28</f>
        <v>0.91268128001579152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20" thickBot="1">
      <c r="A5" s="20" t="s">
        <v>10</v>
      </c>
      <c r="B5" s="65">
        <f>B2+B4*(B3-B2)</f>
        <v>5.3848103936814801E-2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20" thickTop="1">
      <c r="A6" s="21" t="s">
        <v>41</v>
      </c>
      <c r="B6" s="22">
        <f>B8/B7</f>
        <v>27.407222696580195</v>
      </c>
      <c r="C6" s="3" t="s">
        <v>78</v>
      </c>
      <c r="D6" s="98" t="s">
        <v>407</v>
      </c>
      <c r="E6" s="35"/>
      <c r="F6" s="34"/>
      <c r="G6" s="34"/>
      <c r="H6" s="1"/>
      <c r="I6" s="97" t="s">
        <v>408</v>
      </c>
      <c r="J6" s="37"/>
      <c r="K6" s="37"/>
      <c r="L6" s="37"/>
      <c r="M6" s="1"/>
    </row>
    <row r="7" spans="1:13" ht="19">
      <c r="A7" s="75" t="s">
        <v>42</v>
      </c>
      <c r="B7" s="94">
        <v>2726000</v>
      </c>
      <c r="C7" s="1"/>
      <c r="D7" s="36" t="s">
        <v>44</v>
      </c>
      <c r="E7" s="36" t="s">
        <v>45</v>
      </c>
      <c r="F7" s="36" t="s">
        <v>46</v>
      </c>
      <c r="G7" s="36" t="s">
        <v>47</v>
      </c>
      <c r="H7" s="1"/>
      <c r="I7" s="36" t="s">
        <v>43</v>
      </c>
      <c r="J7" s="36"/>
      <c r="K7" s="36"/>
      <c r="L7" s="38"/>
      <c r="M7" s="1"/>
    </row>
    <row r="8" spans="1:13" ht="19">
      <c r="A8" s="1" t="s">
        <v>18</v>
      </c>
      <c r="B8" s="11">
        <f>adjustments!B13</f>
        <v>74712089.070877612</v>
      </c>
      <c r="C8" s="1"/>
      <c r="D8" s="36" t="s">
        <v>48</v>
      </c>
      <c r="E8" s="36">
        <v>100000</v>
      </c>
      <c r="F8" s="36" t="s">
        <v>49</v>
      </c>
      <c r="G8" s="96" t="s">
        <v>81</v>
      </c>
      <c r="H8" s="1"/>
      <c r="I8" s="36" t="s">
        <v>79</v>
      </c>
      <c r="J8" s="36" t="s">
        <v>45</v>
      </c>
      <c r="K8" s="36" t="s">
        <v>46</v>
      </c>
      <c r="L8" s="36" t="s">
        <v>47</v>
      </c>
      <c r="M8" s="1"/>
    </row>
    <row r="9" spans="1:13" ht="19">
      <c r="A9" s="1" t="s">
        <v>7</v>
      </c>
      <c r="B9" s="2">
        <f>'risk free'!B1</f>
        <v>1.6799999999999999E-2</v>
      </c>
      <c r="C9" s="1"/>
      <c r="D9" s="36" t="s">
        <v>50</v>
      </c>
      <c r="E9" s="39">
        <v>8499999</v>
      </c>
      <c r="F9" s="36" t="s">
        <v>51</v>
      </c>
      <c r="G9" s="96" t="s">
        <v>83</v>
      </c>
      <c r="H9" s="1"/>
      <c r="I9" s="36" t="s">
        <v>80</v>
      </c>
      <c r="J9" s="36">
        <v>100000</v>
      </c>
      <c r="K9" s="36" t="s">
        <v>49</v>
      </c>
      <c r="L9" s="96" t="s">
        <v>81</v>
      </c>
      <c r="M9" s="1"/>
    </row>
    <row r="10" spans="1:13" ht="19">
      <c r="A10" s="7" t="s">
        <v>100</v>
      </c>
      <c r="B10" s="95">
        <v>6.4999999999999997E-3</v>
      </c>
      <c r="C10" s="1"/>
      <c r="D10" s="36" t="s">
        <v>52</v>
      </c>
      <c r="E10" s="39">
        <v>6499999</v>
      </c>
      <c r="F10" s="36" t="s">
        <v>53</v>
      </c>
      <c r="G10" s="96" t="s">
        <v>85</v>
      </c>
      <c r="H10" s="1"/>
      <c r="I10" s="36" t="s">
        <v>82</v>
      </c>
      <c r="J10" s="39">
        <v>12499999</v>
      </c>
      <c r="K10" s="36" t="s">
        <v>51</v>
      </c>
      <c r="L10" s="96" t="s">
        <v>83</v>
      </c>
      <c r="M10" s="1"/>
    </row>
    <row r="11" spans="1:13" ht="19">
      <c r="A11" s="1" t="s">
        <v>101</v>
      </c>
      <c r="B11" s="2">
        <f>'risk premium and def risk'!O23</f>
        <v>2.0376335490893467E-2</v>
      </c>
      <c r="C11" s="1"/>
      <c r="D11" s="36" t="s">
        <v>54</v>
      </c>
      <c r="E11" s="39">
        <v>5499999</v>
      </c>
      <c r="F11" s="36" t="s">
        <v>55</v>
      </c>
      <c r="G11" s="96" t="s">
        <v>86</v>
      </c>
      <c r="H11" s="1"/>
      <c r="I11" s="36" t="s">
        <v>84</v>
      </c>
      <c r="J11" s="39">
        <v>9499999</v>
      </c>
      <c r="K11" s="36" t="s">
        <v>53</v>
      </c>
      <c r="L11" s="96" t="s">
        <v>85</v>
      </c>
      <c r="M11" s="1"/>
    </row>
    <row r="12" spans="1:13" ht="19">
      <c r="A12" s="4" t="s">
        <v>102</v>
      </c>
      <c r="B12" s="5">
        <f>(B9+B11+B10)</f>
        <v>4.3676335490893468E-2</v>
      </c>
      <c r="C12" s="1"/>
      <c r="D12" s="36">
        <v>3</v>
      </c>
      <c r="E12" s="39">
        <v>4249999</v>
      </c>
      <c r="F12" s="36" t="s">
        <v>56</v>
      </c>
      <c r="G12" s="96" t="s">
        <v>88</v>
      </c>
      <c r="H12" s="1"/>
      <c r="I12" s="36">
        <v>6</v>
      </c>
      <c r="J12" s="39">
        <v>7499999</v>
      </c>
      <c r="K12" s="36" t="s">
        <v>55</v>
      </c>
      <c r="L12" s="96" t="s">
        <v>86</v>
      </c>
      <c r="M12" s="1"/>
    </row>
    <row r="13" spans="1:13" ht="19">
      <c r="A13" s="1"/>
      <c r="B13" s="1"/>
      <c r="C13" s="1"/>
      <c r="D13" s="36" t="s">
        <v>57</v>
      </c>
      <c r="E13" s="39">
        <v>2999999</v>
      </c>
      <c r="F13" s="36" t="s">
        <v>58</v>
      </c>
      <c r="G13" s="96" t="s">
        <v>89</v>
      </c>
      <c r="H13" s="1"/>
      <c r="I13" s="36" t="s">
        <v>87</v>
      </c>
      <c r="J13" s="39">
        <v>5999999</v>
      </c>
      <c r="K13" s="36" t="s">
        <v>56</v>
      </c>
      <c r="L13" s="96" t="s">
        <v>88</v>
      </c>
      <c r="M13" s="1"/>
    </row>
    <row r="14" spans="1:13" ht="19">
      <c r="A14" s="1"/>
      <c r="B14" s="1"/>
      <c r="C14" s="1"/>
      <c r="D14" s="36" t="s">
        <v>59</v>
      </c>
      <c r="E14" s="39">
        <v>249999</v>
      </c>
      <c r="F14" s="36" t="s">
        <v>60</v>
      </c>
      <c r="G14" s="96" t="s">
        <v>91</v>
      </c>
      <c r="H14" s="1"/>
      <c r="I14" s="36">
        <v>4</v>
      </c>
      <c r="J14" s="39">
        <v>4499999</v>
      </c>
      <c r="K14" s="36" t="s">
        <v>58</v>
      </c>
      <c r="L14" s="96" t="s">
        <v>89</v>
      </c>
      <c r="M14" s="1"/>
    </row>
    <row r="15" spans="1:13" ht="19">
      <c r="A15" s="1"/>
      <c r="B15" s="1"/>
      <c r="C15" s="1"/>
      <c r="D15" s="36">
        <v>2</v>
      </c>
      <c r="E15" s="39">
        <v>22499999</v>
      </c>
      <c r="F15" s="36" t="s">
        <v>61</v>
      </c>
      <c r="G15" s="96" t="s">
        <v>92</v>
      </c>
      <c r="H15" s="1"/>
      <c r="I15" s="36" t="s">
        <v>90</v>
      </c>
      <c r="J15" s="39">
        <v>39999999</v>
      </c>
      <c r="K15" s="36" t="s">
        <v>60</v>
      </c>
      <c r="L15" s="96" t="s">
        <v>91</v>
      </c>
      <c r="M15" s="1"/>
    </row>
    <row r="16" spans="1:13" ht="19">
      <c r="A16" s="1"/>
      <c r="B16" s="1"/>
      <c r="C16" s="1"/>
      <c r="D16" s="36" t="s">
        <v>62</v>
      </c>
      <c r="E16" s="39">
        <v>1999999</v>
      </c>
      <c r="F16" s="36" t="s">
        <v>63</v>
      </c>
      <c r="G16" s="96" t="s">
        <v>93</v>
      </c>
      <c r="H16" s="1"/>
      <c r="I16" s="36">
        <v>3</v>
      </c>
      <c r="J16" s="39">
        <v>3499999</v>
      </c>
      <c r="K16" s="36" t="s">
        <v>61</v>
      </c>
      <c r="L16" s="96" t="s">
        <v>92</v>
      </c>
      <c r="M16" s="1"/>
    </row>
    <row r="17" spans="1:13" ht="19">
      <c r="A17" s="1"/>
      <c r="B17" s="1"/>
      <c r="C17" s="1"/>
      <c r="D17" s="36" t="s">
        <v>64</v>
      </c>
      <c r="E17" s="39">
        <v>1749999</v>
      </c>
      <c r="F17" s="36" t="s">
        <v>65</v>
      </c>
      <c r="G17" s="96" t="s">
        <v>94</v>
      </c>
      <c r="H17" s="1"/>
      <c r="I17" s="36" t="s">
        <v>57</v>
      </c>
      <c r="J17" s="39">
        <v>2999999</v>
      </c>
      <c r="K17" s="36" t="s">
        <v>63</v>
      </c>
      <c r="L17" s="96" t="s">
        <v>93</v>
      </c>
      <c r="M17" s="1"/>
    </row>
    <row r="18" spans="1:13" ht="19">
      <c r="A18" s="1"/>
      <c r="B18" s="1"/>
      <c r="C18" s="1"/>
      <c r="D18" s="36" t="s">
        <v>66</v>
      </c>
      <c r="E18" s="39">
        <v>1499999</v>
      </c>
      <c r="F18" s="36" t="s">
        <v>67</v>
      </c>
      <c r="G18" s="96" t="s">
        <v>95</v>
      </c>
      <c r="H18" s="1"/>
      <c r="I18" s="36">
        <v>2</v>
      </c>
      <c r="J18" s="39">
        <v>2499999</v>
      </c>
      <c r="K18" s="36" t="s">
        <v>65</v>
      </c>
      <c r="L18" s="96" t="s">
        <v>94</v>
      </c>
      <c r="M18" s="1"/>
    </row>
    <row r="19" spans="1:13" ht="19">
      <c r="A19" s="1"/>
      <c r="B19" s="1"/>
      <c r="C19" s="1"/>
      <c r="D19" s="36" t="s">
        <v>68</v>
      </c>
      <c r="E19" s="39">
        <v>1249999</v>
      </c>
      <c r="F19" s="36" t="s">
        <v>69</v>
      </c>
      <c r="G19" s="96" t="s">
        <v>96</v>
      </c>
      <c r="H19" s="1"/>
      <c r="I19" s="36" t="s">
        <v>64</v>
      </c>
      <c r="J19" s="39">
        <v>1999999</v>
      </c>
      <c r="K19" s="36" t="s">
        <v>67</v>
      </c>
      <c r="L19" s="96" t="s">
        <v>95</v>
      </c>
      <c r="M19" s="1"/>
    </row>
    <row r="20" spans="1:13" ht="19">
      <c r="A20" s="1"/>
      <c r="B20" s="1"/>
      <c r="C20" s="1"/>
      <c r="D20" s="36" t="s">
        <v>70</v>
      </c>
      <c r="E20" s="36" t="s">
        <v>71</v>
      </c>
      <c r="F20" s="36" t="s">
        <v>72</v>
      </c>
      <c r="G20" s="96" t="s">
        <v>97</v>
      </c>
      <c r="H20" s="1"/>
      <c r="I20" s="36" t="s">
        <v>66</v>
      </c>
      <c r="J20" s="39">
        <v>1499999</v>
      </c>
      <c r="K20" s="36" t="s">
        <v>69</v>
      </c>
      <c r="L20" s="96" t="s">
        <v>96</v>
      </c>
      <c r="M20" s="1"/>
    </row>
    <row r="21" spans="1:13" ht="19">
      <c r="A21" s="1"/>
      <c r="B21" s="1"/>
      <c r="C21" s="1"/>
      <c r="D21" s="36" t="s">
        <v>73</v>
      </c>
      <c r="E21" s="36" t="s">
        <v>74</v>
      </c>
      <c r="F21" s="36" t="s">
        <v>75</v>
      </c>
      <c r="G21" s="96" t="s">
        <v>99</v>
      </c>
      <c r="H21" s="1"/>
      <c r="I21" s="36" t="s">
        <v>68</v>
      </c>
      <c r="J21" s="39">
        <v>1249999</v>
      </c>
      <c r="K21" s="36" t="s">
        <v>72</v>
      </c>
      <c r="L21" s="96" t="s">
        <v>97</v>
      </c>
      <c r="M21" s="1"/>
    </row>
    <row r="22" spans="1:13" ht="19">
      <c r="A22" s="1"/>
      <c r="B22" s="1"/>
      <c r="C22" s="1"/>
      <c r="D22" s="36">
        <v>-100000</v>
      </c>
      <c r="E22" s="36" t="s">
        <v>76</v>
      </c>
      <c r="F22" s="36" t="s">
        <v>77</v>
      </c>
      <c r="G22" s="96" t="s">
        <v>103</v>
      </c>
      <c r="H22" s="1"/>
      <c r="I22" s="36" t="s">
        <v>98</v>
      </c>
      <c r="J22" s="36" t="s">
        <v>71</v>
      </c>
      <c r="K22" s="36" t="s">
        <v>75</v>
      </c>
      <c r="L22" s="96" t="s">
        <v>99</v>
      </c>
      <c r="M22" s="1"/>
    </row>
    <row r="23" spans="1:13" ht="19">
      <c r="C23" s="1"/>
      <c r="D23" s="1"/>
      <c r="E23" s="1"/>
      <c r="F23" s="1"/>
      <c r="G23" s="1"/>
      <c r="H23" s="1"/>
      <c r="I23" s="1"/>
      <c r="J23" s="1"/>
      <c r="K23" s="107"/>
      <c r="L23" s="107"/>
      <c r="M23" s="1"/>
    </row>
    <row r="24" spans="1:13" ht="19">
      <c r="A24" s="1" t="s">
        <v>104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9">
      <c r="A25" s="4" t="s">
        <v>108</v>
      </c>
      <c r="B25" s="5">
        <f>B26/(B26+B29)</f>
        <v>0.95631067877789444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9">
      <c r="A26" s="1" t="s">
        <v>106</v>
      </c>
      <c r="B26" s="125">
        <f>B27*B28</f>
        <v>2254312820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ht="19">
      <c r="A27" s="75" t="s">
        <v>409</v>
      </c>
      <c r="B27" s="75">
        <v>134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9">
      <c r="A28" s="75" t="s">
        <v>109</v>
      </c>
      <c r="B28" s="99">
        <f>16823230</f>
        <v>16823230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">
      <c r="A29" s="1" t="s">
        <v>6</v>
      </c>
      <c r="B29" s="172">
        <f>adjustments!B50</f>
        <v>102988912.61358079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ht="19">
      <c r="A30" s="4" t="s">
        <v>6</v>
      </c>
      <c r="B30" s="5">
        <f>B29/(B29+B26)</f>
        <v>4.3689321222105594E-2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20" thickBo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20" thickBot="1">
      <c r="A32" s="31" t="s">
        <v>110</v>
      </c>
      <c r="B32" s="64">
        <f>(B25*B5+B12*B30)</f>
        <v>5.3403706277784069E-2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ht="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3" ht="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3" ht="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3" ht="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3" ht="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3" ht="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3" ht="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3" ht="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3" ht="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3" ht="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spans="1:12" ht="1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spans="1:12" ht="1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spans="1:12" ht="1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spans="1:12" ht="1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spans="1:12" ht="1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spans="1:12" ht="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spans="1:12" ht="1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spans="1:12" ht="1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spans="1:12" ht="1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spans="1:12" ht="1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spans="1:12" ht="1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spans="1:12" ht="1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spans="1:12" ht="1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 ht="1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spans="1:12" ht="1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spans="1:12" ht="1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spans="1:12" ht="1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spans="1:12" ht="1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spans="1:12" ht="1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spans="1:12" ht="1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 ht="1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spans="1:12" ht="1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spans="1:12" ht="1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spans="1:12" ht="1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spans="1:12" ht="1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ht="1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spans="1:12" ht="1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 ht="1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spans="1:12" ht="1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ht="1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ht="1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ht="1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ht="1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ht="1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spans="1:12" ht="1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spans="1:12" ht="1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spans="1:12" ht="1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ht="1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ht="1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ht="1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ht="1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ht="1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spans="1:12" ht="1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spans="1:12" ht="1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spans="1:12" ht="1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ht="1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spans="1:12" ht="1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spans="1:12" ht="1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spans="1:12" ht="1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ht="1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ht="1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ht="1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ht="1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ht="1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spans="1:12" ht="1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spans="1:12" ht="1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spans="1:12" ht="1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ht="1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ht="1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ht="1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ht="1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ht="1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spans="1:12" ht="1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spans="1:12" ht="1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spans="1:12" ht="1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ht="1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ht="1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ht="1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spans="1:12" ht="1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spans="1:12" ht="1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spans="1:12" ht="1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ht="1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ht="1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ht="1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ht="1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ht="1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spans="1:12" ht="1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spans="1:12" ht="1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spans="1:12" ht="1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2FED-B67E-D04A-A71C-35B4DD0C3BCC}">
  <dimension ref="A1:W65"/>
  <sheetViews>
    <sheetView workbookViewId="0">
      <selection activeCell="C3" sqref="C3:J3"/>
    </sheetView>
  </sheetViews>
  <sheetFormatPr baseColWidth="10" defaultRowHeight="16"/>
  <cols>
    <col min="1" max="1" width="20.6640625" customWidth="1"/>
  </cols>
  <sheetData>
    <row r="1" spans="1:23" ht="19">
      <c r="A1" s="4" t="s">
        <v>7</v>
      </c>
      <c r="B1" s="5">
        <f>B2-B3</f>
        <v>1.6799999999999999E-2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9">
      <c r="A2" s="1" t="s">
        <v>11</v>
      </c>
      <c r="B2" s="92">
        <v>1.6799999999999999E-2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9">
      <c r="A3" s="1" t="s">
        <v>12</v>
      </c>
      <c r="B3" s="1">
        <f>B2-B5</f>
        <v>0</v>
      </c>
      <c r="C3" s="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9">
      <c r="A5" s="1" t="s">
        <v>13</v>
      </c>
      <c r="B5" s="92">
        <v>1.6799999999999999E-2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015B2-000B-6345-B93A-38A897C186BA}">
  <dimension ref="A1:AE144"/>
  <sheetViews>
    <sheetView zoomScaleNormal="100" workbookViewId="0">
      <selection activeCell="B27" sqref="B27"/>
    </sheetView>
  </sheetViews>
  <sheetFormatPr baseColWidth="10" defaultRowHeight="16"/>
  <cols>
    <col min="1" max="1" width="36.1640625" customWidth="1"/>
    <col min="2" max="2" width="25" customWidth="1"/>
    <col min="3" max="3" width="15.5" customWidth="1"/>
    <col min="4" max="4" width="25" customWidth="1"/>
    <col min="5" max="5" width="17.6640625" customWidth="1"/>
    <col min="6" max="6" width="13.83203125" customWidth="1"/>
    <col min="7" max="7" width="12.6640625" customWidth="1"/>
    <col min="8" max="9" width="13" customWidth="1"/>
    <col min="11" max="11" width="20" customWidth="1"/>
    <col min="12" max="12" width="27.83203125" customWidth="1"/>
    <col min="13" max="13" width="13.83203125" customWidth="1"/>
    <col min="14" max="14" width="12.1640625" customWidth="1"/>
    <col min="15" max="15" width="17" customWidth="1"/>
    <col min="17" max="17" width="14.5" customWidth="1"/>
    <col min="18" max="18" width="19" customWidth="1"/>
    <col min="21" max="21" width="17.1640625" customWidth="1"/>
    <col min="23" max="23" width="19" customWidth="1"/>
    <col min="24" max="24" width="22.33203125" customWidth="1"/>
  </cols>
  <sheetData>
    <row r="1" spans="1:31" ht="19">
      <c r="A1" s="84" t="s">
        <v>443</v>
      </c>
      <c r="B1" s="15" t="s">
        <v>29</v>
      </c>
      <c r="C1" s="60" t="s">
        <v>444</v>
      </c>
      <c r="D1" s="126" t="s">
        <v>450</v>
      </c>
      <c r="E1" s="126" t="s">
        <v>445</v>
      </c>
      <c r="F1" s="126" t="s">
        <v>446</v>
      </c>
      <c r="G1" s="126" t="s">
        <v>447</v>
      </c>
      <c r="H1" s="60" t="s">
        <v>448</v>
      </c>
      <c r="I1" s="60" t="s">
        <v>449</v>
      </c>
      <c r="J1" s="1"/>
      <c r="K1" s="85" t="str">
        <f>A1</f>
        <v>tech</v>
      </c>
      <c r="L1" s="90" t="s">
        <v>406</v>
      </c>
      <c r="M1" s="87" t="s">
        <v>31</v>
      </c>
      <c r="N1" s="1" t="str">
        <f>A4</f>
        <v>business2</v>
      </c>
      <c r="O1" s="90" t="s">
        <v>406</v>
      </c>
      <c r="P1" s="87" t="s">
        <v>31</v>
      </c>
      <c r="Q1" s="1" t="str">
        <f>A7</f>
        <v>business3</v>
      </c>
      <c r="R1" s="90" t="s">
        <v>406</v>
      </c>
      <c r="S1" s="87" t="s">
        <v>31</v>
      </c>
      <c r="T1" s="1" t="str">
        <f>A10</f>
        <v>business4</v>
      </c>
      <c r="U1" s="90" t="s">
        <v>406</v>
      </c>
      <c r="V1" s="87" t="s">
        <v>31</v>
      </c>
      <c r="W1" s="1" t="str">
        <f>A13</f>
        <v>business5</v>
      </c>
      <c r="X1" s="90" t="s">
        <v>406</v>
      </c>
      <c r="Y1" s="87" t="s">
        <v>31</v>
      </c>
      <c r="Z1" s="1"/>
      <c r="AA1" s="1"/>
      <c r="AB1" s="1"/>
      <c r="AC1" s="1"/>
      <c r="AD1" s="1"/>
      <c r="AE1" s="1"/>
    </row>
    <row r="2" spans="1:31" ht="19">
      <c r="B2" s="28">
        <f>AVERAGE(C2:I2)</f>
        <v>1.05</v>
      </c>
      <c r="C2" s="1">
        <v>0.79</v>
      </c>
      <c r="D2" s="1">
        <v>0.5</v>
      </c>
      <c r="E2" s="140">
        <v>1</v>
      </c>
      <c r="F2" s="1">
        <v>0.93</v>
      </c>
      <c r="G2" s="1">
        <v>1.1200000000000001</v>
      </c>
      <c r="H2" s="1">
        <v>2.27</v>
      </c>
      <c r="I2" s="1">
        <v>0.74</v>
      </c>
      <c r="J2" s="1"/>
      <c r="L2" s="16" t="str">
        <f>C1</f>
        <v>msft</v>
      </c>
      <c r="M2" s="127">
        <v>0.63560000000000005</v>
      </c>
      <c r="N2" s="1"/>
      <c r="O2" s="16">
        <f>C4</f>
        <v>0</v>
      </c>
      <c r="P2" s="89"/>
      <c r="Q2" s="1"/>
      <c r="R2" s="16" t="s">
        <v>22</v>
      </c>
      <c r="S2" s="87"/>
      <c r="T2" s="1"/>
      <c r="U2" s="16" t="s">
        <v>22</v>
      </c>
      <c r="V2" s="87"/>
      <c r="W2" s="1"/>
      <c r="X2" s="16" t="s">
        <v>22</v>
      </c>
      <c r="Y2" s="87"/>
      <c r="Z2" s="1"/>
      <c r="AA2" s="1"/>
      <c r="AB2" s="1"/>
      <c r="AC2" s="1"/>
      <c r="AD2" s="1"/>
      <c r="AE2" s="1"/>
    </row>
    <row r="3" spans="1:31" ht="19">
      <c r="J3" s="1"/>
      <c r="L3" s="16" t="str">
        <f>D1</f>
        <v>tencent</v>
      </c>
      <c r="M3" s="128">
        <v>0.33979999999999999</v>
      </c>
      <c r="N3" s="1"/>
      <c r="O3" s="16">
        <f>D4</f>
        <v>0</v>
      </c>
      <c r="P3" s="88"/>
      <c r="Q3" s="1"/>
      <c r="R3" s="16" t="s">
        <v>23</v>
      </c>
      <c r="S3" s="87"/>
      <c r="T3" s="1"/>
      <c r="U3" s="16" t="s">
        <v>23</v>
      </c>
      <c r="V3" s="87"/>
      <c r="W3" s="1"/>
      <c r="X3" s="16" t="s">
        <v>23</v>
      </c>
      <c r="Y3" s="87"/>
      <c r="Z3" s="1"/>
      <c r="AA3" s="1"/>
      <c r="AB3" s="1"/>
      <c r="AC3" s="1"/>
      <c r="AD3" s="1"/>
      <c r="AE3" s="1"/>
    </row>
    <row r="4" spans="1:31" ht="19">
      <c r="A4" s="85" t="s">
        <v>451</v>
      </c>
      <c r="B4" s="15" t="s">
        <v>29</v>
      </c>
      <c r="C4" s="126"/>
      <c r="D4" s="126"/>
      <c r="E4" s="60"/>
      <c r="F4" s="60"/>
      <c r="G4" s="60"/>
      <c r="H4" s="60"/>
      <c r="I4" s="60"/>
      <c r="J4" s="1"/>
      <c r="L4" s="16" t="str">
        <f>E1</f>
        <v>google</v>
      </c>
      <c r="M4" s="128">
        <v>0.12520000000000001</v>
      </c>
      <c r="N4" s="1"/>
      <c r="O4" s="16">
        <f>E4</f>
        <v>0</v>
      </c>
      <c r="P4" s="89"/>
      <c r="Q4" s="1"/>
      <c r="R4" s="16" t="s">
        <v>24</v>
      </c>
      <c r="S4" s="87"/>
      <c r="T4" s="1"/>
      <c r="U4" s="16" t="s">
        <v>24</v>
      </c>
      <c r="V4" s="87"/>
      <c r="W4" s="1"/>
      <c r="X4" s="16" t="s">
        <v>24</v>
      </c>
      <c r="Y4" s="87"/>
      <c r="Z4" s="1"/>
      <c r="AA4" s="1"/>
      <c r="AB4" s="1"/>
      <c r="AC4" s="1"/>
      <c r="AD4" s="1"/>
      <c r="AE4" s="1"/>
    </row>
    <row r="5" spans="1:31" ht="19">
      <c r="B5" s="29"/>
      <c r="C5" s="1"/>
      <c r="D5" s="1"/>
      <c r="E5" s="1"/>
      <c r="F5" s="1"/>
      <c r="G5" s="1"/>
      <c r="H5" s="1"/>
      <c r="I5" s="1"/>
      <c r="J5" s="1"/>
      <c r="L5" s="16" t="str">
        <f>F1</f>
        <v>dell</v>
      </c>
      <c r="M5" s="129">
        <v>6.6473000000000004</v>
      </c>
      <c r="N5" s="1"/>
      <c r="O5" s="16">
        <f>F4</f>
        <v>0</v>
      </c>
      <c r="P5" s="89"/>
      <c r="Q5" s="1"/>
      <c r="R5" s="16" t="s">
        <v>25</v>
      </c>
      <c r="S5" s="87"/>
      <c r="T5" s="1"/>
      <c r="U5" s="16" t="s">
        <v>25</v>
      </c>
      <c r="V5" s="87"/>
      <c r="W5" s="1"/>
      <c r="X5" s="16" t="s">
        <v>25</v>
      </c>
      <c r="Y5" s="87"/>
      <c r="Z5" s="1"/>
      <c r="AA5" s="1"/>
      <c r="AB5" s="1"/>
      <c r="AC5" s="1"/>
      <c r="AD5" s="1"/>
      <c r="AE5" s="1"/>
    </row>
    <row r="6" spans="1:31" ht="19">
      <c r="C6" s="1"/>
      <c r="D6" s="1"/>
      <c r="E6" s="1"/>
      <c r="F6" s="1"/>
      <c r="G6" s="1"/>
      <c r="H6" s="1"/>
      <c r="I6" s="1"/>
      <c r="J6" s="1"/>
      <c r="L6" s="16" t="str">
        <f>G1</f>
        <v>amazon</v>
      </c>
      <c r="M6" s="88">
        <v>1.0838000000000001</v>
      </c>
      <c r="N6" s="1"/>
      <c r="O6" s="16">
        <f>G4</f>
        <v>0</v>
      </c>
      <c r="P6" s="87"/>
      <c r="Q6" s="1"/>
      <c r="R6" s="16" t="s">
        <v>26</v>
      </c>
      <c r="S6" s="87"/>
      <c r="T6" s="1"/>
      <c r="U6" s="16" t="s">
        <v>26</v>
      </c>
      <c r="V6" s="87"/>
      <c r="W6" s="1"/>
      <c r="X6" s="16" t="s">
        <v>26</v>
      </c>
      <c r="Y6" s="87"/>
      <c r="Z6" s="1"/>
      <c r="AA6" s="1"/>
      <c r="AB6" s="1"/>
      <c r="AC6" s="1"/>
      <c r="AD6" s="1"/>
      <c r="AE6" s="1"/>
    </row>
    <row r="7" spans="1:31" ht="19">
      <c r="A7" s="85" t="s">
        <v>36</v>
      </c>
      <c r="B7" s="15" t="s">
        <v>29</v>
      </c>
      <c r="C7" s="60" t="s">
        <v>22</v>
      </c>
      <c r="D7" s="60" t="s">
        <v>23</v>
      </c>
      <c r="E7" s="60" t="s">
        <v>24</v>
      </c>
      <c r="F7" s="60" t="s">
        <v>25</v>
      </c>
      <c r="G7" s="60" t="s">
        <v>26</v>
      </c>
      <c r="H7" s="60" t="s">
        <v>27</v>
      </c>
      <c r="I7" s="60" t="s">
        <v>28</v>
      </c>
      <c r="J7" s="1"/>
      <c r="L7" s="16" t="str">
        <f>H1</f>
        <v>hp</v>
      </c>
      <c r="M7" s="130">
        <v>0.1492</v>
      </c>
      <c r="N7" s="1"/>
      <c r="O7" s="16">
        <f>H4</f>
        <v>0</v>
      </c>
      <c r="P7" s="87"/>
      <c r="Q7" s="1"/>
      <c r="R7" s="16" t="s">
        <v>27</v>
      </c>
      <c r="S7" s="87"/>
      <c r="T7" s="1"/>
      <c r="U7" s="16" t="s">
        <v>27</v>
      </c>
      <c r="V7" s="87"/>
      <c r="W7" s="1"/>
      <c r="X7" s="16" t="s">
        <v>27</v>
      </c>
      <c r="Y7" s="87"/>
      <c r="Z7" s="1"/>
      <c r="AA7" s="1"/>
      <c r="AB7" s="1"/>
      <c r="AC7" s="1"/>
      <c r="AD7" s="1"/>
      <c r="AE7" s="1"/>
    </row>
    <row r="8" spans="1:31" ht="20" thickBot="1">
      <c r="B8" s="29"/>
      <c r="C8" s="1"/>
      <c r="D8" s="1"/>
      <c r="E8" s="1"/>
      <c r="F8" s="1"/>
      <c r="G8" s="1"/>
      <c r="H8" s="1"/>
      <c r="I8" s="1"/>
      <c r="J8" s="1"/>
      <c r="L8" s="17" t="str">
        <f>I1</f>
        <v>sony</v>
      </c>
      <c r="M8" s="131">
        <v>0.46610000000000001</v>
      </c>
      <c r="N8" s="1"/>
      <c r="O8" s="17">
        <f>I4</f>
        <v>0</v>
      </c>
      <c r="P8" s="87"/>
      <c r="Q8" s="1"/>
      <c r="R8" s="17" t="s">
        <v>28</v>
      </c>
      <c r="S8" s="87"/>
      <c r="T8" s="1"/>
      <c r="U8" s="17" t="s">
        <v>28</v>
      </c>
      <c r="V8" s="87"/>
      <c r="W8" s="1"/>
      <c r="X8" s="17" t="s">
        <v>28</v>
      </c>
      <c r="Y8" s="87"/>
      <c r="Z8" s="1"/>
      <c r="AA8" s="1"/>
      <c r="AB8" s="1"/>
      <c r="AC8" s="1"/>
      <c r="AD8" s="1"/>
      <c r="AE8" s="1"/>
    </row>
    <row r="9" spans="1:31" ht="19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9">
      <c r="A10" s="85" t="s">
        <v>37</v>
      </c>
      <c r="B10" s="15" t="s">
        <v>29</v>
      </c>
      <c r="C10" s="60" t="s">
        <v>22</v>
      </c>
      <c r="D10" s="60" t="s">
        <v>23</v>
      </c>
      <c r="E10" s="60" t="s">
        <v>24</v>
      </c>
      <c r="F10" s="60" t="s">
        <v>25</v>
      </c>
      <c r="G10" s="60" t="s">
        <v>26</v>
      </c>
      <c r="H10" s="60" t="s">
        <v>27</v>
      </c>
      <c r="I10" s="60" t="s">
        <v>28</v>
      </c>
      <c r="J10" s="1"/>
      <c r="K10" s="87" t="s">
        <v>39</v>
      </c>
      <c r="L10" s="88">
        <f>adjustments!B48/adjustments!B17</f>
        <v>1.380628281660631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19">
      <c r="B11" s="2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19"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19">
      <c r="A13" s="85" t="s">
        <v>38</v>
      </c>
      <c r="B13" s="15" t="s">
        <v>29</v>
      </c>
      <c r="C13" s="60" t="s">
        <v>22</v>
      </c>
      <c r="D13" s="60" t="s">
        <v>23</v>
      </c>
      <c r="E13" s="60" t="s">
        <v>24</v>
      </c>
      <c r="F13" s="60" t="s">
        <v>25</v>
      </c>
      <c r="G13" s="60" t="s">
        <v>26</v>
      </c>
      <c r="H13" s="60" t="s">
        <v>27</v>
      </c>
      <c r="I13" s="60" t="s">
        <v>28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19">
      <c r="A14" s="1"/>
      <c r="B14" s="2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19">
      <c r="A16" s="13" t="s">
        <v>30</v>
      </c>
      <c r="B16" s="23">
        <f>AVERAGE(B2,B5,B8,B11,B14)</f>
        <v>1.05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19">
      <c r="B17">
        <v>1</v>
      </c>
      <c r="C17" s="1">
        <v>2</v>
      </c>
      <c r="D17" s="1">
        <v>3</v>
      </c>
      <c r="E17" s="1">
        <v>4</v>
      </c>
      <c r="F17" s="1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19">
      <c r="A18" s="1" t="s">
        <v>33</v>
      </c>
      <c r="B18" s="2">
        <f>AVERAGE(M2:M6)</f>
        <v>1.7663400000000002</v>
      </c>
      <c r="C18" s="2" t="e">
        <f>AVERAGE(P2:P5)</f>
        <v>#DIV/0!</v>
      </c>
      <c r="D18" s="1" t="e">
        <f>AVERAGE(S2:S8)</f>
        <v>#DIV/0!</v>
      </c>
      <c r="E18" s="1" t="e">
        <f t="shared" ref="E18:F18" si="0">AVERAGE(T2:T8)</f>
        <v>#DIV/0!</v>
      </c>
      <c r="F18" s="1" t="e">
        <f t="shared" si="0"/>
        <v>#DIV/0!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19">
      <c r="B19" t="str">
        <f>A1</f>
        <v>tech</v>
      </c>
      <c r="C19" s="1" t="str">
        <f>A4</f>
        <v>business2</v>
      </c>
      <c r="D19" s="1" t="str">
        <f>A7</f>
        <v>business3</v>
      </c>
      <c r="E19" s="1" t="str">
        <f>A10</f>
        <v>business4</v>
      </c>
      <c r="F19" s="1" t="str">
        <f>A13</f>
        <v>business5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19">
      <c r="A20" s="18" t="s">
        <v>32</v>
      </c>
      <c r="B20" s="25">
        <f>$B$16/(1+(growth!$B$5)*beta!B18)</f>
        <v>0.42115846803623125</v>
      </c>
      <c r="C20" s="26"/>
      <c r="D20" s="30"/>
      <c r="E20" s="30"/>
      <c r="F20" s="30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9">
      <c r="A21" s="1" t="s">
        <v>34</v>
      </c>
      <c r="B21" s="177">
        <v>294135000</v>
      </c>
      <c r="C21" s="1" t="s">
        <v>105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9">
      <c r="A22" s="1" t="str">
        <f>A1</f>
        <v>tech</v>
      </c>
      <c r="B22" s="178">
        <v>294135000</v>
      </c>
      <c r="C22" s="86">
        <f>(B22/$B$21)</f>
        <v>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9">
      <c r="A23" s="1"/>
      <c r="B23" s="177"/>
      <c r="C23" s="86">
        <f>(B23/$B$21)</f>
        <v>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19">
      <c r="A24" s="1" t="str">
        <f>A7</f>
        <v>business3</v>
      </c>
      <c r="B24" s="91"/>
      <c r="C24" s="1">
        <f>(B24/$B$21)</f>
        <v>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19">
      <c r="A25" s="1" t="str">
        <f>A10</f>
        <v>business4</v>
      </c>
      <c r="B25" s="91"/>
      <c r="C25" s="1">
        <f>(B25/$B$21)</f>
        <v>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19">
      <c r="A26" s="1" t="str">
        <f>A13</f>
        <v>business5</v>
      </c>
      <c r="B26" s="91"/>
      <c r="C26" s="1">
        <f>(B26/$B$21)</f>
        <v>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20" thickBo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20" thickBot="1">
      <c r="A28" s="18" t="s">
        <v>35</v>
      </c>
      <c r="B28" s="25">
        <f>(B20*C22+C20*C23+D20*C24+E20*C25+F20*C26)/SUM(C22:C26)</f>
        <v>0.42115846803623125</v>
      </c>
      <c r="C28" s="1"/>
      <c r="D28" s="19" t="s">
        <v>40</v>
      </c>
      <c r="E28" s="24">
        <f>B28*(1+(growth!B9)*(beta!L10))</f>
        <v>0.91268128001579152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9">
      <c r="A36" s="1"/>
      <c r="B36" s="1"/>
      <c r="C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</sheetData>
  <pageMargins left="0.7" right="0.7" top="0.75" bottom="0.75" header="0.3" footer="0.3"/>
  <ignoredErrors>
    <ignoredError sqref="D18" evalError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724BA-1A0E-F34F-B39B-B3CBCBD7EDC5}">
  <dimension ref="A1:R64"/>
  <sheetViews>
    <sheetView zoomScale="91" zoomScaleNormal="99" workbookViewId="0">
      <selection activeCell="M36" sqref="M36"/>
    </sheetView>
  </sheetViews>
  <sheetFormatPr baseColWidth="10" defaultRowHeight="16"/>
  <cols>
    <col min="1" max="1" width="29.5" customWidth="1"/>
    <col min="2" max="2" width="24.6640625" customWidth="1"/>
    <col min="3" max="3" width="18.6640625" customWidth="1"/>
    <col min="4" max="4" width="22.6640625" customWidth="1"/>
    <col min="5" max="5" width="12.83203125" customWidth="1"/>
    <col min="6" max="6" width="18.1640625" customWidth="1"/>
    <col min="7" max="7" width="21.6640625" customWidth="1"/>
  </cols>
  <sheetData>
    <row r="1" spans="1:18" ht="19">
      <c r="A1" s="7" t="s">
        <v>111</v>
      </c>
      <c r="B1" s="7" t="s">
        <v>112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9">
      <c r="A2" s="1" t="s">
        <v>115</v>
      </c>
      <c r="B2" s="75">
        <v>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9">
      <c r="A3" s="1"/>
      <c r="B3" s="1"/>
      <c r="C3" s="1" t="s">
        <v>116</v>
      </c>
      <c r="D3" s="1" t="s">
        <v>118</v>
      </c>
      <c r="E3" s="1" t="s">
        <v>119</v>
      </c>
      <c r="F3" s="1"/>
      <c r="G3" s="1" t="s">
        <v>120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9">
      <c r="A4" s="1"/>
      <c r="B4" s="1"/>
      <c r="C4" s="1" t="s">
        <v>117</v>
      </c>
      <c r="D4" s="76">
        <v>19464000</v>
      </c>
      <c r="E4" s="1">
        <f>1.25-$B$8</f>
        <v>1</v>
      </c>
      <c r="F4" s="33">
        <f>D4*E4</f>
        <v>19464000</v>
      </c>
      <c r="G4" s="33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9">
      <c r="A5" s="1"/>
      <c r="B5" s="1"/>
      <c r="C5" s="1">
        <v>-1</v>
      </c>
      <c r="D5" s="76">
        <v>18752000</v>
      </c>
      <c r="E5" s="1">
        <f>E4-$B$8</f>
        <v>0.75</v>
      </c>
      <c r="F5" s="33">
        <f>D5*E5</f>
        <v>14064000</v>
      </c>
      <c r="G5" s="33">
        <f>(D5*E4)-F5</f>
        <v>4688000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19">
      <c r="A6" s="1"/>
      <c r="B6" s="1"/>
      <c r="C6" s="1">
        <v>-2</v>
      </c>
      <c r="D6" s="76">
        <v>16217000</v>
      </c>
      <c r="E6" s="1">
        <f>E5-$B$8</f>
        <v>0.5</v>
      </c>
      <c r="F6" s="33">
        <f>D6*E6</f>
        <v>8108500</v>
      </c>
      <c r="G6" s="33">
        <f>(D6*E5)-F6</f>
        <v>4054250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9">
      <c r="A7" s="1"/>
      <c r="B7" s="1"/>
      <c r="C7" s="1">
        <v>-3</v>
      </c>
      <c r="D7" s="76">
        <v>14236000</v>
      </c>
      <c r="E7" s="1">
        <f>E6-$B$8</f>
        <v>0.25</v>
      </c>
      <c r="F7" s="33">
        <f>D7*E7</f>
        <v>3559000</v>
      </c>
      <c r="G7" s="33">
        <f>(D7*E6)-F7</f>
        <v>3559000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19">
      <c r="A8" s="6" t="s">
        <v>119</v>
      </c>
      <c r="B8" s="102">
        <f>1/B2</f>
        <v>0.25</v>
      </c>
      <c r="C8" s="1">
        <v>-4</v>
      </c>
      <c r="D8" s="76">
        <v>11581000</v>
      </c>
      <c r="E8" s="1">
        <f>E7-$B$8</f>
        <v>0</v>
      </c>
      <c r="F8" s="33">
        <f>D8*E8</f>
        <v>0</v>
      </c>
      <c r="G8" s="33">
        <f>(D8*E7)-F8</f>
        <v>2895250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9">
      <c r="A9" s="6" t="s">
        <v>395</v>
      </c>
      <c r="B9" s="103">
        <f>F4</f>
        <v>19464000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9">
      <c r="A10" s="101" t="s">
        <v>122</v>
      </c>
      <c r="B10" s="103">
        <f>SUM(G4:G8)</f>
        <v>15196500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9">
      <c r="A11" s="6" t="s">
        <v>121</v>
      </c>
      <c r="B11" s="103">
        <f>B9-B10</f>
        <v>4267500</v>
      </c>
      <c r="C11" s="1"/>
      <c r="D11" s="1"/>
      <c r="E11" s="1"/>
      <c r="F11" s="71"/>
      <c r="G11" s="1"/>
      <c r="H11" s="1"/>
      <c r="I11" s="71"/>
      <c r="J11" s="1"/>
      <c r="K11" s="1"/>
      <c r="L11" s="1"/>
      <c r="M11" s="1"/>
      <c r="N11" s="1"/>
      <c r="O11" s="1"/>
      <c r="P11" s="1"/>
      <c r="Q11" s="1"/>
      <c r="R11" s="1"/>
    </row>
    <row r="12" spans="1:18" ht="19">
      <c r="A12" s="6" t="s">
        <v>420</v>
      </c>
      <c r="B12" s="79">
        <v>69964000</v>
      </c>
      <c r="C12" s="1"/>
      <c r="D12" s="1" t="str">
        <f>SUBSTITUTE(G12,".",",")</f>
        <v/>
      </c>
      <c r="E12" s="1"/>
      <c r="F12" s="71"/>
      <c r="G12" s="1"/>
      <c r="H12" s="1"/>
      <c r="I12" s="71"/>
      <c r="J12" s="1"/>
      <c r="K12" s="1"/>
      <c r="L12" s="1"/>
      <c r="M12" s="1"/>
      <c r="N12" s="1"/>
      <c r="O12" s="1"/>
      <c r="P12" s="1"/>
      <c r="Q12" s="1"/>
      <c r="R12" s="1"/>
    </row>
    <row r="13" spans="1:18" ht="19">
      <c r="A13" s="6" t="s">
        <v>123</v>
      </c>
      <c r="B13" s="103">
        <f>(B12+B11)+(C45*'wacc calc'!B12)</f>
        <v>74712089.070877612</v>
      </c>
      <c r="C13" s="1"/>
      <c r="D13" s="1"/>
      <c r="E13" s="1"/>
      <c r="F13" s="71"/>
      <c r="G13" s="1"/>
      <c r="H13" s="1"/>
      <c r="I13" s="71"/>
      <c r="J13" s="1"/>
      <c r="K13" s="1"/>
      <c r="L13" s="1"/>
      <c r="M13" s="1"/>
      <c r="N13" s="1"/>
      <c r="O13" s="1"/>
      <c r="P13" s="1"/>
      <c r="Q13" s="1"/>
      <c r="R13" s="1"/>
    </row>
    <row r="14" spans="1:18" ht="19">
      <c r="A14" s="6" t="s">
        <v>421</v>
      </c>
      <c r="B14" s="79">
        <v>57411000</v>
      </c>
      <c r="C14" s="1"/>
      <c r="D14" s="1"/>
      <c r="E14" s="1"/>
      <c r="F14" s="71"/>
      <c r="G14" s="1"/>
      <c r="H14" s="1"/>
      <c r="I14" s="71"/>
      <c r="J14" s="1"/>
      <c r="K14" s="1"/>
      <c r="L14" s="1"/>
      <c r="M14" s="1"/>
      <c r="N14" s="1"/>
      <c r="O14" s="1"/>
      <c r="P14" s="1"/>
      <c r="Q14" s="1"/>
      <c r="R14" s="1"/>
    </row>
    <row r="15" spans="1:18" ht="19">
      <c r="A15" s="6" t="s">
        <v>124</v>
      </c>
      <c r="B15" s="103">
        <f>(B14)+B11</f>
        <v>61678500</v>
      </c>
      <c r="C15" s="1"/>
      <c r="D15" s="1"/>
      <c r="E15" s="1"/>
      <c r="F15" s="7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19">
      <c r="A16" s="6" t="s">
        <v>125</v>
      </c>
      <c r="B16" s="79">
        <v>65339000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9">
      <c r="A17" s="6" t="s">
        <v>126</v>
      </c>
      <c r="B17" s="103">
        <f>B16+B9</f>
        <v>84803000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9">
      <c r="A18" s="6" t="s">
        <v>128</v>
      </c>
      <c r="B18" s="79">
        <v>8702000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9">
      <c r="A19" s="6" t="s">
        <v>134</v>
      </c>
      <c r="B19" s="80">
        <f>208000</f>
        <v>208000</v>
      </c>
      <c r="C19" s="6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9">
      <c r="A20" s="6" t="s">
        <v>129</v>
      </c>
      <c r="B20" s="103">
        <f>B18+(D4-B10)+B19</f>
        <v>13177500</v>
      </c>
      <c r="C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9">
      <c r="A21" s="6" t="s">
        <v>405</v>
      </c>
      <c r="B21" s="79">
        <v>10822000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9">
      <c r="A22" s="6" t="s">
        <v>391</v>
      </c>
      <c r="B22" s="105">
        <f>(B13-B21)*(1-growth!B1)</f>
        <v>57591306.388355859</v>
      </c>
      <c r="C22" s="1" t="s">
        <v>392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9">
      <c r="A23" s="6"/>
      <c r="B23" s="124">
        <f>B22/1000</f>
        <v>57591.306388355857</v>
      </c>
      <c r="C23" s="1" t="s">
        <v>393</v>
      </c>
      <c r="E23" s="1"/>
      <c r="F23" s="15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9">
      <c r="A24" s="6" t="s">
        <v>419</v>
      </c>
      <c r="B24" s="79">
        <v>88384000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9">
      <c r="A25" s="75" t="s">
        <v>452</v>
      </c>
      <c r="B25" s="173">
        <f>10906000</f>
        <v>10906000</v>
      </c>
      <c r="C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9">
      <c r="A26" s="6" t="s">
        <v>424</v>
      </c>
      <c r="B26" s="103">
        <f>B15-(B20-B25)-(B35-B34)</f>
        <v>60659000</v>
      </c>
      <c r="C26" s="1" t="s">
        <v>392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9">
      <c r="A27" s="104"/>
      <c r="B27" s="103">
        <f>B26/1000</f>
        <v>60659</v>
      </c>
      <c r="C27" s="1" t="s">
        <v>393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9">
      <c r="A28" s="112" t="s">
        <v>412</v>
      </c>
      <c r="B28" s="134">
        <v>76826000</v>
      </c>
      <c r="C28" s="110" t="s">
        <v>429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9">
      <c r="A29" s="112" t="s">
        <v>426</v>
      </c>
      <c r="B29" s="80">
        <v>37445000</v>
      </c>
      <c r="C29" s="79">
        <v>45804000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9">
      <c r="A30" s="112" t="s">
        <v>427</v>
      </c>
      <c r="B30" s="147">
        <v>42296000</v>
      </c>
      <c r="C30" s="148">
        <v>46236000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9">
      <c r="A31" s="112" t="s">
        <v>428</v>
      </c>
      <c r="B31" s="135">
        <v>4061000</v>
      </c>
      <c r="C31" s="146">
        <v>4106000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9">
      <c r="A32" s="133" t="s">
        <v>431</v>
      </c>
      <c r="B32" s="149">
        <f>B29+B31-B30</f>
        <v>-790000</v>
      </c>
      <c r="C32" s="136">
        <f>C29+C31-C30</f>
        <v>3674000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9">
      <c r="A33" s="133" t="s">
        <v>430</v>
      </c>
      <c r="B33" s="150">
        <f>B32-C32</f>
        <v>-4464000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19">
      <c r="A34" s="112" t="s">
        <v>432</v>
      </c>
      <c r="B34" s="135">
        <v>13881000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19">
      <c r="A35" s="112" t="s">
        <v>433</v>
      </c>
      <c r="B35" s="80">
        <v>12629000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9">
      <c r="A36" s="133" t="s">
        <v>439</v>
      </c>
      <c r="B36" s="153">
        <f>(1-growth!B10/(growth!B10+growth!B11))</f>
        <v>0.4200571788983537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19">
      <c r="A37" s="112" t="s">
        <v>437</v>
      </c>
      <c r="B37" s="152">
        <v>87296000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20" thickBot="1">
      <c r="A38" s="151" t="s">
        <v>438</v>
      </c>
      <c r="B38" s="154">
        <v>66012000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20" thickBot="1">
      <c r="A39" s="82" t="s">
        <v>113</v>
      </c>
      <c r="B39" s="83" t="s">
        <v>114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9">
      <c r="A40" t="s">
        <v>116</v>
      </c>
      <c r="B40" s="1" t="s">
        <v>130</v>
      </c>
      <c r="C40" s="1" t="s">
        <v>131</v>
      </c>
      <c r="D40" s="1" t="s">
        <v>136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19">
      <c r="A41" s="3" t="s">
        <v>422</v>
      </c>
      <c r="B41" s="78">
        <v>1622</v>
      </c>
      <c r="C41" s="176">
        <f>B41/(1+$B$46)^D41</f>
        <v>1622</v>
      </c>
      <c r="D41" s="77">
        <v>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9">
      <c r="A42" s="3" t="s">
        <v>442</v>
      </c>
      <c r="B42" s="78">
        <v>3097</v>
      </c>
      <c r="C42" s="176">
        <f>B42/(1+$B$46)^D42</f>
        <v>2843.2138940093027</v>
      </c>
      <c r="D42" s="77">
        <v>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9">
      <c r="A43" s="3" t="s">
        <v>441</v>
      </c>
      <c r="B43" s="78">
        <v>2352</v>
      </c>
      <c r="C43" s="176">
        <f>B43/(1+$B$46)^D43</f>
        <v>1982.320956300571</v>
      </c>
      <c r="D43" s="77">
        <v>4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19">
      <c r="A44" s="1" t="s">
        <v>440</v>
      </c>
      <c r="B44" s="78">
        <f>5888</f>
        <v>5888</v>
      </c>
      <c r="C44" s="176">
        <f>B44/(1+$B$46)^D44</f>
        <v>4555.8853193566074</v>
      </c>
      <c r="D44" s="77">
        <v>6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9">
      <c r="B45" s="1"/>
      <c r="C45" s="176">
        <f>SUM(C41:C44)*1000</f>
        <v>11003420.169666482</v>
      </c>
      <c r="D45" s="1" t="s">
        <v>132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19">
      <c r="A46" s="1" t="s">
        <v>137</v>
      </c>
      <c r="B46" s="2">
        <f>'wacc calc'!B12</f>
        <v>4.3676335490893468E-2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9">
      <c r="A47" s="1" t="s">
        <v>107</v>
      </c>
      <c r="B47" s="80">
        <f>106078000</f>
        <v>106078000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9">
      <c r="A48" s="6" t="s">
        <v>133</v>
      </c>
      <c r="B48" s="103">
        <f>B47+C45</f>
        <v>117081420.16966648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19">
      <c r="A49" s="1" t="s">
        <v>138</v>
      </c>
      <c r="B49" s="143">
        <f>AVERAGE(D41:D44)</f>
        <v>3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9">
      <c r="A50" s="1" t="s">
        <v>6</v>
      </c>
      <c r="B50" s="142">
        <f>(B48/(1+B46)^B49)</f>
        <v>102988912.61358079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9">
      <c r="A51" s="1"/>
      <c r="B51" s="3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1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1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1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1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1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1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dcf model</vt:lpstr>
      <vt:lpstr>growth</vt:lpstr>
      <vt:lpstr>risk premium and def risk</vt:lpstr>
      <vt:lpstr>wacc calc</vt:lpstr>
      <vt:lpstr>risk free</vt:lpstr>
      <vt:lpstr>beta</vt:lpstr>
      <vt:lpstr>adjustments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 Isaic</cp:lastModifiedBy>
  <dcterms:created xsi:type="dcterms:W3CDTF">2021-04-03T10:48:17Z</dcterms:created>
  <dcterms:modified xsi:type="dcterms:W3CDTF">2023-10-07T17:03:04Z</dcterms:modified>
</cp:coreProperties>
</file>